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afon\Downloads\"/>
    </mc:Choice>
  </mc:AlternateContent>
  <xr:revisionPtr revIDLastSave="1132" documentId="8_{AC5BD858-1346-46D5-9730-17A32DC6AE38}" xr6:coauthVersionLast="47" xr6:coauthVersionMax="47" xr10:uidLastSave="{DDE3882A-EB29-4C76-B09F-13253BB0311E}"/>
  <bookViews>
    <workbookView xWindow="28680" yWindow="-120" windowWidth="29040" windowHeight="17520" tabRatio="838" firstSheet="5" activeTab="8" xr2:uid="{00000000-000D-0000-FFFF-FFFF00000000}"/>
  </bookViews>
  <sheets>
    <sheet name="Table 1 Water Stored" sheetId="12" r:id="rId1"/>
    <sheet name="Table 2 StormwaterGroundwater" sheetId="9" r:id="rId2"/>
    <sheet name="Table 3 Water Quality" sheetId="14" r:id="rId3"/>
    <sheet name="Table 4 Evaporation" sheetId="25" r:id="rId4"/>
    <sheet name="Table 5 Flows to Evap &amp; WTP" sheetId="1" r:id="rId5"/>
    <sheet name="Table 6 WTP Flow Balance" sheetId="2" r:id="rId6"/>
    <sheet name="Table 7 WTP Sulfate Balance" sheetId="4" r:id="rId7"/>
    <sheet name="Table 8 Salt Balance" sheetId="16" r:id="rId8"/>
    <sheet name="Table 9 Capital &amp; O&amp;M Costs" sheetId="23" r:id="rId9"/>
    <sheet name="Table 10 Capital Costs" sheetId="22" r:id="rId10"/>
    <sheet name="Table 11 Equip Replace" sheetId="21" r:id="rId11"/>
    <sheet name="Table 12 Labor Costs" sheetId="20" r:id="rId12"/>
    <sheet name="Table 13 Power Costs" sheetId="26" r:id="rId13"/>
    <sheet name="Table 14 Reagent Cost" sheetId="6" r:id="rId14"/>
    <sheet name="Table 15 Analytics Cost" sheetId="17" r:id="rId15"/>
  </sheets>
  <definedNames>
    <definedName name="_xlnm.Print_Area" localSheetId="1">'Table 2 StormwaterGroundwater'!$B$2:$AE$112</definedName>
    <definedName name="_xlnm.Print_Titles" localSheetId="7">'Table 8 Salt Balance'!$2:$4</definedName>
    <definedName name="solver_adj" localSheetId="3" hidden="1">'Table 4 Evaporation'!$F$35</definedName>
    <definedName name="solver_cvg" localSheetId="3" hidden="1">0.0001</definedName>
    <definedName name="solver_drv" localSheetId="3" hidden="1">1</definedName>
    <definedName name="solver_eng" localSheetId="3" hidden="1">1</definedName>
    <definedName name="solver_est" localSheetId="3" hidden="1">1</definedName>
    <definedName name="solver_itr" localSheetId="3" hidden="1">2147483647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2</definedName>
    <definedName name="solver_nod" localSheetId="3" hidden="1">2147483647</definedName>
    <definedName name="solver_num" localSheetId="3" hidden="1">0</definedName>
    <definedName name="solver_nwt" localSheetId="3" hidden="1">1</definedName>
    <definedName name="solver_opt" localSheetId="3" hidden="1">'Table 4 Evaporation'!$F$36</definedName>
    <definedName name="solver_pre" localSheetId="3" hidden="1">0.000001</definedName>
    <definedName name="solver_rbv" localSheetId="3" hidden="1">1</definedName>
    <definedName name="solver_rlx" localSheetId="3" hidden="1">2</definedName>
    <definedName name="solver_rsd" localSheetId="3" hidden="1">0</definedName>
    <definedName name="solver_scl" localSheetId="3" hidden="1">1</definedName>
    <definedName name="solver_sho" localSheetId="3" hidden="1">2</definedName>
    <definedName name="solver_ssz" localSheetId="3" hidden="1">100</definedName>
    <definedName name="solver_tim" localSheetId="3" hidden="1">2147483647</definedName>
    <definedName name="solver_tol" localSheetId="3" hidden="1">0.01</definedName>
    <definedName name="solver_typ" localSheetId="3" hidden="1">3</definedName>
    <definedName name="solver_val" localSheetId="3" hidden="1">464712046</definedName>
    <definedName name="solver_ver" localSheetId="3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23" l="1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I69" i="23"/>
  <c r="I70" i="23"/>
  <c r="I71" i="23"/>
  <c r="I72" i="23"/>
  <c r="I73" i="23"/>
  <c r="I74" i="23"/>
  <c r="I75" i="23"/>
  <c r="I76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12" i="23"/>
  <c r="I11" i="23"/>
  <c r="I10" i="23"/>
  <c r="R6" i="1"/>
  <c r="R7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U7" i="2"/>
  <c r="U8" i="2" s="1"/>
  <c r="J46" i="21" l="1"/>
  <c r="I46" i="21"/>
  <c r="G46" i="21"/>
  <c r="F60" i="21"/>
  <c r="F59" i="21"/>
  <c r="O61" i="22"/>
  <c r="O66" i="22"/>
  <c r="G87" i="21"/>
  <c r="M49" i="22"/>
  <c r="F47" i="21"/>
  <c r="L47" i="22"/>
  <c r="M47" i="22" l="1"/>
  <c r="N47" i="22" s="1"/>
  <c r="O47" i="22" s="1"/>
  <c r="L9" i="20"/>
  <c r="L8" i="20"/>
  <c r="L7" i="20"/>
  <c r="L6" i="20"/>
  <c r="L5" i="20"/>
  <c r="L4" i="20"/>
  <c r="L3" i="20"/>
  <c r="L10" i="20" s="1"/>
  <c r="S20" i="9"/>
  <c r="Z11" i="26"/>
  <c r="Z12" i="26" s="1"/>
  <c r="Z13" i="26" s="1"/>
  <c r="Z14" i="26" s="1"/>
  <c r="Z16" i="26" s="1"/>
  <c r="L34" i="22"/>
  <c r="M34" i="22" s="1"/>
  <c r="N34" i="22" s="1"/>
  <c r="F34" i="21" s="1"/>
  <c r="G34" i="21" s="1"/>
  <c r="AB11" i="26"/>
  <c r="AB10" i="26" s="1"/>
  <c r="AB12" i="26"/>
  <c r="AB13" i="26" s="1"/>
  <c r="AB14" i="26" s="1"/>
  <c r="AB16" i="26" s="1"/>
  <c r="AA11" i="26"/>
  <c r="Y11" i="26"/>
  <c r="X11" i="26"/>
  <c r="X12" i="26" s="1"/>
  <c r="X13" i="26" s="1"/>
  <c r="X14" i="26" s="1"/>
  <c r="X16" i="26" s="1"/>
  <c r="W11" i="26"/>
  <c r="V11" i="26"/>
  <c r="T12" i="26"/>
  <c r="T13" i="26" s="1"/>
  <c r="T14" i="26" s="1"/>
  <c r="T16" i="26" s="1"/>
  <c r="T25" i="26" s="1"/>
  <c r="T10" i="26"/>
  <c r="Q11" i="26"/>
  <c r="R11" i="26" s="1"/>
  <c r="L9" i="22"/>
  <c r="L8" i="22"/>
  <c r="L13" i="22"/>
  <c r="L12" i="22"/>
  <c r="L11" i="22"/>
  <c r="M11" i="22" s="1"/>
  <c r="N11" i="22" s="1"/>
  <c r="O11" i="22" s="1"/>
  <c r="L10" i="22"/>
  <c r="L75" i="22"/>
  <c r="M75" i="22" s="1"/>
  <c r="N75" i="22" s="1"/>
  <c r="O75" i="22" s="1"/>
  <c r="Z35" i="26" l="1"/>
  <c r="Z24" i="26"/>
  <c r="Z25" i="26"/>
  <c r="Z26" i="26"/>
  <c r="Z27" i="26"/>
  <c r="Z28" i="26"/>
  <c r="Z29" i="26"/>
  <c r="Z30" i="26"/>
  <c r="Z31" i="26"/>
  <c r="Z32" i="26"/>
  <c r="Z33" i="26"/>
  <c r="Z34" i="26"/>
  <c r="Z47" i="26"/>
  <c r="Z36" i="26"/>
  <c r="Z37" i="26"/>
  <c r="Z38" i="26"/>
  <c r="Z39" i="26"/>
  <c r="Z40" i="26"/>
  <c r="Z41" i="26"/>
  <c r="Z42" i="26"/>
  <c r="Z43" i="26"/>
  <c r="Z44" i="26"/>
  <c r="Z45" i="26"/>
  <c r="Z46" i="26"/>
  <c r="Z23" i="26"/>
  <c r="Z48" i="26"/>
  <c r="Z49" i="26"/>
  <c r="Z50" i="26"/>
  <c r="Z51" i="26"/>
  <c r="Z52" i="26"/>
  <c r="Z53" i="26"/>
  <c r="Z54" i="26"/>
  <c r="Z55" i="26"/>
  <c r="Z56" i="26"/>
  <c r="Z57" i="26"/>
  <c r="Z58" i="26"/>
  <c r="Z59" i="26"/>
  <c r="Z60" i="26"/>
  <c r="Z61" i="26"/>
  <c r="Z62" i="26"/>
  <c r="Z63" i="26"/>
  <c r="Z64" i="26"/>
  <c r="Z65" i="26"/>
  <c r="Z66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6" i="26"/>
  <c r="Z87" i="26"/>
  <c r="Z88" i="26"/>
  <c r="Z89" i="26"/>
  <c r="Z90" i="26"/>
  <c r="Z91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8" i="26"/>
  <c r="Z109" i="26"/>
  <c r="Z110" i="26"/>
  <c r="Z111" i="26"/>
  <c r="Z112" i="26"/>
  <c r="Z113" i="26"/>
  <c r="Z114" i="26"/>
  <c r="Z115" i="26"/>
  <c r="Z116" i="26"/>
  <c r="Z117" i="26"/>
  <c r="AB27" i="26"/>
  <c r="AB23" i="26"/>
  <c r="L11" i="20"/>
  <c r="L12" i="20" s="1"/>
  <c r="Z10" i="26"/>
  <c r="J34" i="21"/>
  <c r="I34" i="21"/>
  <c r="H34" i="21"/>
  <c r="X39" i="26"/>
  <c r="X74" i="26"/>
  <c r="X111" i="26"/>
  <c r="X84" i="26"/>
  <c r="X27" i="26"/>
  <c r="X86" i="26"/>
  <c r="X29" i="26"/>
  <c r="X47" i="26"/>
  <c r="X59" i="26"/>
  <c r="X34" i="26"/>
  <c r="X35" i="26"/>
  <c r="X46" i="26"/>
  <c r="X99" i="26"/>
  <c r="X98" i="26"/>
  <c r="X60" i="26"/>
  <c r="X108" i="26"/>
  <c r="X71" i="26"/>
  <c r="X110" i="26"/>
  <c r="X28" i="26"/>
  <c r="X95" i="26"/>
  <c r="AB96" i="26"/>
  <c r="AB72" i="26"/>
  <c r="AB56" i="26"/>
  <c r="AB111" i="26"/>
  <c r="AB87" i="26"/>
  <c r="AB71" i="26"/>
  <c r="AB55" i="26"/>
  <c r="AB47" i="26"/>
  <c r="AB110" i="26"/>
  <c r="AB94" i="26"/>
  <c r="AB78" i="26"/>
  <c r="AB70" i="26"/>
  <c r="AB54" i="26"/>
  <c r="AB46" i="26"/>
  <c r="AB38" i="26"/>
  <c r="AB30" i="26"/>
  <c r="AB109" i="26"/>
  <c r="AB93" i="26"/>
  <c r="AB69" i="26"/>
  <c r="AB45" i="26"/>
  <c r="AB29" i="26"/>
  <c r="AB114" i="26"/>
  <c r="AB106" i="26"/>
  <c r="AB98" i="26"/>
  <c r="AB90" i="26"/>
  <c r="AB82" i="26"/>
  <c r="AB74" i="26"/>
  <c r="AB66" i="26"/>
  <c r="AB58" i="26"/>
  <c r="AB50" i="26"/>
  <c r="AB42" i="26"/>
  <c r="AB34" i="26"/>
  <c r="AB26" i="26"/>
  <c r="AB113" i="26"/>
  <c r="AB105" i="26"/>
  <c r="AB97" i="26"/>
  <c r="AB89" i="26"/>
  <c r="AB81" i="26"/>
  <c r="AB73" i="26"/>
  <c r="AB65" i="26"/>
  <c r="AB57" i="26"/>
  <c r="AB49" i="26"/>
  <c r="AB41" i="26"/>
  <c r="AB33" i="26"/>
  <c r="AB25" i="26"/>
  <c r="AB104" i="26"/>
  <c r="AB64" i="26"/>
  <c r="AB48" i="26"/>
  <c r="AB32" i="26"/>
  <c r="AB24" i="26"/>
  <c r="AB31" i="26"/>
  <c r="AB53" i="26"/>
  <c r="AB112" i="26"/>
  <c r="AB88" i="26"/>
  <c r="AB102" i="26"/>
  <c r="AB62" i="26"/>
  <c r="AB101" i="26"/>
  <c r="AB85" i="26"/>
  <c r="AB61" i="26"/>
  <c r="AB37" i="26"/>
  <c r="AB100" i="26"/>
  <c r="AB84" i="26"/>
  <c r="AB76" i="26"/>
  <c r="AB68" i="26"/>
  <c r="AB52" i="26"/>
  <c r="AB44" i="26"/>
  <c r="AB36" i="26"/>
  <c r="AB28" i="26"/>
  <c r="AB80" i="26"/>
  <c r="AB40" i="26"/>
  <c r="AB103" i="26"/>
  <c r="AB95" i="26"/>
  <c r="AB79" i="26"/>
  <c r="AB63" i="26"/>
  <c r="AB39" i="26"/>
  <c r="AB86" i="26"/>
  <c r="AB117" i="26"/>
  <c r="AB77" i="26"/>
  <c r="AB116" i="26"/>
  <c r="AB108" i="26"/>
  <c r="AB92" i="26"/>
  <c r="AB60" i="26"/>
  <c r="AB115" i="26"/>
  <c r="AB107" i="26"/>
  <c r="AB99" i="26"/>
  <c r="AB91" i="26"/>
  <c r="AB83" i="26"/>
  <c r="AB75" i="26"/>
  <c r="AB67" i="26"/>
  <c r="AB59" i="26"/>
  <c r="AB51" i="26"/>
  <c r="AB43" i="26"/>
  <c r="AB35" i="26"/>
  <c r="X70" i="26"/>
  <c r="X44" i="26"/>
  <c r="X24" i="26"/>
  <c r="X82" i="26"/>
  <c r="X58" i="26"/>
  <c r="X23" i="26"/>
  <c r="X106" i="26"/>
  <c r="X92" i="26"/>
  <c r="X79" i="26"/>
  <c r="X67" i="26"/>
  <c r="X54" i="26"/>
  <c r="X42" i="26"/>
  <c r="X107" i="26"/>
  <c r="X94" i="26"/>
  <c r="X68" i="26"/>
  <c r="X55" i="26"/>
  <c r="X43" i="26"/>
  <c r="X116" i="26"/>
  <c r="X103" i="26"/>
  <c r="X91" i="26"/>
  <c r="X78" i="26"/>
  <c r="X66" i="26"/>
  <c r="X52" i="26"/>
  <c r="X32" i="26"/>
  <c r="X40" i="26"/>
  <c r="X48" i="26"/>
  <c r="X56" i="26"/>
  <c r="X64" i="26"/>
  <c r="X72" i="26"/>
  <c r="X80" i="26"/>
  <c r="X88" i="26"/>
  <c r="X96" i="26"/>
  <c r="X104" i="26"/>
  <c r="X112" i="26"/>
  <c r="X25" i="26"/>
  <c r="X33" i="26"/>
  <c r="X41" i="26"/>
  <c r="X49" i="26"/>
  <c r="X57" i="26"/>
  <c r="X65" i="26"/>
  <c r="X73" i="26"/>
  <c r="X81" i="26"/>
  <c r="X89" i="26"/>
  <c r="X97" i="26"/>
  <c r="X105" i="26"/>
  <c r="X113" i="26"/>
  <c r="X26" i="26"/>
  <c r="X37" i="26"/>
  <c r="X45" i="26"/>
  <c r="X53" i="26"/>
  <c r="X61" i="26"/>
  <c r="X69" i="26"/>
  <c r="X77" i="26"/>
  <c r="X85" i="26"/>
  <c r="X93" i="26"/>
  <c r="X101" i="26"/>
  <c r="X109" i="26"/>
  <c r="X117" i="26"/>
  <c r="X30" i="26"/>
  <c r="X115" i="26"/>
  <c r="X102" i="26"/>
  <c r="X90" i="26"/>
  <c r="X76" i="26"/>
  <c r="X63" i="26"/>
  <c r="X51" i="26"/>
  <c r="X38" i="26"/>
  <c r="X83" i="26"/>
  <c r="X31" i="26"/>
  <c r="X114" i="26"/>
  <c r="X100" i="26"/>
  <c r="X87" i="26"/>
  <c r="X75" i="26"/>
  <c r="X62" i="26"/>
  <c r="X50" i="26"/>
  <c r="X36" i="26"/>
  <c r="X10" i="26"/>
  <c r="T99" i="26"/>
  <c r="T67" i="26"/>
  <c r="T35" i="26"/>
  <c r="T94" i="26"/>
  <c r="T30" i="26"/>
  <c r="T59" i="26"/>
  <c r="T54" i="26"/>
  <c r="T46" i="26"/>
  <c r="T62" i="26"/>
  <c r="T91" i="26"/>
  <c r="T83" i="26"/>
  <c r="T75" i="26"/>
  <c r="T43" i="26"/>
  <c r="T27" i="26"/>
  <c r="T86" i="26"/>
  <c r="T115" i="26"/>
  <c r="T51" i="26"/>
  <c r="T110" i="26"/>
  <c r="T78" i="26"/>
  <c r="T107" i="26"/>
  <c r="T102" i="26"/>
  <c r="T70" i="26"/>
  <c r="T38" i="26"/>
  <c r="T112" i="26"/>
  <c r="T104" i="26"/>
  <c r="T96" i="26"/>
  <c r="T88" i="26"/>
  <c r="T80" i="26"/>
  <c r="T72" i="26"/>
  <c r="T64" i="26"/>
  <c r="T56" i="26"/>
  <c r="T48" i="26"/>
  <c r="T40" i="26"/>
  <c r="T32" i="26"/>
  <c r="T24" i="26"/>
  <c r="T111" i="26"/>
  <c r="T103" i="26"/>
  <c r="T95" i="26"/>
  <c r="T87" i="26"/>
  <c r="T79" i="26"/>
  <c r="T71" i="26"/>
  <c r="T63" i="26"/>
  <c r="T55" i="26"/>
  <c r="T47" i="26"/>
  <c r="T39" i="26"/>
  <c r="T31" i="26"/>
  <c r="T23" i="26"/>
  <c r="T117" i="26"/>
  <c r="T109" i="26"/>
  <c r="T101" i="26"/>
  <c r="T93" i="26"/>
  <c r="T85" i="26"/>
  <c r="T77" i="26"/>
  <c r="T69" i="26"/>
  <c r="T61" i="26"/>
  <c r="T53" i="26"/>
  <c r="T45" i="26"/>
  <c r="T37" i="26"/>
  <c r="T29" i="26"/>
  <c r="T116" i="26"/>
  <c r="T108" i="26"/>
  <c r="T100" i="26"/>
  <c r="T92" i="26"/>
  <c r="T84" i="26"/>
  <c r="T76" i="26"/>
  <c r="T68" i="26"/>
  <c r="T60" i="26"/>
  <c r="T52" i="26"/>
  <c r="T44" i="26"/>
  <c r="T36" i="26"/>
  <c r="T28" i="26"/>
  <c r="T114" i="26"/>
  <c r="T106" i="26"/>
  <c r="T98" i="26"/>
  <c r="T90" i="26"/>
  <c r="T82" i="26"/>
  <c r="T74" i="26"/>
  <c r="T66" i="26"/>
  <c r="T58" i="26"/>
  <c r="T50" i="26"/>
  <c r="T42" i="26"/>
  <c r="T34" i="26"/>
  <c r="T26" i="26"/>
  <c r="T113" i="26"/>
  <c r="T105" i="26"/>
  <c r="T97" i="26"/>
  <c r="T89" i="26"/>
  <c r="T81" i="26"/>
  <c r="T73" i="26"/>
  <c r="T65" i="26"/>
  <c r="T57" i="26"/>
  <c r="T49" i="26"/>
  <c r="T41" i="26"/>
  <c r="T33" i="26"/>
  <c r="R12" i="26"/>
  <c r="R13" i="26" s="1"/>
  <c r="R14" i="26" s="1"/>
  <c r="R16" i="26" s="1"/>
  <c r="R10" i="26"/>
  <c r="M8" i="22"/>
  <c r="N8" i="22" s="1"/>
  <c r="F8" i="21" s="1"/>
  <c r="G8" i="21" s="1"/>
  <c r="F11" i="21"/>
  <c r="G11" i="21" s="1"/>
  <c r="H11" i="21" s="1"/>
  <c r="M9" i="22"/>
  <c r="N9" i="22" s="1"/>
  <c r="F9" i="21" s="1"/>
  <c r="G9" i="21" s="1"/>
  <c r="M10" i="22"/>
  <c r="N10" i="22" s="1"/>
  <c r="M12" i="22"/>
  <c r="N12" i="22" s="1"/>
  <c r="F12" i="21" s="1"/>
  <c r="G12" i="21" s="1"/>
  <c r="I12" i="21" s="1"/>
  <c r="M13" i="22"/>
  <c r="N13" i="22" s="1"/>
  <c r="F13" i="21" s="1"/>
  <c r="G13" i="21" s="1"/>
  <c r="H13" i="21" s="1"/>
  <c r="L25" i="22"/>
  <c r="L27" i="22"/>
  <c r="L26" i="22"/>
  <c r="M26" i="22" s="1"/>
  <c r="N26" i="22" s="1"/>
  <c r="F26" i="21" s="1"/>
  <c r="G26" i="21" s="1"/>
  <c r="L23" i="22"/>
  <c r="L24" i="22"/>
  <c r="M24" i="22" s="1"/>
  <c r="N24" i="22" s="1"/>
  <c r="F24" i="21" s="1"/>
  <c r="G24" i="21" s="1"/>
  <c r="L18" i="22"/>
  <c r="S14" i="9"/>
  <c r="L36" i="22"/>
  <c r="L35" i="22"/>
  <c r="L33" i="22"/>
  <c r="L32" i="22"/>
  <c r="M32" i="22" s="1"/>
  <c r="N32" i="22" s="1"/>
  <c r="O32" i="22" s="1"/>
  <c r="AM15" i="9"/>
  <c r="AM16" i="9"/>
  <c r="AM17" i="9"/>
  <c r="AM18" i="9"/>
  <c r="AM19" i="9"/>
  <c r="AM20" i="9"/>
  <c r="AM21" i="9"/>
  <c r="AM22" i="9"/>
  <c r="AM23" i="9"/>
  <c r="AM24" i="9"/>
  <c r="AM25" i="9"/>
  <c r="AM26" i="9"/>
  <c r="AM27" i="9"/>
  <c r="AM28" i="9"/>
  <c r="AM29" i="9"/>
  <c r="AM30" i="9"/>
  <c r="AM31" i="9"/>
  <c r="AM32" i="9"/>
  <c r="AM33" i="9"/>
  <c r="AM34" i="9"/>
  <c r="AM35" i="9"/>
  <c r="AM36" i="9"/>
  <c r="AM37" i="9"/>
  <c r="AM38" i="9"/>
  <c r="AM39" i="9"/>
  <c r="AM40" i="9"/>
  <c r="AM41" i="9"/>
  <c r="AM42" i="9"/>
  <c r="AM43" i="9"/>
  <c r="AM44" i="9"/>
  <c r="AM45" i="9"/>
  <c r="AM46" i="9"/>
  <c r="AM47" i="9"/>
  <c r="AM48" i="9"/>
  <c r="AM49" i="9"/>
  <c r="AM50" i="9"/>
  <c r="AM51" i="9"/>
  <c r="AM52" i="9"/>
  <c r="AM53" i="9"/>
  <c r="AM54" i="9"/>
  <c r="AM55" i="9"/>
  <c r="AM56" i="9"/>
  <c r="AM57" i="9"/>
  <c r="AM58" i="9"/>
  <c r="AM59" i="9"/>
  <c r="AM60" i="9"/>
  <c r="AM61" i="9"/>
  <c r="AM62" i="9"/>
  <c r="AM63" i="9"/>
  <c r="AM64" i="9"/>
  <c r="AM65" i="9"/>
  <c r="AM66" i="9"/>
  <c r="AM67" i="9"/>
  <c r="AM68" i="9"/>
  <c r="AM69" i="9"/>
  <c r="AM70" i="9"/>
  <c r="AM71" i="9"/>
  <c r="AM72" i="9"/>
  <c r="AM73" i="9"/>
  <c r="AM74" i="9"/>
  <c r="AM75" i="9"/>
  <c r="AM76" i="9"/>
  <c r="AM77" i="9"/>
  <c r="AM78" i="9"/>
  <c r="AM79" i="9"/>
  <c r="AM80" i="9"/>
  <c r="AM81" i="9"/>
  <c r="AM82" i="9"/>
  <c r="AM83" i="9"/>
  <c r="AM84" i="9"/>
  <c r="AM85" i="9"/>
  <c r="AM86" i="9"/>
  <c r="AM87" i="9"/>
  <c r="AM88" i="9"/>
  <c r="AM89" i="9"/>
  <c r="AM90" i="9"/>
  <c r="AM91" i="9"/>
  <c r="AM92" i="9"/>
  <c r="AM93" i="9"/>
  <c r="AM94" i="9"/>
  <c r="AM95" i="9"/>
  <c r="AM96" i="9"/>
  <c r="AM97" i="9"/>
  <c r="AM98" i="9"/>
  <c r="AM99" i="9"/>
  <c r="AM100" i="9"/>
  <c r="AM101" i="9"/>
  <c r="AM102" i="9"/>
  <c r="AM103" i="9"/>
  <c r="AM104" i="9"/>
  <c r="AM105" i="9"/>
  <c r="AM106" i="9"/>
  <c r="AM107" i="9"/>
  <c r="AM108" i="9"/>
  <c r="AM14" i="9"/>
  <c r="AM9" i="9"/>
  <c r="AN14" i="9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6" i="1"/>
  <c r="AI14" i="9"/>
  <c r="AI9" i="9"/>
  <c r="AJ9" i="9"/>
  <c r="S21" i="9"/>
  <c r="AJ10" i="9"/>
  <c r="AJ11" i="9"/>
  <c r="AJ12" i="9"/>
  <c r="AJ13" i="9"/>
  <c r="AJ14" i="9"/>
  <c r="AJ15" i="9"/>
  <c r="AJ16" i="9"/>
  <c r="AJ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43" i="9"/>
  <c r="AJ44" i="9"/>
  <c r="AJ45" i="9"/>
  <c r="AJ46" i="9"/>
  <c r="AJ47" i="9"/>
  <c r="AJ48" i="9"/>
  <c r="AJ49" i="9"/>
  <c r="AJ50" i="9"/>
  <c r="AJ51" i="9"/>
  <c r="AJ52" i="9"/>
  <c r="AJ53" i="9"/>
  <c r="AJ54" i="9"/>
  <c r="AJ55" i="9"/>
  <c r="AJ56" i="9"/>
  <c r="AJ57" i="9"/>
  <c r="AJ58" i="9"/>
  <c r="AJ59" i="9"/>
  <c r="AJ60" i="9"/>
  <c r="AJ61" i="9"/>
  <c r="AJ62" i="9"/>
  <c r="AJ63" i="9"/>
  <c r="AJ64" i="9"/>
  <c r="AJ65" i="9"/>
  <c r="AJ66" i="9"/>
  <c r="AJ67" i="9"/>
  <c r="AJ68" i="9"/>
  <c r="AJ69" i="9"/>
  <c r="AJ70" i="9"/>
  <c r="AJ71" i="9"/>
  <c r="AJ72" i="9"/>
  <c r="AJ73" i="9"/>
  <c r="AJ74" i="9"/>
  <c r="AJ75" i="9"/>
  <c r="AJ76" i="9"/>
  <c r="AJ77" i="9"/>
  <c r="AJ78" i="9"/>
  <c r="AJ79" i="9"/>
  <c r="AJ80" i="9"/>
  <c r="AJ81" i="9"/>
  <c r="AJ82" i="9"/>
  <c r="AJ83" i="9"/>
  <c r="AJ84" i="9"/>
  <c r="AJ85" i="9"/>
  <c r="AJ86" i="9"/>
  <c r="AJ87" i="9"/>
  <c r="AJ88" i="9"/>
  <c r="AJ89" i="9"/>
  <c r="AJ90" i="9"/>
  <c r="AJ91" i="9"/>
  <c r="AJ92" i="9"/>
  <c r="AJ93" i="9"/>
  <c r="AJ94" i="9"/>
  <c r="AJ95" i="9"/>
  <c r="AJ96" i="9"/>
  <c r="AJ97" i="9"/>
  <c r="AJ98" i="9"/>
  <c r="AJ99" i="9"/>
  <c r="AJ100" i="9"/>
  <c r="AJ101" i="9"/>
  <c r="AJ102" i="9"/>
  <c r="AJ103" i="9"/>
  <c r="AJ104" i="9"/>
  <c r="AJ105" i="9"/>
  <c r="AJ106" i="9"/>
  <c r="AJ107" i="9"/>
  <c r="AJ108" i="9"/>
  <c r="E34" i="25"/>
  <c r="AK9" i="9"/>
  <c r="I8" i="21" l="1"/>
  <c r="J8" i="21"/>
  <c r="H8" i="21"/>
  <c r="H9" i="21"/>
  <c r="I9" i="21"/>
  <c r="J9" i="21"/>
  <c r="R30" i="26"/>
  <c r="R38" i="26"/>
  <c r="R46" i="26"/>
  <c r="R54" i="26"/>
  <c r="R62" i="26"/>
  <c r="R70" i="26"/>
  <c r="R78" i="26"/>
  <c r="R86" i="26"/>
  <c r="R94" i="26"/>
  <c r="R102" i="26"/>
  <c r="R110" i="26"/>
  <c r="R23" i="26"/>
  <c r="R31" i="26"/>
  <c r="R39" i="26"/>
  <c r="R47" i="26"/>
  <c r="R55" i="26"/>
  <c r="R63" i="26"/>
  <c r="R71" i="26"/>
  <c r="R79" i="26"/>
  <c r="R87" i="26"/>
  <c r="R95" i="26"/>
  <c r="R103" i="26"/>
  <c r="R111" i="26"/>
  <c r="R24" i="26"/>
  <c r="R32" i="26"/>
  <c r="R27" i="26"/>
  <c r="R35" i="26"/>
  <c r="R43" i="26"/>
  <c r="R51" i="26"/>
  <c r="R59" i="26"/>
  <c r="R67" i="26"/>
  <c r="R75" i="26"/>
  <c r="R83" i="26"/>
  <c r="R91" i="26"/>
  <c r="R99" i="26"/>
  <c r="R107" i="26"/>
  <c r="R115" i="26"/>
  <c r="R36" i="26"/>
  <c r="R44" i="26"/>
  <c r="R52" i="26"/>
  <c r="R60" i="26"/>
  <c r="R68" i="26"/>
  <c r="R84" i="26"/>
  <c r="R100" i="26"/>
  <c r="R116" i="26"/>
  <c r="R28" i="26"/>
  <c r="R76" i="26"/>
  <c r="R92" i="26"/>
  <c r="R108" i="26"/>
  <c r="R37" i="26"/>
  <c r="R53" i="26"/>
  <c r="R69" i="26"/>
  <c r="R85" i="26"/>
  <c r="R101" i="26"/>
  <c r="R117" i="26"/>
  <c r="R48" i="26"/>
  <c r="R96" i="26"/>
  <c r="R49" i="26"/>
  <c r="R97" i="26"/>
  <c r="R50" i="26"/>
  <c r="R82" i="26"/>
  <c r="R40" i="26"/>
  <c r="R56" i="26"/>
  <c r="R72" i="26"/>
  <c r="R88" i="26"/>
  <c r="R104" i="26"/>
  <c r="R29" i="26"/>
  <c r="R64" i="26"/>
  <c r="R80" i="26"/>
  <c r="R112" i="26"/>
  <c r="R33" i="26"/>
  <c r="R65" i="26"/>
  <c r="R113" i="26"/>
  <c r="R66" i="26"/>
  <c r="R98" i="26"/>
  <c r="R41" i="26"/>
  <c r="R57" i="26"/>
  <c r="R73" i="26"/>
  <c r="R89" i="26"/>
  <c r="R105" i="26"/>
  <c r="R25" i="26"/>
  <c r="R42" i="26"/>
  <c r="R58" i="26"/>
  <c r="R74" i="26"/>
  <c r="R90" i="26"/>
  <c r="R106" i="26"/>
  <c r="R26" i="26"/>
  <c r="R45" i="26"/>
  <c r="R61" i="26"/>
  <c r="R77" i="26"/>
  <c r="R93" i="26"/>
  <c r="R109" i="26"/>
  <c r="R81" i="26"/>
  <c r="R34" i="26"/>
  <c r="R114" i="26"/>
  <c r="J13" i="21"/>
  <c r="I13" i="21"/>
  <c r="J12" i="21"/>
  <c r="H12" i="21"/>
  <c r="I11" i="21"/>
  <c r="O10" i="22"/>
  <c r="F10" i="21"/>
  <c r="G10" i="21" s="1"/>
  <c r="J11" i="21"/>
  <c r="H26" i="21"/>
  <c r="I26" i="21"/>
  <c r="J26" i="21"/>
  <c r="O24" i="22"/>
  <c r="M25" i="22"/>
  <c r="N25" i="22" s="1"/>
  <c r="I24" i="21"/>
  <c r="H24" i="21"/>
  <c r="J24" i="21"/>
  <c r="M27" i="22"/>
  <c r="N27" i="22" s="1"/>
  <c r="F27" i="21" s="1"/>
  <c r="G27" i="21" s="1"/>
  <c r="M23" i="22"/>
  <c r="N23" i="22" s="1"/>
  <c r="M18" i="22"/>
  <c r="N18" i="22" s="1"/>
  <c r="F32" i="21"/>
  <c r="G32" i="21" s="1"/>
  <c r="I32" i="21" s="1"/>
  <c r="M35" i="22"/>
  <c r="N35" i="22" s="1"/>
  <c r="F35" i="21" s="1"/>
  <c r="G35" i="21" s="1"/>
  <c r="J35" i="21" s="1"/>
  <c r="M36" i="22"/>
  <c r="N36" i="22" s="1"/>
  <c r="F36" i="21" s="1"/>
  <c r="G36" i="21" s="1"/>
  <c r="H36" i="21" s="1"/>
  <c r="M33" i="22"/>
  <c r="N33" i="22" s="1"/>
  <c r="L48" i="22"/>
  <c r="Q22" i="9"/>
  <c r="Q21" i="9"/>
  <c r="M22" i="9"/>
  <c r="M21" i="9"/>
  <c r="M20" i="9"/>
  <c r="M10" i="9"/>
  <c r="M11" i="9"/>
  <c r="M12" i="9"/>
  <c r="M13" i="9"/>
  <c r="M14" i="9"/>
  <c r="M15" i="9"/>
  <c r="M16" i="9"/>
  <c r="M17" i="9"/>
  <c r="M18" i="9"/>
  <c r="M19" i="9"/>
  <c r="M9" i="9"/>
  <c r="K20" i="9"/>
  <c r="Q20" i="9"/>
  <c r="T11" i="9"/>
  <c r="T12" i="9"/>
  <c r="T13" i="9" s="1"/>
  <c r="T14" i="9" s="1"/>
  <c r="T15" i="9" s="1"/>
  <c r="T16" i="9" s="1"/>
  <c r="T17" i="9" s="1"/>
  <c r="T18" i="9" s="1"/>
  <c r="T10" i="9"/>
  <c r="T9" i="9"/>
  <c r="T4" i="9"/>
  <c r="U19" i="9" s="1"/>
  <c r="F6" i="25"/>
  <c r="F7" i="25"/>
  <c r="F8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5" i="25"/>
  <c r="E36" i="25"/>
  <c r="R12" i="9"/>
  <c r="R13" i="9" s="1"/>
  <c r="R14" i="9" s="1"/>
  <c r="R15" i="9" s="1"/>
  <c r="R16" i="9" s="1"/>
  <c r="R17" i="9" s="1"/>
  <c r="R18" i="9" s="1"/>
  <c r="R11" i="9"/>
  <c r="R10" i="9"/>
  <c r="R9" i="9"/>
  <c r="R4" i="9"/>
  <c r="J10" i="21" l="1"/>
  <c r="H10" i="21"/>
  <c r="I10" i="21"/>
  <c r="H27" i="21"/>
  <c r="I27" i="21"/>
  <c r="J27" i="21"/>
  <c r="O18" i="22"/>
  <c r="F18" i="21"/>
  <c r="G18" i="21" s="1"/>
  <c r="F25" i="21"/>
  <c r="G25" i="21" s="1"/>
  <c r="O23" i="22"/>
  <c r="F23" i="21"/>
  <c r="G23" i="21" s="1"/>
  <c r="H32" i="21"/>
  <c r="I36" i="21"/>
  <c r="J36" i="21"/>
  <c r="J32" i="21"/>
  <c r="O33" i="22"/>
  <c r="F33" i="21"/>
  <c r="G33" i="21" s="1"/>
  <c r="H35" i="21"/>
  <c r="I35" i="21"/>
  <c r="M48" i="22"/>
  <c r="N48" i="22" s="1"/>
  <c r="E7" i="6"/>
  <c r="E6" i="6"/>
  <c r="E5" i="6"/>
  <c r="E4" i="6"/>
  <c r="N7" i="6"/>
  <c r="N6" i="6"/>
  <c r="B64" i="16"/>
  <c r="B65" i="16" s="1"/>
  <c r="B66" i="16" s="1"/>
  <c r="B67" i="16" s="1"/>
  <c r="B68" i="16" s="1"/>
  <c r="B69" i="16" s="1"/>
  <c r="B70" i="16" s="1"/>
  <c r="B71" i="16" s="1"/>
  <c r="B72" i="16" s="1"/>
  <c r="B73" i="16" s="1"/>
  <c r="B74" i="16" s="1"/>
  <c r="B75" i="16" s="1"/>
  <c r="B76" i="16" s="1"/>
  <c r="B77" i="16" s="1"/>
  <c r="B78" i="16" s="1"/>
  <c r="B79" i="16" s="1"/>
  <c r="B80" i="16" s="1"/>
  <c r="B81" i="16" s="1"/>
  <c r="B82" i="16" s="1"/>
  <c r="B83" i="16" s="1"/>
  <c r="B84" i="16" s="1"/>
  <c r="B85" i="16" s="1"/>
  <c r="B86" i="16" s="1"/>
  <c r="B87" i="16" s="1"/>
  <c r="B88" i="16" s="1"/>
  <c r="B89" i="16" s="1"/>
  <c r="B90" i="16" s="1"/>
  <c r="B91" i="16" s="1"/>
  <c r="B92" i="16" s="1"/>
  <c r="B93" i="16" s="1"/>
  <c r="B94" i="16" s="1"/>
  <c r="B95" i="16" s="1"/>
  <c r="B96" i="16" s="1"/>
  <c r="B97" i="16" s="1"/>
  <c r="B98" i="16" s="1"/>
  <c r="B63" i="16"/>
  <c r="B53" i="16"/>
  <c r="B54" i="16"/>
  <c r="B55" i="16"/>
  <c r="B56" i="16"/>
  <c r="B57" i="16"/>
  <c r="B58" i="16" s="1"/>
  <c r="B59" i="16" s="1"/>
  <c r="B60" i="16" s="1"/>
  <c r="B61" i="16" s="1"/>
  <c r="B7" i="16"/>
  <c r="B8" i="16"/>
  <c r="B9" i="16"/>
  <c r="B10" i="16"/>
  <c r="B11" i="16"/>
  <c r="B12" i="16"/>
  <c r="B13" i="16"/>
  <c r="B14" i="16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B6" i="16"/>
  <c r="B72" i="9"/>
  <c r="C6" i="6"/>
  <c r="C7" i="6"/>
  <c r="K73" i="22"/>
  <c r="L4" i="22"/>
  <c r="M4" i="22" s="1"/>
  <c r="N4" i="22" s="1"/>
  <c r="E5" i="26"/>
  <c r="AG11" i="26"/>
  <c r="AG12" i="26" s="1"/>
  <c r="AG13" i="26" s="1"/>
  <c r="AG14" i="26" s="1"/>
  <c r="AG16" i="26" s="1"/>
  <c r="AG47" i="26" s="1"/>
  <c r="AF11" i="26"/>
  <c r="AD11" i="26"/>
  <c r="AC11" i="26"/>
  <c r="D11" i="26" s="1"/>
  <c r="AE11" i="26"/>
  <c r="O19" i="26"/>
  <c r="O20" i="26"/>
  <c r="O21" i="26"/>
  <c r="O22" i="26"/>
  <c r="O18" i="26"/>
  <c r="E17" i="26"/>
  <c r="E16" i="26"/>
  <c r="E13" i="26"/>
  <c r="E12" i="26"/>
  <c r="E11" i="26"/>
  <c r="E10" i="26"/>
  <c r="E9" i="26"/>
  <c r="E8" i="26"/>
  <c r="E7" i="26"/>
  <c r="C11" i="26"/>
  <c r="C10" i="26"/>
  <c r="C9" i="26"/>
  <c r="C8" i="26"/>
  <c r="C7" i="26"/>
  <c r="C6" i="26"/>
  <c r="AH16" i="26"/>
  <c r="F19" i="26" s="1"/>
  <c r="H19" i="26" s="1"/>
  <c r="I19" i="26" s="1"/>
  <c r="D10" i="26"/>
  <c r="Q12" i="26"/>
  <c r="Q13" i="26" s="1"/>
  <c r="Q14" i="26" s="1"/>
  <c r="Q16" i="26" s="1"/>
  <c r="E6" i="26"/>
  <c r="B29" i="26"/>
  <c r="B30" i="26" s="1"/>
  <c r="B31" i="26" s="1"/>
  <c r="B32" i="26" s="1"/>
  <c r="B33" i="26" s="1"/>
  <c r="B34" i="26" s="1"/>
  <c r="B35" i="26" s="1"/>
  <c r="B36" i="26" s="1"/>
  <c r="B37" i="26" s="1"/>
  <c r="B38" i="26" s="1"/>
  <c r="B39" i="26" s="1"/>
  <c r="B40" i="26" s="1"/>
  <c r="B41" i="26" s="1"/>
  <c r="B42" i="26" s="1"/>
  <c r="B43" i="26" s="1"/>
  <c r="B44" i="26" s="1"/>
  <c r="B45" i="26" s="1"/>
  <c r="B46" i="26" s="1"/>
  <c r="B47" i="26" s="1"/>
  <c r="B48" i="26" s="1"/>
  <c r="B49" i="26" s="1"/>
  <c r="B50" i="26" s="1"/>
  <c r="B51" i="26" s="1"/>
  <c r="B52" i="26" s="1"/>
  <c r="B53" i="26" s="1"/>
  <c r="B54" i="26" s="1"/>
  <c r="B55" i="26" s="1"/>
  <c r="B56" i="26" s="1"/>
  <c r="B57" i="26" s="1"/>
  <c r="B58" i="26" s="1"/>
  <c r="B59" i="26" s="1"/>
  <c r="B60" i="26" s="1"/>
  <c r="B61" i="26" s="1"/>
  <c r="B62" i="26" s="1"/>
  <c r="B63" i="26" s="1"/>
  <c r="B64" i="26" s="1"/>
  <c r="B65" i="26" s="1"/>
  <c r="B66" i="26" s="1"/>
  <c r="B67" i="26" s="1"/>
  <c r="B68" i="26" s="1"/>
  <c r="B69" i="26" s="1"/>
  <c r="B70" i="26" s="1"/>
  <c r="B71" i="26" s="1"/>
  <c r="B72" i="26" s="1"/>
  <c r="B73" i="26" s="1"/>
  <c r="B74" i="26" s="1"/>
  <c r="B75" i="26" s="1"/>
  <c r="B76" i="26" s="1"/>
  <c r="B77" i="26" s="1"/>
  <c r="B78" i="26" s="1"/>
  <c r="B79" i="26" s="1"/>
  <c r="B80" i="26" s="1"/>
  <c r="B81" i="26" s="1"/>
  <c r="B82" i="26" s="1"/>
  <c r="B83" i="26" s="1"/>
  <c r="B84" i="26" s="1"/>
  <c r="B85" i="26" s="1"/>
  <c r="B86" i="26" s="1"/>
  <c r="B87" i="26" s="1"/>
  <c r="B88" i="26" s="1"/>
  <c r="B89" i="26" s="1"/>
  <c r="N17" i="26"/>
  <c r="M19" i="26"/>
  <c r="M20" i="26" s="1"/>
  <c r="M21" i="26" s="1"/>
  <c r="M22" i="26" s="1"/>
  <c r="M23" i="26" s="1"/>
  <c r="M24" i="26" s="1"/>
  <c r="M25" i="26" s="1"/>
  <c r="M26" i="26" s="1"/>
  <c r="M27" i="26" s="1"/>
  <c r="M28" i="26" s="1"/>
  <c r="M29" i="26" s="1"/>
  <c r="M30" i="26" s="1"/>
  <c r="M31" i="26" s="1"/>
  <c r="M32" i="26" s="1"/>
  <c r="M33" i="26" s="1"/>
  <c r="M34" i="26" s="1"/>
  <c r="M35" i="26" s="1"/>
  <c r="M36" i="26" s="1"/>
  <c r="M37" i="26" s="1"/>
  <c r="M38" i="26" s="1"/>
  <c r="M39" i="26" s="1"/>
  <c r="M40" i="26" s="1"/>
  <c r="M41" i="26" s="1"/>
  <c r="M42" i="26" s="1"/>
  <c r="M43" i="26" s="1"/>
  <c r="M44" i="26" s="1"/>
  <c r="M45" i="26" s="1"/>
  <c r="M46" i="26" s="1"/>
  <c r="M47" i="26" s="1"/>
  <c r="M48" i="26" s="1"/>
  <c r="M49" i="26" s="1"/>
  <c r="M50" i="26" s="1"/>
  <c r="M51" i="26" s="1"/>
  <c r="M52" i="26" s="1"/>
  <c r="M53" i="26" s="1"/>
  <c r="M54" i="26" s="1"/>
  <c r="M55" i="26" s="1"/>
  <c r="M56" i="26" s="1"/>
  <c r="M57" i="26" s="1"/>
  <c r="M58" i="26" s="1"/>
  <c r="M59" i="26" s="1"/>
  <c r="M60" i="26" s="1"/>
  <c r="M61" i="26" s="1"/>
  <c r="M62" i="26" s="1"/>
  <c r="M63" i="26" s="1"/>
  <c r="M64" i="26" s="1"/>
  <c r="M65" i="26" s="1"/>
  <c r="M66" i="26" s="1"/>
  <c r="M67" i="26" s="1"/>
  <c r="M68" i="26" s="1"/>
  <c r="M69" i="26" s="1"/>
  <c r="M70" i="26" s="1"/>
  <c r="M71" i="26" s="1"/>
  <c r="M72" i="26" s="1"/>
  <c r="M73" i="26" s="1"/>
  <c r="M74" i="26" s="1"/>
  <c r="M75" i="26" s="1"/>
  <c r="M76" i="26" s="1"/>
  <c r="M77" i="26" s="1"/>
  <c r="M78" i="26" s="1"/>
  <c r="M79" i="26" s="1"/>
  <c r="M80" i="26" s="1"/>
  <c r="M81" i="26" s="1"/>
  <c r="M82" i="26" s="1"/>
  <c r="M83" i="26" s="1"/>
  <c r="M84" i="26" s="1"/>
  <c r="M85" i="26" s="1"/>
  <c r="M86" i="26" s="1"/>
  <c r="M87" i="26" s="1"/>
  <c r="M88" i="26" s="1"/>
  <c r="M89" i="26" s="1"/>
  <c r="M90" i="26" s="1"/>
  <c r="M91" i="26" s="1"/>
  <c r="M92" i="26" s="1"/>
  <c r="M93" i="26" s="1"/>
  <c r="M94" i="26" s="1"/>
  <c r="M95" i="26" s="1"/>
  <c r="M96" i="26" s="1"/>
  <c r="M97" i="26" s="1"/>
  <c r="M98" i="26" s="1"/>
  <c r="M99" i="26" s="1"/>
  <c r="M100" i="26" s="1"/>
  <c r="M101" i="26" s="1"/>
  <c r="M102" i="26" s="1"/>
  <c r="M103" i="26" s="1"/>
  <c r="M104" i="26" s="1"/>
  <c r="M105" i="26" s="1"/>
  <c r="M106" i="26" s="1"/>
  <c r="M107" i="26" s="1"/>
  <c r="M108" i="26" s="1"/>
  <c r="M109" i="26" s="1"/>
  <c r="M110" i="26" s="1"/>
  <c r="M111" i="26" s="1"/>
  <c r="M112" i="26" s="1"/>
  <c r="M113" i="26" s="1"/>
  <c r="M114" i="26" s="1"/>
  <c r="M115" i="26" s="1"/>
  <c r="M116" i="26" s="1"/>
  <c r="M117" i="26" s="1"/>
  <c r="E15" i="26"/>
  <c r="F4" i="17"/>
  <c r="D4" i="17"/>
  <c r="D5" i="17"/>
  <c r="F5" i="17" s="1"/>
  <c r="E5" i="17"/>
  <c r="E6" i="17" s="1"/>
  <c r="E7" i="17" s="1"/>
  <c r="E8" i="17" s="1"/>
  <c r="E9" i="17" s="1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E21" i="17" s="1"/>
  <c r="E22" i="17" s="1"/>
  <c r="E23" i="17" s="1"/>
  <c r="E24" i="17" s="1"/>
  <c r="E25" i="17" s="1"/>
  <c r="E26" i="17" s="1"/>
  <c r="E27" i="17" s="1"/>
  <c r="E28" i="17" s="1"/>
  <c r="E29" i="17" s="1"/>
  <c r="E30" i="17" s="1"/>
  <c r="E31" i="17" s="1"/>
  <c r="E32" i="17" s="1"/>
  <c r="E33" i="17" s="1"/>
  <c r="E34" i="17" s="1"/>
  <c r="E35" i="17" s="1"/>
  <c r="E36" i="17" s="1"/>
  <c r="E37" i="17" s="1"/>
  <c r="E38" i="17" s="1"/>
  <c r="E39" i="17" s="1"/>
  <c r="E40" i="17" s="1"/>
  <c r="E41" i="17" s="1"/>
  <c r="E42" i="17" s="1"/>
  <c r="E43" i="17" s="1"/>
  <c r="E44" i="17" s="1"/>
  <c r="E45" i="17" s="1"/>
  <c r="E46" i="17" s="1"/>
  <c r="E47" i="17" s="1"/>
  <c r="E48" i="17" s="1"/>
  <c r="E49" i="17" s="1"/>
  <c r="E50" i="17" s="1"/>
  <c r="E51" i="17" s="1"/>
  <c r="E52" i="17" s="1"/>
  <c r="E53" i="17" s="1"/>
  <c r="E54" i="17" s="1"/>
  <c r="E55" i="17" s="1"/>
  <c r="E56" i="17" s="1"/>
  <c r="E57" i="17" s="1"/>
  <c r="E58" i="17" s="1"/>
  <c r="E59" i="17" s="1"/>
  <c r="E60" i="17" s="1"/>
  <c r="E61" i="17" s="1"/>
  <c r="E62" i="17" s="1"/>
  <c r="E63" i="17" s="1"/>
  <c r="E64" i="17" s="1"/>
  <c r="E65" i="17" s="1"/>
  <c r="E66" i="17" s="1"/>
  <c r="E67" i="17" s="1"/>
  <c r="E68" i="17" s="1"/>
  <c r="E69" i="17" s="1"/>
  <c r="E70" i="17" s="1"/>
  <c r="E71" i="17" s="1"/>
  <c r="E72" i="17" s="1"/>
  <c r="E73" i="17" s="1"/>
  <c r="E74" i="17" s="1"/>
  <c r="E75" i="17" s="1"/>
  <c r="E76" i="17" s="1"/>
  <c r="E77" i="17" s="1"/>
  <c r="E78" i="17" s="1"/>
  <c r="E79" i="17" s="1"/>
  <c r="E80" i="17" s="1"/>
  <c r="E81" i="17" s="1"/>
  <c r="E82" i="17" s="1"/>
  <c r="E83" i="17" s="1"/>
  <c r="E84" i="17" s="1"/>
  <c r="E85" i="17" s="1"/>
  <c r="E86" i="17" s="1"/>
  <c r="E87" i="17" s="1"/>
  <c r="E88" i="17" s="1"/>
  <c r="E89" i="17" s="1"/>
  <c r="E90" i="17" s="1"/>
  <c r="E91" i="17" s="1"/>
  <c r="E92" i="17" s="1"/>
  <c r="E93" i="17" s="1"/>
  <c r="E94" i="17" s="1"/>
  <c r="E95" i="17" s="1"/>
  <c r="E96" i="17" s="1"/>
  <c r="E97" i="17" s="1"/>
  <c r="E98" i="17" s="1"/>
  <c r="E99" i="17" s="1"/>
  <c r="E100" i="17" s="1"/>
  <c r="E101" i="17" s="1"/>
  <c r="E102" i="17" s="1"/>
  <c r="E103" i="17" s="1"/>
  <c r="C32" i="20"/>
  <c r="C25" i="20"/>
  <c r="H82" i="21"/>
  <c r="H87" i="21" s="1"/>
  <c r="L67" i="22"/>
  <c r="M67" i="22" s="1"/>
  <c r="Q31" i="26" l="1"/>
  <c r="Q39" i="26"/>
  <c r="Q47" i="26"/>
  <c r="Q55" i="26"/>
  <c r="Q63" i="26"/>
  <c r="Q71" i="26"/>
  <c r="Q79" i="26"/>
  <c r="Q87" i="26"/>
  <c r="Q95" i="26"/>
  <c r="Q103" i="26"/>
  <c r="Q111" i="26"/>
  <c r="Q24" i="26"/>
  <c r="Q32" i="26"/>
  <c r="Q40" i="26"/>
  <c r="Q48" i="26"/>
  <c r="Q56" i="26"/>
  <c r="Q64" i="26"/>
  <c r="Q72" i="26"/>
  <c r="Q80" i="26"/>
  <c r="Q88" i="26"/>
  <c r="Q96" i="26"/>
  <c r="Q104" i="26"/>
  <c r="Q112" i="26"/>
  <c r="Q28" i="26"/>
  <c r="Q36" i="26"/>
  <c r="Q44" i="26"/>
  <c r="Q52" i="26"/>
  <c r="Q60" i="26"/>
  <c r="Q68" i="26"/>
  <c r="Q76" i="26"/>
  <c r="Q84" i="26"/>
  <c r="Q92" i="26"/>
  <c r="Q100" i="26"/>
  <c r="Q108" i="26"/>
  <c r="Q116" i="26"/>
  <c r="Q37" i="26"/>
  <c r="Q53" i="26"/>
  <c r="Q77" i="26"/>
  <c r="Q93" i="26"/>
  <c r="Q109" i="26"/>
  <c r="Q29" i="26"/>
  <c r="Q45" i="26"/>
  <c r="Q61" i="26"/>
  <c r="Q69" i="26"/>
  <c r="Q85" i="26"/>
  <c r="Q101" i="26"/>
  <c r="Q117" i="26"/>
  <c r="Q38" i="26"/>
  <c r="Q54" i="26"/>
  <c r="Q70" i="26"/>
  <c r="Q86" i="26"/>
  <c r="Q102" i="26"/>
  <c r="Q23" i="26"/>
  <c r="Q62" i="26"/>
  <c r="Q33" i="26"/>
  <c r="Q65" i="26"/>
  <c r="Q113" i="26"/>
  <c r="Q34" i="26"/>
  <c r="Q66" i="26"/>
  <c r="Q98" i="26"/>
  <c r="Q35" i="26"/>
  <c r="Q83" i="26"/>
  <c r="Q25" i="26"/>
  <c r="Q41" i="26"/>
  <c r="Q57" i="26"/>
  <c r="Q73" i="26"/>
  <c r="Q89" i="26"/>
  <c r="Q105" i="26"/>
  <c r="Q59" i="26"/>
  <c r="Q107" i="26"/>
  <c r="Q30" i="26"/>
  <c r="Q110" i="26"/>
  <c r="Q49" i="26"/>
  <c r="Q81" i="26"/>
  <c r="Q50" i="26"/>
  <c r="Q82" i="26"/>
  <c r="Q114" i="26"/>
  <c r="Q51" i="26"/>
  <c r="Q99" i="26"/>
  <c r="Q26" i="26"/>
  <c r="Q42" i="26"/>
  <c r="Q58" i="26"/>
  <c r="Q74" i="26"/>
  <c r="Q90" i="26"/>
  <c r="Q106" i="26"/>
  <c r="Q27" i="26"/>
  <c r="Q43" i="26"/>
  <c r="Q75" i="26"/>
  <c r="Q91" i="26"/>
  <c r="Q46" i="26"/>
  <c r="Q78" i="26"/>
  <c r="Q94" i="26"/>
  <c r="Q97" i="26"/>
  <c r="Q67" i="26"/>
  <c r="Q115" i="26"/>
  <c r="I25" i="21"/>
  <c r="J25" i="21"/>
  <c r="H25" i="21"/>
  <c r="J18" i="21"/>
  <c r="I18" i="21"/>
  <c r="H18" i="21"/>
  <c r="I23" i="21"/>
  <c r="H23" i="21"/>
  <c r="J23" i="21"/>
  <c r="J33" i="21"/>
  <c r="H33" i="21"/>
  <c r="I33" i="21"/>
  <c r="O48" i="22"/>
  <c r="G47" i="21"/>
  <c r="D6" i="17"/>
  <c r="F6" i="17" s="1"/>
  <c r="O4" i="22"/>
  <c r="H17" i="26"/>
  <c r="I17" i="26" s="1"/>
  <c r="AG73" i="26"/>
  <c r="AG57" i="26"/>
  <c r="AG56" i="26"/>
  <c r="AG40" i="26"/>
  <c r="AG55" i="26"/>
  <c r="AG23" i="26"/>
  <c r="AG49" i="26"/>
  <c r="AG80" i="26"/>
  <c r="AG26" i="26"/>
  <c r="AG42" i="26"/>
  <c r="AG58" i="26"/>
  <c r="AG74" i="26"/>
  <c r="AG28" i="26"/>
  <c r="AG60" i="26"/>
  <c r="AG27" i="26"/>
  <c r="AG43" i="26"/>
  <c r="AG59" i="26"/>
  <c r="AG75" i="26"/>
  <c r="AG44" i="26"/>
  <c r="AG76" i="26"/>
  <c r="AG29" i="26"/>
  <c r="AG45" i="26"/>
  <c r="AG61" i="26"/>
  <c r="AG77" i="26"/>
  <c r="AG30" i="26"/>
  <c r="AG46" i="26"/>
  <c r="AG62" i="26"/>
  <c r="AG78" i="26"/>
  <c r="AG34" i="26"/>
  <c r="AG50" i="26"/>
  <c r="AG66" i="26"/>
  <c r="AG35" i="26"/>
  <c r="AG51" i="26"/>
  <c r="AG67" i="26"/>
  <c r="AG36" i="26"/>
  <c r="AG52" i="26"/>
  <c r="AG68" i="26"/>
  <c r="AG37" i="26"/>
  <c r="AG53" i="26"/>
  <c r="AG54" i="26"/>
  <c r="AG48" i="26"/>
  <c r="AG79" i="26"/>
  <c r="AG41" i="26"/>
  <c r="AG72" i="26"/>
  <c r="AG39" i="26"/>
  <c r="AG71" i="26"/>
  <c r="AG38" i="26"/>
  <c r="AG70" i="26"/>
  <c r="AG33" i="26"/>
  <c r="AG69" i="26"/>
  <c r="AG32" i="26"/>
  <c r="AG65" i="26"/>
  <c r="AG31" i="26"/>
  <c r="AG64" i="26"/>
  <c r="AG25" i="26"/>
  <c r="AG63" i="26"/>
  <c r="AG24" i="26"/>
  <c r="AG10" i="26"/>
  <c r="AF12" i="26"/>
  <c r="AF13" i="26" s="1"/>
  <c r="AF14" i="26" s="1"/>
  <c r="AF16" i="26" s="1"/>
  <c r="H16" i="26" s="1"/>
  <c r="I16" i="26" s="1"/>
  <c r="AE10" i="26"/>
  <c r="AE12" i="26"/>
  <c r="AE13" i="26" s="1"/>
  <c r="AE14" i="26" s="1"/>
  <c r="AE16" i="26" s="1"/>
  <c r="D15" i="26"/>
  <c r="AF10" i="26"/>
  <c r="F15" i="26"/>
  <c r="H15" i="26" s="1"/>
  <c r="I15" i="26" s="1"/>
  <c r="AC12" i="26"/>
  <c r="AC13" i="26" s="1"/>
  <c r="AC14" i="26" s="1"/>
  <c r="AC16" i="26" s="1"/>
  <c r="F11" i="26" s="1"/>
  <c r="AC10" i="26"/>
  <c r="AD12" i="26"/>
  <c r="AD13" i="26" s="1"/>
  <c r="AD14" i="26" s="1"/>
  <c r="AD16" i="26" s="1"/>
  <c r="AD10" i="26"/>
  <c r="AA12" i="26"/>
  <c r="AA13" i="26" s="1"/>
  <c r="AA14" i="26" s="1"/>
  <c r="AA16" i="26" s="1"/>
  <c r="AA10" i="26"/>
  <c r="Q10" i="26"/>
  <c r="D7" i="17"/>
  <c r="F7" i="17" s="1"/>
  <c r="N67" i="22"/>
  <c r="F10" i="26" l="1"/>
  <c r="H10" i="26" s="1"/>
  <c r="I10" i="26" s="1"/>
  <c r="AA19" i="26"/>
  <c r="AA20" i="26"/>
  <c r="AA21" i="26"/>
  <c r="AA18" i="26"/>
  <c r="AA22" i="26"/>
  <c r="I47" i="21"/>
  <c r="J47" i="21"/>
  <c r="C5" i="23"/>
  <c r="F4" i="21"/>
  <c r="G4" i="21" s="1"/>
  <c r="H4" i="21" s="1"/>
  <c r="O67" i="22"/>
  <c r="F66" i="21"/>
  <c r="G66" i="21" s="1"/>
  <c r="AD26" i="26"/>
  <c r="AD42" i="26"/>
  <c r="AD58" i="26"/>
  <c r="AD74" i="26"/>
  <c r="AD28" i="26"/>
  <c r="AD60" i="26"/>
  <c r="AD27" i="26"/>
  <c r="AD43" i="26"/>
  <c r="AD59" i="26"/>
  <c r="AD75" i="26"/>
  <c r="AD44" i="26"/>
  <c r="AD76" i="26"/>
  <c r="AD29" i="26"/>
  <c r="AD45" i="26"/>
  <c r="AD61" i="26"/>
  <c r="AD77" i="26"/>
  <c r="AD30" i="26"/>
  <c r="AD46" i="26"/>
  <c r="AD62" i="26"/>
  <c r="AD78" i="26"/>
  <c r="AD34" i="26"/>
  <c r="AD50" i="26"/>
  <c r="AD66" i="26"/>
  <c r="AD35" i="26"/>
  <c r="AD51" i="26"/>
  <c r="AD67" i="26"/>
  <c r="AD36" i="26"/>
  <c r="AD52" i="26"/>
  <c r="AD68" i="26"/>
  <c r="AD31" i="26"/>
  <c r="AD63" i="26"/>
  <c r="AD32" i="26"/>
  <c r="AD64" i="26"/>
  <c r="AD33" i="26"/>
  <c r="AD65" i="26"/>
  <c r="AD41" i="26"/>
  <c r="AD55" i="26"/>
  <c r="AD25" i="26"/>
  <c r="AD37" i="26"/>
  <c r="AD69" i="26"/>
  <c r="AD38" i="26"/>
  <c r="AD70" i="26"/>
  <c r="AD39" i="26"/>
  <c r="AD71" i="26"/>
  <c r="AD40" i="26"/>
  <c r="AD72" i="26"/>
  <c r="AD73" i="26"/>
  <c r="AD23" i="26"/>
  <c r="AD56" i="26"/>
  <c r="AD47" i="26"/>
  <c r="AD79" i="26"/>
  <c r="AD49" i="26"/>
  <c r="AD81" i="26"/>
  <c r="AD53" i="26"/>
  <c r="AD24" i="26"/>
  <c r="AD57" i="26"/>
  <c r="AD48" i="26"/>
  <c r="AD80" i="26"/>
  <c r="AD54" i="26"/>
  <c r="AE26" i="26"/>
  <c r="AE42" i="26"/>
  <c r="AE58" i="26"/>
  <c r="AE74" i="26"/>
  <c r="AE28" i="26"/>
  <c r="AE60" i="26"/>
  <c r="AE27" i="26"/>
  <c r="AE43" i="26"/>
  <c r="AE59" i="26"/>
  <c r="AE75" i="26"/>
  <c r="AE44" i="26"/>
  <c r="AE76" i="26"/>
  <c r="AE29" i="26"/>
  <c r="AE45" i="26"/>
  <c r="AE61" i="26"/>
  <c r="AE77" i="26"/>
  <c r="AE30" i="26"/>
  <c r="AE46" i="26"/>
  <c r="AE62" i="26"/>
  <c r="AE78" i="26"/>
  <c r="AE34" i="26"/>
  <c r="AE50" i="26"/>
  <c r="AE66" i="26"/>
  <c r="AE35" i="26"/>
  <c r="AE51" i="26"/>
  <c r="AE67" i="26"/>
  <c r="AE36" i="26"/>
  <c r="AE52" i="26"/>
  <c r="AE68" i="26"/>
  <c r="AE25" i="26"/>
  <c r="AE57" i="26"/>
  <c r="AE31" i="26"/>
  <c r="AE63" i="26"/>
  <c r="AE32" i="26"/>
  <c r="AE64" i="26"/>
  <c r="AE33" i="26"/>
  <c r="AE65" i="26"/>
  <c r="AE41" i="26"/>
  <c r="AE55" i="26"/>
  <c r="AE37" i="26"/>
  <c r="AE69" i="26"/>
  <c r="AE38" i="26"/>
  <c r="AE70" i="26"/>
  <c r="AE39" i="26"/>
  <c r="AE71" i="26"/>
  <c r="AE40" i="26"/>
  <c r="AE72" i="26"/>
  <c r="AE73" i="26"/>
  <c r="AE56" i="26"/>
  <c r="AE47" i="26"/>
  <c r="AE79" i="26"/>
  <c r="AE49" i="26"/>
  <c r="AE81" i="26"/>
  <c r="AE54" i="26"/>
  <c r="AE23" i="26"/>
  <c r="AE24" i="26"/>
  <c r="AE48" i="26"/>
  <c r="AE80" i="26"/>
  <c r="AE53" i="26"/>
  <c r="AF26" i="26"/>
  <c r="AF42" i="26"/>
  <c r="AF58" i="26"/>
  <c r="AF74" i="26"/>
  <c r="AF28" i="26"/>
  <c r="AF60" i="26"/>
  <c r="AF27" i="26"/>
  <c r="AF43" i="26"/>
  <c r="AF59" i="26"/>
  <c r="AF75" i="26"/>
  <c r="AF44" i="26"/>
  <c r="AF76" i="26"/>
  <c r="AF29" i="26"/>
  <c r="AF45" i="26"/>
  <c r="AF61" i="26"/>
  <c r="AF77" i="26"/>
  <c r="AF30" i="26"/>
  <c r="AF46" i="26"/>
  <c r="AF62" i="26"/>
  <c r="AF78" i="26"/>
  <c r="AF34" i="26"/>
  <c r="AF50" i="26"/>
  <c r="AF66" i="26"/>
  <c r="AF35" i="26"/>
  <c r="AF51" i="26"/>
  <c r="AF67" i="26"/>
  <c r="AF36" i="26"/>
  <c r="AF52" i="26"/>
  <c r="AF68" i="26"/>
  <c r="AF25" i="26"/>
  <c r="AF57" i="26"/>
  <c r="AF31" i="26"/>
  <c r="AF63" i="26"/>
  <c r="AF32" i="26"/>
  <c r="AF64" i="26"/>
  <c r="AF33" i="26"/>
  <c r="AF65" i="26"/>
  <c r="AF73" i="26"/>
  <c r="AF37" i="26"/>
  <c r="AF69" i="26"/>
  <c r="AF38" i="26"/>
  <c r="AF70" i="26"/>
  <c r="AF39" i="26"/>
  <c r="AF71" i="26"/>
  <c r="AF40" i="26"/>
  <c r="AF72" i="26"/>
  <c r="AF41" i="26"/>
  <c r="AF56" i="26"/>
  <c r="AF47" i="26"/>
  <c r="AF79" i="26"/>
  <c r="AF49" i="26"/>
  <c r="AF53" i="26"/>
  <c r="AF23" i="26"/>
  <c r="AF48" i="26"/>
  <c r="AF80" i="26"/>
  <c r="AF54" i="26"/>
  <c r="AF55" i="26"/>
  <c r="AF24" i="26"/>
  <c r="AC19" i="26"/>
  <c r="AC35" i="26"/>
  <c r="AC51" i="26"/>
  <c r="AC67" i="26"/>
  <c r="AC20" i="26"/>
  <c r="AC36" i="26"/>
  <c r="AC52" i="26"/>
  <c r="AC68" i="26"/>
  <c r="AC59" i="26"/>
  <c r="AC21" i="26"/>
  <c r="AC37" i="26"/>
  <c r="AC53" i="26"/>
  <c r="AC69" i="26"/>
  <c r="AC22" i="26"/>
  <c r="AC38" i="26"/>
  <c r="AC54" i="26"/>
  <c r="AC70" i="26"/>
  <c r="AC18" i="26"/>
  <c r="AC23" i="26"/>
  <c r="AC39" i="26"/>
  <c r="AC55" i="26"/>
  <c r="AC71" i="26"/>
  <c r="AC24" i="26"/>
  <c r="AC40" i="26"/>
  <c r="AC56" i="26"/>
  <c r="AC72" i="26"/>
  <c r="AC25" i="26"/>
  <c r="AC41" i="26"/>
  <c r="AC57" i="26"/>
  <c r="AC73" i="26"/>
  <c r="AC26" i="26"/>
  <c r="AC42" i="26"/>
  <c r="AC58" i="26"/>
  <c r="AC74" i="26"/>
  <c r="AC27" i="26"/>
  <c r="AC28" i="26"/>
  <c r="AC44" i="26"/>
  <c r="AC60" i="26"/>
  <c r="AC76" i="26"/>
  <c r="AC63" i="26"/>
  <c r="AC79" i="26"/>
  <c r="AC48" i="26"/>
  <c r="AC64" i="26"/>
  <c r="AC33" i="26"/>
  <c r="AC29" i="26"/>
  <c r="AC45" i="26"/>
  <c r="AC61" i="26"/>
  <c r="AC77" i="26"/>
  <c r="AC47" i="26"/>
  <c r="AC65" i="26"/>
  <c r="AC66" i="26"/>
  <c r="AC43" i="26"/>
  <c r="AC30" i="26"/>
  <c r="AC46" i="26"/>
  <c r="AC62" i="26"/>
  <c r="AC78" i="26"/>
  <c r="AC31" i="26"/>
  <c r="AC32" i="26"/>
  <c r="AC80" i="26"/>
  <c r="AC49" i="26"/>
  <c r="AC81" i="26"/>
  <c r="AC50" i="26"/>
  <c r="AC75" i="26"/>
  <c r="AC34" i="26"/>
  <c r="H11" i="26"/>
  <c r="I11" i="26" s="1"/>
  <c r="H12" i="26"/>
  <c r="I12" i="26" s="1"/>
  <c r="H13" i="26"/>
  <c r="I13" i="26" s="1"/>
  <c r="D8" i="17"/>
  <c r="F8" i="17" s="1"/>
  <c r="D9" i="23" l="1"/>
  <c r="D6" i="23"/>
  <c r="D7" i="23"/>
  <c r="D8" i="23"/>
  <c r="D5" i="23"/>
  <c r="I66" i="21"/>
  <c r="J66" i="21"/>
  <c r="H75" i="21"/>
  <c r="H80" i="21" s="1"/>
  <c r="I18" i="26"/>
  <c r="C10" i="17"/>
  <c r="D9" i="17"/>
  <c r="F9" i="17" s="1"/>
  <c r="D10" i="17" l="1"/>
  <c r="F10" i="17" s="1"/>
  <c r="C11" i="17"/>
  <c r="D11" i="17" l="1"/>
  <c r="F11" i="17" s="1"/>
  <c r="C12" i="17"/>
  <c r="C13" i="17" l="1"/>
  <c r="D12" i="17"/>
  <c r="F12" i="17" s="1"/>
  <c r="C14" i="17" l="1"/>
  <c r="D13" i="17"/>
  <c r="F13" i="17" s="1"/>
  <c r="C15" i="17" l="1"/>
  <c r="D14" i="17"/>
  <c r="F14" i="17" s="1"/>
  <c r="L74" i="22"/>
  <c r="M74" i="22" s="1"/>
  <c r="N74" i="22" s="1"/>
  <c r="L69" i="22"/>
  <c r="M69" i="22" s="1"/>
  <c r="L71" i="22"/>
  <c r="M71" i="22" s="1"/>
  <c r="L76" i="22"/>
  <c r="M76" i="22" s="1"/>
  <c r="L68" i="22"/>
  <c r="M68" i="22" s="1"/>
  <c r="N68" i="22" s="1"/>
  <c r="L70" i="22"/>
  <c r="M70" i="22" s="1"/>
  <c r="N70" i="22" s="1"/>
  <c r="L72" i="22"/>
  <c r="L73" i="22"/>
  <c r="M73" i="22" s="1"/>
  <c r="N73" i="22" s="1"/>
  <c r="L83" i="22"/>
  <c r="M83" i="22" s="1"/>
  <c r="N83" i="22" s="1"/>
  <c r="F81" i="21" s="1"/>
  <c r="G81" i="21" s="1"/>
  <c r="I81" i="21" s="1"/>
  <c r="O85" i="22"/>
  <c r="L31" i="22"/>
  <c r="L30" i="22"/>
  <c r="L29" i="22"/>
  <c r="M29" i="22" s="1"/>
  <c r="N29" i="22" s="1"/>
  <c r="L28" i="22"/>
  <c r="L60" i="22"/>
  <c r="L59" i="22"/>
  <c r="M59" i="22" s="1"/>
  <c r="N59" i="22" s="1"/>
  <c r="F58" i="21" s="1"/>
  <c r="G58" i="21" s="1"/>
  <c r="L58" i="22"/>
  <c r="M58" i="22" s="1"/>
  <c r="N58" i="22" s="1"/>
  <c r="L57" i="22"/>
  <c r="L56" i="22"/>
  <c r="L55" i="22"/>
  <c r="L54" i="22"/>
  <c r="L53" i="22"/>
  <c r="L52" i="22"/>
  <c r="M52" i="22" s="1"/>
  <c r="N52" i="22" s="1"/>
  <c r="F51" i="21" s="1"/>
  <c r="G51" i="21" s="1"/>
  <c r="H51" i="21" s="1"/>
  <c r="L51" i="22"/>
  <c r="M51" i="22" s="1"/>
  <c r="N51" i="22" s="1"/>
  <c r="F50" i="21" s="1"/>
  <c r="G50" i="21" s="1"/>
  <c r="L50" i="22"/>
  <c r="L49" i="22"/>
  <c r="N49" i="22" s="1"/>
  <c r="L46" i="22"/>
  <c r="M46" i="22" s="1"/>
  <c r="N46" i="22" s="1"/>
  <c r="L37" i="22"/>
  <c r="L19" i="22"/>
  <c r="M19" i="22" s="1"/>
  <c r="N19" i="22" s="1"/>
  <c r="F46" i="21" l="1"/>
  <c r="J81" i="21"/>
  <c r="J50" i="21"/>
  <c r="I50" i="21"/>
  <c r="H50" i="21"/>
  <c r="F82" i="21"/>
  <c r="I58" i="21"/>
  <c r="J58" i="21"/>
  <c r="O49" i="22"/>
  <c r="F48" i="21"/>
  <c r="G48" i="21" s="1"/>
  <c r="O70" i="22"/>
  <c r="F69" i="21"/>
  <c r="G69" i="21" s="1"/>
  <c r="O29" i="22"/>
  <c r="F29" i="21"/>
  <c r="G29" i="21" s="1"/>
  <c r="I51" i="21"/>
  <c r="J51" i="21"/>
  <c r="O68" i="22"/>
  <c r="F67" i="21"/>
  <c r="G67" i="21" s="1"/>
  <c r="O74" i="22"/>
  <c r="F73" i="21"/>
  <c r="G73" i="21" s="1"/>
  <c r="O73" i="22"/>
  <c r="F72" i="21"/>
  <c r="G72" i="21" s="1"/>
  <c r="O19" i="22"/>
  <c r="F19" i="21"/>
  <c r="G19" i="21" s="1"/>
  <c r="D15" i="17"/>
  <c r="F15" i="17" s="1"/>
  <c r="C16" i="17"/>
  <c r="O58" i="22"/>
  <c r="F57" i="21"/>
  <c r="N69" i="22"/>
  <c r="N71" i="22"/>
  <c r="N76" i="22"/>
  <c r="M72" i="22"/>
  <c r="N72" i="22" s="1"/>
  <c r="F71" i="21" s="1"/>
  <c r="G71" i="21" s="1"/>
  <c r="L77" i="22"/>
  <c r="L84" i="22"/>
  <c r="M84" i="22"/>
  <c r="O83" i="22"/>
  <c r="O84" i="22" s="1"/>
  <c r="O88" i="22" s="1"/>
  <c r="N84" i="22"/>
  <c r="M28" i="22"/>
  <c r="N28" i="22" s="1"/>
  <c r="M30" i="22"/>
  <c r="N30" i="22" s="1"/>
  <c r="F30" i="21" s="1"/>
  <c r="G30" i="21" s="1"/>
  <c r="M31" i="22"/>
  <c r="N31" i="22" s="1"/>
  <c r="F31" i="21" s="1"/>
  <c r="G31" i="21" s="1"/>
  <c r="M54" i="22"/>
  <c r="N54" i="22" s="1"/>
  <c r="M56" i="22"/>
  <c r="N56" i="22" s="1"/>
  <c r="F55" i="21" s="1"/>
  <c r="G55" i="21" s="1"/>
  <c r="M57" i="22"/>
  <c r="N57" i="22" s="1"/>
  <c r="F56" i="21" s="1"/>
  <c r="G56" i="21" s="1"/>
  <c r="M55" i="22"/>
  <c r="N55" i="22" s="1"/>
  <c r="M53" i="22"/>
  <c r="N53" i="22" s="1"/>
  <c r="F52" i="21" s="1"/>
  <c r="G52" i="21" s="1"/>
  <c r="M60" i="22"/>
  <c r="N60" i="22" s="1"/>
  <c r="G59" i="21" s="1"/>
  <c r="G60" i="21" s="1"/>
  <c r="G65" i="21" s="1"/>
  <c r="O46" i="22"/>
  <c r="L61" i="22"/>
  <c r="M50" i="22"/>
  <c r="N50" i="22" s="1"/>
  <c r="F49" i="21" s="1"/>
  <c r="G49" i="21" s="1"/>
  <c r="M37" i="22"/>
  <c r="N37" i="22" s="1"/>
  <c r="L39" i="22"/>
  <c r="M39" i="22" s="1"/>
  <c r="L38" i="22"/>
  <c r="L22" i="22"/>
  <c r="L21" i="22"/>
  <c r="M21" i="22" s="1"/>
  <c r="L20" i="22"/>
  <c r="L17" i="22"/>
  <c r="M17" i="22" s="1"/>
  <c r="N17" i="22" s="1"/>
  <c r="L16" i="22"/>
  <c r="M16" i="22" s="1"/>
  <c r="N16" i="22" s="1"/>
  <c r="F16" i="21" s="1"/>
  <c r="G16" i="21" s="1"/>
  <c r="L15" i="22"/>
  <c r="L14" i="22"/>
  <c r="M14" i="22" s="1"/>
  <c r="N14" i="22" s="1"/>
  <c r="L7" i="22"/>
  <c r="L6" i="22"/>
  <c r="L5" i="22"/>
  <c r="M11" i="1"/>
  <c r="AN15" i="9"/>
  <c r="AN16" i="9"/>
  <c r="AN17" i="9"/>
  <c r="AN18" i="9"/>
  <c r="AN19" i="9"/>
  <c r="AN20" i="9"/>
  <c r="AN21" i="9"/>
  <c r="AN22" i="9"/>
  <c r="AN23" i="9"/>
  <c r="AN24" i="9"/>
  <c r="AN25" i="9"/>
  <c r="AN26" i="9"/>
  <c r="AN27" i="9"/>
  <c r="AN28" i="9"/>
  <c r="AN29" i="9"/>
  <c r="AN30" i="9"/>
  <c r="AN31" i="9"/>
  <c r="AN32" i="9"/>
  <c r="AN33" i="9"/>
  <c r="AN34" i="9"/>
  <c r="AN35" i="9"/>
  <c r="AN36" i="9"/>
  <c r="AN37" i="9"/>
  <c r="AN38" i="9"/>
  <c r="AN39" i="9"/>
  <c r="AN40" i="9"/>
  <c r="AN41" i="9"/>
  <c r="AN42" i="9"/>
  <c r="AN43" i="9"/>
  <c r="AN44" i="9"/>
  <c r="AN45" i="9"/>
  <c r="AN46" i="9"/>
  <c r="AN47" i="9"/>
  <c r="AN48" i="9"/>
  <c r="AN49" i="9"/>
  <c r="AN50" i="9"/>
  <c r="AN51" i="9"/>
  <c r="AN52" i="9"/>
  <c r="AN53" i="9"/>
  <c r="AN54" i="9"/>
  <c r="AN55" i="9"/>
  <c r="AN56" i="9"/>
  <c r="AN57" i="9"/>
  <c r="AN58" i="9"/>
  <c r="AN59" i="9"/>
  <c r="AN60" i="9"/>
  <c r="AN61" i="9"/>
  <c r="AN62" i="9"/>
  <c r="AN63" i="9"/>
  <c r="AN64" i="9"/>
  <c r="AN65" i="9"/>
  <c r="AN66" i="9"/>
  <c r="AN67" i="9"/>
  <c r="AN68" i="9"/>
  <c r="AN69" i="9"/>
  <c r="AN70" i="9"/>
  <c r="AN71" i="9"/>
  <c r="E40" i="25"/>
  <c r="E38" i="25"/>
  <c r="K9" i="9"/>
  <c r="F17" i="21" l="1"/>
  <c r="G17" i="21" s="1"/>
  <c r="I17" i="21" s="1"/>
  <c r="J29" i="21"/>
  <c r="H29" i="21"/>
  <c r="I29" i="21"/>
  <c r="J31" i="21"/>
  <c r="H31" i="21"/>
  <c r="I31" i="21"/>
  <c r="H30" i="21"/>
  <c r="I30" i="21"/>
  <c r="J30" i="21"/>
  <c r="I48" i="21"/>
  <c r="J48" i="21"/>
  <c r="I69" i="21"/>
  <c r="J69" i="21"/>
  <c r="I67" i="21"/>
  <c r="J67" i="21"/>
  <c r="I56" i="21"/>
  <c r="J56" i="21"/>
  <c r="I73" i="21"/>
  <c r="J73" i="21"/>
  <c r="J49" i="21"/>
  <c r="I49" i="21"/>
  <c r="G82" i="21"/>
  <c r="I71" i="21"/>
  <c r="J71" i="21"/>
  <c r="O37" i="22"/>
  <c r="F37" i="21"/>
  <c r="G37" i="21" s="1"/>
  <c r="O76" i="22"/>
  <c r="F74" i="21"/>
  <c r="G74" i="21" s="1"/>
  <c r="J59" i="21"/>
  <c r="I59" i="21"/>
  <c r="O71" i="22"/>
  <c r="F70" i="21"/>
  <c r="G70" i="21" s="1"/>
  <c r="J55" i="21"/>
  <c r="I55" i="21"/>
  <c r="I52" i="21"/>
  <c r="H52" i="21"/>
  <c r="J52" i="21"/>
  <c r="O69" i="22"/>
  <c r="F68" i="21"/>
  <c r="G68" i="21" s="1"/>
  <c r="J16" i="21"/>
  <c r="H16" i="21"/>
  <c r="I16" i="21"/>
  <c r="O55" i="22"/>
  <c r="F54" i="21"/>
  <c r="G54" i="21" s="1"/>
  <c r="I72" i="21"/>
  <c r="J72" i="21" s="1"/>
  <c r="O54" i="22"/>
  <c r="F53" i="21"/>
  <c r="G53" i="21" s="1"/>
  <c r="O28" i="22"/>
  <c r="F28" i="21"/>
  <c r="G28" i="21" s="1"/>
  <c r="J19" i="21"/>
  <c r="H19" i="21"/>
  <c r="I19" i="21"/>
  <c r="O14" i="22"/>
  <c r="F14" i="21"/>
  <c r="G14" i="21" s="1"/>
  <c r="C17" i="17"/>
  <c r="D16" i="17"/>
  <c r="F16" i="17" s="1"/>
  <c r="G57" i="21"/>
  <c r="N77" i="22"/>
  <c r="N61" i="22"/>
  <c r="O72" i="22"/>
  <c r="M77" i="22"/>
  <c r="O50" i="22"/>
  <c r="M61" i="22"/>
  <c r="N39" i="22"/>
  <c r="M5" i="22"/>
  <c r="N5" i="22" s="1"/>
  <c r="F5" i="21" s="1"/>
  <c r="M6" i="22"/>
  <c r="N6" i="22" s="1"/>
  <c r="N21" i="22"/>
  <c r="F21" i="21" s="1"/>
  <c r="G21" i="21" s="1"/>
  <c r="M7" i="22"/>
  <c r="N7" i="22" s="1"/>
  <c r="M38" i="22"/>
  <c r="N38" i="22" s="1"/>
  <c r="M20" i="22"/>
  <c r="N20" i="22" s="1"/>
  <c r="M22" i="22"/>
  <c r="N22" i="22" s="1"/>
  <c r="M15" i="22"/>
  <c r="N15" i="22" s="1"/>
  <c r="I4" i="9"/>
  <c r="G6" i="2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F36" i="25"/>
  <c r="I40" i="25"/>
  <c r="H40" i="25"/>
  <c r="G40" i="25"/>
  <c r="F40" i="25"/>
  <c r="D37" i="25"/>
  <c r="C33" i="25"/>
  <c r="G6" i="25"/>
  <c r="H6" i="25" s="1"/>
  <c r="G8" i="25"/>
  <c r="H8" i="25" s="1"/>
  <c r="G9" i="25"/>
  <c r="H9" i="25" s="1"/>
  <c r="G10" i="25"/>
  <c r="H10" i="25" s="1"/>
  <c r="G11" i="25"/>
  <c r="H11" i="25" s="1"/>
  <c r="G12" i="25"/>
  <c r="H12" i="25" s="1"/>
  <c r="G13" i="25"/>
  <c r="H13" i="25" s="1"/>
  <c r="G14" i="25"/>
  <c r="H14" i="25" s="1"/>
  <c r="G15" i="25"/>
  <c r="H15" i="25" s="1"/>
  <c r="G16" i="25"/>
  <c r="H16" i="25" s="1"/>
  <c r="G17" i="25"/>
  <c r="H17" i="25" s="1"/>
  <c r="G18" i="25"/>
  <c r="H18" i="25" s="1"/>
  <c r="G19" i="25"/>
  <c r="H19" i="25" s="1"/>
  <c r="G20" i="25"/>
  <c r="H20" i="25" s="1"/>
  <c r="G21" i="25"/>
  <c r="H21" i="25" s="1"/>
  <c r="D6" i="25"/>
  <c r="D7" i="25"/>
  <c r="D8" i="25"/>
  <c r="D9" i="25"/>
  <c r="D10" i="25"/>
  <c r="D11" i="25"/>
  <c r="D12" i="25"/>
  <c r="D13" i="25"/>
  <c r="D14" i="25"/>
  <c r="D15" i="25"/>
  <c r="D16" i="25"/>
  <c r="D17" i="25"/>
  <c r="D18" i="25"/>
  <c r="D19" i="25"/>
  <c r="D20" i="25"/>
  <c r="D21" i="25"/>
  <c r="D22" i="25"/>
  <c r="E22" i="25" s="1"/>
  <c r="D23" i="25"/>
  <c r="E23" i="25" s="1"/>
  <c r="D24" i="25"/>
  <c r="E24" i="25" s="1"/>
  <c r="D25" i="25"/>
  <c r="E25" i="25" s="1"/>
  <c r="D26" i="25"/>
  <c r="E26" i="25" s="1"/>
  <c r="D27" i="25"/>
  <c r="E27" i="25" s="1"/>
  <c r="D28" i="25"/>
  <c r="E28" i="25" s="1"/>
  <c r="D29" i="25"/>
  <c r="E29" i="25" s="1"/>
  <c r="D30" i="25"/>
  <c r="E30" i="25" s="1"/>
  <c r="D5" i="25"/>
  <c r="G5" i="23" l="1"/>
  <c r="L6" i="1"/>
  <c r="O77" i="22"/>
  <c r="F38" i="21"/>
  <c r="G38" i="21" s="1"/>
  <c r="J38" i="21" s="1"/>
  <c r="O38" i="22"/>
  <c r="F6" i="21"/>
  <c r="G6" i="21" s="1"/>
  <c r="O82" i="22"/>
  <c r="F7" i="21"/>
  <c r="G7" i="21" s="1"/>
  <c r="H17" i="21"/>
  <c r="J17" i="21"/>
  <c r="G75" i="21"/>
  <c r="G80" i="21" s="1"/>
  <c r="J82" i="21"/>
  <c r="J87" i="21" s="1"/>
  <c r="I82" i="21"/>
  <c r="I87" i="21" s="1"/>
  <c r="I70" i="21"/>
  <c r="J70" i="21"/>
  <c r="O39" i="22"/>
  <c r="F39" i="21"/>
  <c r="G39" i="21" s="1"/>
  <c r="O15" i="22"/>
  <c r="F15" i="21"/>
  <c r="G15" i="21" s="1"/>
  <c r="I54" i="21"/>
  <c r="J54" i="21"/>
  <c r="H60" i="21"/>
  <c r="H65" i="21" s="1"/>
  <c r="O20" i="22"/>
  <c r="F20" i="21"/>
  <c r="G20" i="21" s="1"/>
  <c r="J74" i="21"/>
  <c r="I74" i="21"/>
  <c r="O22" i="22"/>
  <c r="F22" i="21"/>
  <c r="G22" i="21" s="1"/>
  <c r="I38" i="21"/>
  <c r="H38" i="21"/>
  <c r="J37" i="21"/>
  <c r="H37" i="21"/>
  <c r="I37" i="21"/>
  <c r="I68" i="21"/>
  <c r="J68" i="21"/>
  <c r="J21" i="21"/>
  <c r="H21" i="21"/>
  <c r="I21" i="21"/>
  <c r="I53" i="21"/>
  <c r="J53" i="21"/>
  <c r="J28" i="21"/>
  <c r="H28" i="21"/>
  <c r="I28" i="21"/>
  <c r="J14" i="21"/>
  <c r="H14" i="21"/>
  <c r="I14" i="21"/>
  <c r="D17" i="17"/>
  <c r="F17" i="17" s="1"/>
  <c r="C18" i="17"/>
  <c r="I57" i="21"/>
  <c r="J57" i="21"/>
  <c r="N40" i="22"/>
  <c r="O44" i="22" s="1"/>
  <c r="G24" i="25"/>
  <c r="G27" i="25"/>
  <c r="G28" i="25"/>
  <c r="G29" i="25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5" i="25"/>
  <c r="I36" i="25"/>
  <c r="H36" i="25"/>
  <c r="G36" i="25"/>
  <c r="G30" i="25"/>
  <c r="G26" i="25"/>
  <c r="G25" i="25"/>
  <c r="G23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6" i="25"/>
  <c r="G5" i="25"/>
  <c r="H5" i="25" s="1"/>
  <c r="O40" i="22" l="1"/>
  <c r="O45" i="22" s="1"/>
  <c r="O90" i="22" s="1"/>
  <c r="J7" i="21"/>
  <c r="I7" i="21"/>
  <c r="H7" i="21"/>
  <c r="J6" i="21"/>
  <c r="H6" i="21"/>
  <c r="I6" i="21"/>
  <c r="J75" i="21"/>
  <c r="J80" i="21" s="1"/>
  <c r="I75" i="21"/>
  <c r="I80" i="21" s="1"/>
  <c r="J22" i="21"/>
  <c r="H22" i="21"/>
  <c r="I22" i="21"/>
  <c r="J20" i="21"/>
  <c r="H20" i="21"/>
  <c r="I20" i="21"/>
  <c r="I15" i="21"/>
  <c r="H15" i="21"/>
  <c r="J15" i="21"/>
  <c r="J39" i="21"/>
  <c r="H39" i="21"/>
  <c r="I39" i="21"/>
  <c r="J60" i="21"/>
  <c r="J65" i="21" s="1"/>
  <c r="I60" i="21"/>
  <c r="I65" i="21" s="1"/>
  <c r="C19" i="17"/>
  <c r="D18" i="17"/>
  <c r="F18" i="17" s="1"/>
  <c r="I5" i="25"/>
  <c r="D33" i="25"/>
  <c r="Q90" i="22" l="1"/>
  <c r="G6" i="23"/>
  <c r="G9" i="23"/>
  <c r="L9" i="23" s="1"/>
  <c r="G7" i="23"/>
  <c r="L7" i="23" s="1"/>
  <c r="G8" i="23"/>
  <c r="L8" i="23" s="1"/>
  <c r="L5" i="23"/>
  <c r="D19" i="17"/>
  <c r="F19" i="17" s="1"/>
  <c r="C20" i="17"/>
  <c r="G7" i="25"/>
  <c r="H7" i="25" s="1"/>
  <c r="L6" i="23" l="1"/>
  <c r="G105" i="23"/>
  <c r="L105" i="23"/>
  <c r="C21" i="17"/>
  <c r="D20" i="17"/>
  <c r="F20" i="17" s="1"/>
  <c r="I7" i="25"/>
  <c r="H33" i="25"/>
  <c r="D21" i="17" l="1"/>
  <c r="F21" i="17" s="1"/>
  <c r="C22" i="17"/>
  <c r="I33" i="25"/>
  <c r="C23" i="17" l="1"/>
  <c r="D22" i="17"/>
  <c r="F22" i="17" s="1"/>
  <c r="Y18" i="9"/>
  <c r="Y11" i="9"/>
  <c r="Y9" i="9"/>
  <c r="U11" i="26" s="1"/>
  <c r="Q9" i="9"/>
  <c r="D6" i="26" l="1"/>
  <c r="U12" i="26"/>
  <c r="U13" i="26" s="1"/>
  <c r="U14" i="26" s="1"/>
  <c r="U16" i="26" s="1"/>
  <c r="U10" i="26"/>
  <c r="D23" i="17"/>
  <c r="F23" i="17" s="1"/>
  <c r="C24" i="17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" i="1"/>
  <c r="U30" i="26" l="1"/>
  <c r="U38" i="26"/>
  <c r="U46" i="26"/>
  <c r="U54" i="26"/>
  <c r="U62" i="26"/>
  <c r="U70" i="26"/>
  <c r="U78" i="26"/>
  <c r="U86" i="26"/>
  <c r="U94" i="26"/>
  <c r="U102" i="26"/>
  <c r="U110" i="26"/>
  <c r="U31" i="26"/>
  <c r="U39" i="26"/>
  <c r="U47" i="26"/>
  <c r="U55" i="26"/>
  <c r="U63" i="26"/>
  <c r="U71" i="26"/>
  <c r="U79" i="26"/>
  <c r="U87" i="26"/>
  <c r="U95" i="26"/>
  <c r="U103" i="26"/>
  <c r="U111" i="26"/>
  <c r="U33" i="26"/>
  <c r="U41" i="26"/>
  <c r="U49" i="26"/>
  <c r="U57" i="26"/>
  <c r="U65" i="26"/>
  <c r="U73" i="26"/>
  <c r="U81" i="26"/>
  <c r="U89" i="26"/>
  <c r="U97" i="26"/>
  <c r="U105" i="26"/>
  <c r="U113" i="26"/>
  <c r="U34" i="26"/>
  <c r="U42" i="26"/>
  <c r="U50" i="26"/>
  <c r="U58" i="26"/>
  <c r="U66" i="26"/>
  <c r="U74" i="26"/>
  <c r="U82" i="26"/>
  <c r="U90" i="26"/>
  <c r="U98" i="26"/>
  <c r="U106" i="26"/>
  <c r="U114" i="26"/>
  <c r="U28" i="26"/>
  <c r="U36" i="26"/>
  <c r="U44" i="26"/>
  <c r="U52" i="26"/>
  <c r="U60" i="26"/>
  <c r="U68" i="26"/>
  <c r="U76" i="26"/>
  <c r="U84" i="26"/>
  <c r="U92" i="26"/>
  <c r="U100" i="26"/>
  <c r="U108" i="26"/>
  <c r="U116" i="26"/>
  <c r="U29" i="26"/>
  <c r="U37" i="26"/>
  <c r="U45" i="26"/>
  <c r="U53" i="26"/>
  <c r="U61" i="26"/>
  <c r="U69" i="26"/>
  <c r="U77" i="26"/>
  <c r="U85" i="26"/>
  <c r="U93" i="26"/>
  <c r="U101" i="26"/>
  <c r="U109" i="26"/>
  <c r="U117" i="26"/>
  <c r="U32" i="26"/>
  <c r="U35" i="26"/>
  <c r="U67" i="26"/>
  <c r="U99" i="26"/>
  <c r="U40" i="26"/>
  <c r="U72" i="26"/>
  <c r="U104" i="26"/>
  <c r="U43" i="26"/>
  <c r="U75" i="26"/>
  <c r="U107" i="26"/>
  <c r="U48" i="26"/>
  <c r="U80" i="26"/>
  <c r="U112" i="26"/>
  <c r="U51" i="26"/>
  <c r="U83" i="26"/>
  <c r="U115" i="26"/>
  <c r="U56" i="26"/>
  <c r="U88" i="26"/>
  <c r="U59" i="26"/>
  <c r="U91" i="26"/>
  <c r="U64" i="26"/>
  <c r="U96" i="26"/>
  <c r="U27" i="26"/>
  <c r="F6" i="26"/>
  <c r="H6" i="26" s="1"/>
  <c r="I6" i="26" s="1"/>
  <c r="C25" i="17"/>
  <c r="D24" i="17"/>
  <c r="F24" i="17" s="1"/>
  <c r="K5" i="16"/>
  <c r="L5" i="16" s="1"/>
  <c r="I5" i="16"/>
  <c r="J5" i="16" s="1"/>
  <c r="D25" i="17" l="1"/>
  <c r="F25" i="17" s="1"/>
  <c r="C26" i="17"/>
  <c r="I6" i="16"/>
  <c r="K6" i="16"/>
  <c r="C11" i="12"/>
  <c r="C27" i="17" l="1"/>
  <c r="D26" i="17"/>
  <c r="F26" i="17" s="1"/>
  <c r="I7" i="16"/>
  <c r="J6" i="16"/>
  <c r="K7" i="16"/>
  <c r="L6" i="16"/>
  <c r="D27" i="17" l="1"/>
  <c r="F27" i="17" s="1"/>
  <c r="C28" i="17"/>
  <c r="I8" i="16"/>
  <c r="J7" i="16"/>
  <c r="K8" i="16"/>
  <c r="L7" i="16"/>
  <c r="C29" i="17" l="1"/>
  <c r="D28" i="17"/>
  <c r="F28" i="17" s="1"/>
  <c r="I9" i="16"/>
  <c r="J8" i="16"/>
  <c r="K9" i="16"/>
  <c r="L8" i="16"/>
  <c r="D29" i="17" l="1"/>
  <c r="F29" i="17" s="1"/>
  <c r="C30" i="17"/>
  <c r="I10" i="16"/>
  <c r="J9" i="16"/>
  <c r="K10" i="16"/>
  <c r="L9" i="16"/>
  <c r="C31" i="17" l="1"/>
  <c r="D30" i="17"/>
  <c r="F30" i="17" s="1"/>
  <c r="I11" i="16"/>
  <c r="J10" i="16"/>
  <c r="K11" i="16"/>
  <c r="L10" i="16"/>
  <c r="D31" i="17" l="1"/>
  <c r="F31" i="17" s="1"/>
  <c r="C32" i="17"/>
  <c r="I12" i="16"/>
  <c r="J11" i="16"/>
  <c r="K12" i="16"/>
  <c r="L11" i="16"/>
  <c r="C33" i="17" l="1"/>
  <c r="D32" i="17"/>
  <c r="F32" i="17" s="1"/>
  <c r="I13" i="16"/>
  <c r="J12" i="16"/>
  <c r="K13" i="16"/>
  <c r="L12" i="16"/>
  <c r="C34" i="17" l="1"/>
  <c r="D33" i="17"/>
  <c r="F33" i="17" s="1"/>
  <c r="I14" i="16"/>
  <c r="J13" i="16"/>
  <c r="K14" i="16"/>
  <c r="L13" i="16"/>
  <c r="D34" i="17" l="1"/>
  <c r="F34" i="17" s="1"/>
  <c r="C35" i="17"/>
  <c r="I15" i="16"/>
  <c r="J14" i="16"/>
  <c r="K15" i="16"/>
  <c r="L14" i="16"/>
  <c r="C30" i="12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9" i="9"/>
  <c r="G89" i="1" l="1"/>
  <c r="G70" i="1"/>
  <c r="G93" i="1"/>
  <c r="G91" i="1"/>
  <c r="G105" i="1"/>
  <c r="G72" i="1"/>
  <c r="AG81" i="26"/>
  <c r="AF81" i="26"/>
  <c r="AN72" i="9"/>
  <c r="G69" i="1"/>
  <c r="G77" i="1"/>
  <c r="G84" i="1"/>
  <c r="G78" i="1"/>
  <c r="G90" i="1"/>
  <c r="G88" i="1"/>
  <c r="G87" i="1"/>
  <c r="G83" i="1"/>
  <c r="G94" i="1"/>
  <c r="G75" i="1"/>
  <c r="G104" i="1"/>
  <c r="G71" i="1"/>
  <c r="G102" i="1"/>
  <c r="G101" i="1"/>
  <c r="G82" i="1"/>
  <c r="G79" i="1"/>
  <c r="G76" i="1"/>
  <c r="G73" i="1"/>
  <c r="G103" i="1"/>
  <c r="G81" i="1"/>
  <c r="G95" i="1"/>
  <c r="G92" i="1"/>
  <c r="G74" i="1"/>
  <c r="G86" i="1"/>
  <c r="G85" i="1"/>
  <c r="G100" i="1"/>
  <c r="G99" i="1"/>
  <c r="G98" i="1"/>
  <c r="G97" i="1"/>
  <c r="G96" i="1"/>
  <c r="G80" i="1"/>
  <c r="D35" i="17"/>
  <c r="F35" i="17" s="1"/>
  <c r="C36" i="17"/>
  <c r="I16" i="16"/>
  <c r="J15" i="16"/>
  <c r="K16" i="16"/>
  <c r="L15" i="16"/>
  <c r="C37" i="17" l="1"/>
  <c r="D36" i="17"/>
  <c r="F36" i="17" s="1"/>
  <c r="I17" i="16"/>
  <c r="J16" i="16"/>
  <c r="K17" i="16"/>
  <c r="L16" i="16"/>
  <c r="AC10" i="9"/>
  <c r="AC11" i="9"/>
  <c r="AC12" i="9"/>
  <c r="AC13" i="9"/>
  <c r="AC14" i="9"/>
  <c r="AC15" i="9"/>
  <c r="AC9" i="9"/>
  <c r="AA11" i="9"/>
  <c r="AA12" i="9" s="1"/>
  <c r="U10" i="9"/>
  <c r="U11" i="9"/>
  <c r="U12" i="9"/>
  <c r="U13" i="9"/>
  <c r="U14" i="9"/>
  <c r="U15" i="9"/>
  <c r="U16" i="9"/>
  <c r="U17" i="9"/>
  <c r="U18" i="9"/>
  <c r="U9" i="9"/>
  <c r="S60" i="9"/>
  <c r="S94" i="9"/>
  <c r="S10" i="9"/>
  <c r="S11" i="9"/>
  <c r="S12" i="9"/>
  <c r="S13" i="9"/>
  <c r="S15" i="9"/>
  <c r="S16" i="9"/>
  <c r="S17" i="9"/>
  <c r="S18" i="9"/>
  <c r="S19" i="9"/>
  <c r="S9" i="9"/>
  <c r="AC91" i="9"/>
  <c r="S26" i="9"/>
  <c r="Q27" i="9"/>
  <c r="D37" i="17" l="1"/>
  <c r="F37" i="17" s="1"/>
  <c r="C38" i="17"/>
  <c r="I18" i="16"/>
  <c r="J17" i="16"/>
  <c r="K18" i="16"/>
  <c r="L17" i="16"/>
  <c r="S28" i="9"/>
  <c r="S23" i="9"/>
  <c r="Q87" i="9"/>
  <c r="Q40" i="9"/>
  <c r="Q39" i="9"/>
  <c r="S29" i="9"/>
  <c r="S93" i="9"/>
  <c r="S92" i="9"/>
  <c r="S63" i="9"/>
  <c r="Q103" i="9"/>
  <c r="S61" i="9"/>
  <c r="Q86" i="9"/>
  <c r="S87" i="9"/>
  <c r="S79" i="9"/>
  <c r="Q23" i="9"/>
  <c r="Q80" i="9"/>
  <c r="S55" i="9"/>
  <c r="Q64" i="9"/>
  <c r="S108" i="9"/>
  <c r="S47" i="9"/>
  <c r="Q63" i="9"/>
  <c r="S103" i="9"/>
  <c r="S77" i="9"/>
  <c r="S45" i="9"/>
  <c r="Q62" i="9"/>
  <c r="S102" i="9"/>
  <c r="S76" i="9"/>
  <c r="S44" i="9"/>
  <c r="Q104" i="9"/>
  <c r="Q46" i="9"/>
  <c r="S95" i="9"/>
  <c r="S71" i="9"/>
  <c r="S39" i="9"/>
  <c r="Q102" i="9"/>
  <c r="Q79" i="9"/>
  <c r="Q56" i="9"/>
  <c r="Q38" i="9"/>
  <c r="AC99" i="9"/>
  <c r="S22" i="9"/>
  <c r="AC98" i="9"/>
  <c r="Q72" i="9"/>
  <c r="Q54" i="9"/>
  <c r="Q31" i="9"/>
  <c r="S101" i="9"/>
  <c r="S85" i="9"/>
  <c r="S69" i="9"/>
  <c r="S53" i="9"/>
  <c r="S37" i="9"/>
  <c r="AC75" i="9"/>
  <c r="Q96" i="9"/>
  <c r="Q78" i="9"/>
  <c r="Q55" i="9"/>
  <c r="Q32" i="9"/>
  <c r="S86" i="9"/>
  <c r="S70" i="9"/>
  <c r="S54" i="9"/>
  <c r="S38" i="9"/>
  <c r="Q95" i="9"/>
  <c r="Q94" i="9"/>
  <c r="Q71" i="9"/>
  <c r="Q48" i="9"/>
  <c r="Q30" i="9"/>
  <c r="S100" i="9"/>
  <c r="S84" i="9"/>
  <c r="S68" i="9"/>
  <c r="S52" i="9"/>
  <c r="S36" i="9"/>
  <c r="AC74" i="9"/>
  <c r="Q88" i="9"/>
  <c r="Q70" i="9"/>
  <c r="Q47" i="9"/>
  <c r="Q24" i="9"/>
  <c r="S31" i="9"/>
  <c r="AC43" i="9"/>
  <c r="S78" i="9"/>
  <c r="S62" i="9"/>
  <c r="S46" i="9"/>
  <c r="S30" i="9"/>
  <c r="AC42" i="9"/>
  <c r="AC97" i="9"/>
  <c r="AC35" i="9"/>
  <c r="AC22" i="9"/>
  <c r="AC30" i="9"/>
  <c r="AC38" i="9"/>
  <c r="AC46" i="9"/>
  <c r="AC54" i="9"/>
  <c r="AC62" i="9"/>
  <c r="AC70" i="9"/>
  <c r="AC78" i="9"/>
  <c r="AC86" i="9"/>
  <c r="AC94" i="9"/>
  <c r="AC102" i="9"/>
  <c r="AC32" i="9"/>
  <c r="AC56" i="9"/>
  <c r="AC72" i="9"/>
  <c r="AC96" i="9"/>
  <c r="AC25" i="9"/>
  <c r="AC33" i="9"/>
  <c r="AC49" i="9"/>
  <c r="AC57" i="9"/>
  <c r="AC65" i="9"/>
  <c r="AC23" i="9"/>
  <c r="AC31" i="9"/>
  <c r="AC39" i="9"/>
  <c r="AC47" i="9"/>
  <c r="AC55" i="9"/>
  <c r="AC63" i="9"/>
  <c r="AC71" i="9"/>
  <c r="AC79" i="9"/>
  <c r="AC95" i="9"/>
  <c r="AC103" i="9"/>
  <c r="AC20" i="9"/>
  <c r="AC28" i="9"/>
  <c r="AC36" i="9"/>
  <c r="AC44" i="9"/>
  <c r="AC52" i="9"/>
  <c r="AC60" i="9"/>
  <c r="AC68" i="9"/>
  <c r="AC76" i="9"/>
  <c r="AC84" i="9"/>
  <c r="AC92" i="9"/>
  <c r="AC100" i="9"/>
  <c r="AC108" i="9"/>
  <c r="AC40" i="9"/>
  <c r="AC64" i="9"/>
  <c r="AC88" i="9"/>
  <c r="AC21" i="9"/>
  <c r="AC29" i="9"/>
  <c r="AC37" i="9"/>
  <c r="AC45" i="9"/>
  <c r="AC53" i="9"/>
  <c r="AC61" i="9"/>
  <c r="AC69" i="9"/>
  <c r="AC77" i="9"/>
  <c r="AC85" i="9"/>
  <c r="AC93" i="9"/>
  <c r="AC101" i="9"/>
  <c r="AC18" i="9"/>
  <c r="AC87" i="9"/>
  <c r="AC24" i="9"/>
  <c r="AC48" i="9"/>
  <c r="AC80" i="9"/>
  <c r="AC104" i="9"/>
  <c r="AC41" i="9"/>
  <c r="AC73" i="9"/>
  <c r="AC81" i="9"/>
  <c r="AC67" i="9"/>
  <c r="AC66" i="9"/>
  <c r="AC34" i="9"/>
  <c r="AC90" i="9"/>
  <c r="AC59" i="9"/>
  <c r="AC27" i="9"/>
  <c r="AC107" i="9"/>
  <c r="AC89" i="9"/>
  <c r="AC58" i="9"/>
  <c r="AC26" i="9"/>
  <c r="AC106" i="9"/>
  <c r="AC83" i="9"/>
  <c r="AC51" i="9"/>
  <c r="AC19" i="9"/>
  <c r="AC105" i="9"/>
  <c r="AC82" i="9"/>
  <c r="AC50" i="9"/>
  <c r="Q77" i="9"/>
  <c r="Q53" i="9"/>
  <c r="Q100" i="9"/>
  <c r="Q76" i="9"/>
  <c r="Q44" i="9"/>
  <c r="S75" i="9"/>
  <c r="Q106" i="9"/>
  <c r="Q98" i="9"/>
  <c r="Q90" i="9"/>
  <c r="Q82" i="9"/>
  <c r="Q74" i="9"/>
  <c r="Q66" i="9"/>
  <c r="Q58" i="9"/>
  <c r="Q50" i="9"/>
  <c r="Q42" i="9"/>
  <c r="Q34" i="9"/>
  <c r="Q26" i="9"/>
  <c r="S105" i="9"/>
  <c r="S97" i="9"/>
  <c r="S89" i="9"/>
  <c r="S81" i="9"/>
  <c r="S73" i="9"/>
  <c r="S65" i="9"/>
  <c r="S57" i="9"/>
  <c r="S49" i="9"/>
  <c r="S41" i="9"/>
  <c r="S33" i="9"/>
  <c r="S25" i="9"/>
  <c r="Q101" i="9"/>
  <c r="Q93" i="9"/>
  <c r="Q69" i="9"/>
  <c r="Q37" i="9"/>
  <c r="Q84" i="9"/>
  <c r="Q68" i="9"/>
  <c r="Q52" i="9"/>
  <c r="Q36" i="9"/>
  <c r="Q28" i="9"/>
  <c r="S107" i="9"/>
  <c r="S99" i="9"/>
  <c r="S83" i="9"/>
  <c r="S67" i="9"/>
  <c r="S59" i="9"/>
  <c r="S51" i="9"/>
  <c r="S43" i="9"/>
  <c r="S35" i="9"/>
  <c r="S27" i="9"/>
  <c r="Q105" i="9"/>
  <c r="Q97" i="9"/>
  <c r="Q89" i="9"/>
  <c r="Q81" i="9"/>
  <c r="Q73" i="9"/>
  <c r="Q65" i="9"/>
  <c r="Q57" i="9"/>
  <c r="Q49" i="9"/>
  <c r="Q41" i="9"/>
  <c r="Q33" i="9"/>
  <c r="Q25" i="9"/>
  <c r="S104" i="9"/>
  <c r="S96" i="9"/>
  <c r="S88" i="9"/>
  <c r="S80" i="9"/>
  <c r="S72" i="9"/>
  <c r="S64" i="9"/>
  <c r="S56" i="9"/>
  <c r="S48" i="9"/>
  <c r="S40" i="9"/>
  <c r="S32" i="9"/>
  <c r="S24" i="9"/>
  <c r="Q85" i="9"/>
  <c r="Q61" i="9"/>
  <c r="Q45" i="9"/>
  <c r="Q29" i="9"/>
  <c r="Q108" i="9"/>
  <c r="Q92" i="9"/>
  <c r="Q60" i="9"/>
  <c r="S91" i="9"/>
  <c r="Q107" i="9"/>
  <c r="Q99" i="9"/>
  <c r="Q91" i="9"/>
  <c r="Q83" i="9"/>
  <c r="Q75" i="9"/>
  <c r="Q67" i="9"/>
  <c r="Q59" i="9"/>
  <c r="Q51" i="9"/>
  <c r="Q43" i="9"/>
  <c r="Q35" i="9"/>
  <c r="S106" i="9"/>
  <c r="S98" i="9"/>
  <c r="S90" i="9"/>
  <c r="S82" i="9"/>
  <c r="S74" i="9"/>
  <c r="S66" i="9"/>
  <c r="S58" i="9"/>
  <c r="S50" i="9"/>
  <c r="S42" i="9"/>
  <c r="S34" i="9"/>
  <c r="U23" i="9"/>
  <c r="D38" i="17" l="1"/>
  <c r="F38" i="17" s="1"/>
  <c r="C39" i="17"/>
  <c r="I19" i="16"/>
  <c r="J18" i="16"/>
  <c r="K19" i="16"/>
  <c r="L18" i="16"/>
  <c r="W19" i="9"/>
  <c r="Z9" i="9"/>
  <c r="AA9" i="9" s="1"/>
  <c r="D39" i="17" l="1"/>
  <c r="F39" i="17" s="1"/>
  <c r="C40" i="17"/>
  <c r="I20" i="16"/>
  <c r="J19" i="16"/>
  <c r="K20" i="16"/>
  <c r="L19" i="16"/>
  <c r="Z10" i="9"/>
  <c r="AA10" i="9" s="1"/>
  <c r="K14" i="9"/>
  <c r="Y12" i="26" l="1"/>
  <c r="Y13" i="26" s="1"/>
  <c r="Y14" i="26" s="1"/>
  <c r="Y16" i="26" s="1"/>
  <c r="D9" i="26"/>
  <c r="Y10" i="26"/>
  <c r="C41" i="17"/>
  <c r="D40" i="17"/>
  <c r="F40" i="17" s="1"/>
  <c r="I21" i="16"/>
  <c r="J20" i="16"/>
  <c r="K21" i="16"/>
  <c r="L20" i="16"/>
  <c r="Y19" i="9"/>
  <c r="Y25" i="26" l="1"/>
  <c r="Y33" i="26"/>
  <c r="Y41" i="26"/>
  <c r="Y49" i="26"/>
  <c r="Y57" i="26"/>
  <c r="Y65" i="26"/>
  <c r="Y73" i="26"/>
  <c r="Y81" i="26"/>
  <c r="Y89" i="26"/>
  <c r="Y97" i="26"/>
  <c r="Y105" i="26"/>
  <c r="Y113" i="26"/>
  <c r="Y26" i="26"/>
  <c r="Y34" i="26"/>
  <c r="Y42" i="26"/>
  <c r="Y50" i="26"/>
  <c r="Y58" i="26"/>
  <c r="Y66" i="26"/>
  <c r="Y74" i="26"/>
  <c r="Y82" i="26"/>
  <c r="Y90" i="26"/>
  <c r="Y98" i="26"/>
  <c r="Y106" i="26"/>
  <c r="Y114" i="26"/>
  <c r="Y30" i="26"/>
  <c r="Y38" i="26"/>
  <c r="Y46" i="26"/>
  <c r="Y54" i="26"/>
  <c r="Y62" i="26"/>
  <c r="Y70" i="26"/>
  <c r="Y78" i="26"/>
  <c r="Y86" i="26"/>
  <c r="Y94" i="26"/>
  <c r="Y102" i="26"/>
  <c r="Y110" i="26"/>
  <c r="Y23" i="26"/>
  <c r="Y31" i="26"/>
  <c r="Y39" i="26"/>
  <c r="Y47" i="26"/>
  <c r="Y55" i="26"/>
  <c r="Y63" i="26"/>
  <c r="Y28" i="26"/>
  <c r="Y44" i="26"/>
  <c r="Y60" i="26"/>
  <c r="Y75" i="26"/>
  <c r="Y87" i="26"/>
  <c r="Y100" i="26"/>
  <c r="Y112" i="26"/>
  <c r="Y53" i="26"/>
  <c r="Y83" i="26"/>
  <c r="Y108" i="26"/>
  <c r="Y40" i="26"/>
  <c r="Y96" i="26"/>
  <c r="Y27" i="26"/>
  <c r="Y85" i="26"/>
  <c r="Y29" i="26"/>
  <c r="Y45" i="26"/>
  <c r="Y61" i="26"/>
  <c r="Y76" i="26"/>
  <c r="Y88" i="26"/>
  <c r="Y101" i="26"/>
  <c r="Y115" i="26"/>
  <c r="Y56" i="26"/>
  <c r="Y72" i="26"/>
  <c r="Y32" i="26"/>
  <c r="Y48" i="26"/>
  <c r="Y64" i="26"/>
  <c r="Y77" i="26"/>
  <c r="Y91" i="26"/>
  <c r="Y103" i="26"/>
  <c r="Y116" i="26"/>
  <c r="Y52" i="26"/>
  <c r="Y93" i="26"/>
  <c r="Y24" i="26"/>
  <c r="Y43" i="26"/>
  <c r="Y99" i="26"/>
  <c r="Y35" i="26"/>
  <c r="Y51" i="26"/>
  <c r="Y67" i="26"/>
  <c r="Y79" i="26"/>
  <c r="Y92" i="26"/>
  <c r="Y104" i="26"/>
  <c r="Y117" i="26"/>
  <c r="Y36" i="26"/>
  <c r="Y68" i="26"/>
  <c r="Y107" i="26"/>
  <c r="Y37" i="26"/>
  <c r="Y84" i="26"/>
  <c r="Y80" i="26"/>
  <c r="Y69" i="26"/>
  <c r="Y95" i="26"/>
  <c r="Y71" i="26"/>
  <c r="Y109" i="26"/>
  <c r="Y59" i="26"/>
  <c r="Y111" i="26"/>
  <c r="F9" i="26"/>
  <c r="H9" i="26" s="1"/>
  <c r="I9" i="26" s="1"/>
  <c r="C42" i="17"/>
  <c r="D41" i="17"/>
  <c r="F41" i="17" s="1"/>
  <c r="I22" i="16"/>
  <c r="J21" i="16"/>
  <c r="K22" i="16"/>
  <c r="L21" i="16"/>
  <c r="C43" i="17" l="1"/>
  <c r="D42" i="17"/>
  <c r="F42" i="17" s="1"/>
  <c r="I23" i="16"/>
  <c r="J22" i="16"/>
  <c r="K23" i="16"/>
  <c r="L22" i="16"/>
  <c r="O22" i="9"/>
  <c r="D43" i="17" l="1"/>
  <c r="F43" i="17" s="1"/>
  <c r="C44" i="17"/>
  <c r="I24" i="16"/>
  <c r="J23" i="16"/>
  <c r="K24" i="16"/>
  <c r="L23" i="16"/>
  <c r="C45" i="17" l="1"/>
  <c r="D44" i="17"/>
  <c r="F44" i="17" s="1"/>
  <c r="I25" i="16"/>
  <c r="J24" i="16"/>
  <c r="K25" i="16"/>
  <c r="L24" i="16"/>
  <c r="D45" i="17" l="1"/>
  <c r="F45" i="17" s="1"/>
  <c r="C46" i="17"/>
  <c r="I26" i="16"/>
  <c r="J25" i="16"/>
  <c r="K26" i="16"/>
  <c r="L25" i="16"/>
  <c r="C47" i="17" l="1"/>
  <c r="D46" i="17"/>
  <c r="F46" i="17" s="1"/>
  <c r="I27" i="16"/>
  <c r="J26" i="16"/>
  <c r="K27" i="16"/>
  <c r="L26" i="16"/>
  <c r="B6" i="23"/>
  <c r="B7" i="23" s="1"/>
  <c r="B8" i="23" s="1"/>
  <c r="B9" i="23" s="1"/>
  <c r="B10" i="23" s="1"/>
  <c r="B11" i="23" s="1"/>
  <c r="B12" i="23" s="1"/>
  <c r="B13" i="23" s="1"/>
  <c r="B14" i="23" s="1"/>
  <c r="B15" i="23" s="1"/>
  <c r="B16" i="23" s="1"/>
  <c r="B17" i="23" s="1"/>
  <c r="B18" i="23" s="1"/>
  <c r="B19" i="23" s="1"/>
  <c r="B20" i="23" s="1"/>
  <c r="B21" i="23" s="1"/>
  <c r="B22" i="23" s="1"/>
  <c r="B23" i="23" s="1"/>
  <c r="B24" i="23" s="1"/>
  <c r="B25" i="23" s="1"/>
  <c r="B26" i="23" s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51" i="23" s="1"/>
  <c r="B52" i="23" s="1"/>
  <c r="B53" i="23" s="1"/>
  <c r="B54" i="23" s="1"/>
  <c r="B55" i="23" s="1"/>
  <c r="B56" i="23" s="1"/>
  <c r="B57" i="23" s="1"/>
  <c r="B58" i="23" s="1"/>
  <c r="B59" i="23" s="1"/>
  <c r="B60" i="23" s="1"/>
  <c r="B61" i="23" s="1"/>
  <c r="B62" i="23" s="1"/>
  <c r="B63" i="23" s="1"/>
  <c r="B64" i="23" s="1"/>
  <c r="B65" i="23" s="1"/>
  <c r="B66" i="23" s="1"/>
  <c r="G5" i="21"/>
  <c r="G40" i="21" s="1"/>
  <c r="C39" i="20"/>
  <c r="C33" i="20"/>
  <c r="C36" i="20" s="1"/>
  <c r="C37" i="20" s="1"/>
  <c r="C26" i="20"/>
  <c r="C29" i="20" s="1"/>
  <c r="C30" i="20" s="1"/>
  <c r="C18" i="20"/>
  <c r="C12" i="20"/>
  <c r="C15" i="20" s="1"/>
  <c r="C16" i="20" s="1"/>
  <c r="C5" i="20"/>
  <c r="C8" i="20" s="1"/>
  <c r="C9" i="20" s="1"/>
  <c r="B5" i="17"/>
  <c r="B6" i="17" s="1"/>
  <c r="B7" i="17" s="1"/>
  <c r="B8" i="17" s="1"/>
  <c r="B9" i="17" s="1"/>
  <c r="B10" i="17" s="1"/>
  <c r="B11" i="17" s="1"/>
  <c r="B12" i="17" s="1"/>
  <c r="B13" i="17" s="1"/>
  <c r="B14" i="17" s="1"/>
  <c r="B15" i="17" s="1"/>
  <c r="B16" i="17" s="1"/>
  <c r="B17" i="17" s="1"/>
  <c r="B18" i="17" s="1"/>
  <c r="B19" i="17" s="1"/>
  <c r="B20" i="17" s="1"/>
  <c r="B21" i="17" s="1"/>
  <c r="B22" i="17" s="1"/>
  <c r="B23" i="17" s="1"/>
  <c r="B24" i="17" s="1"/>
  <c r="B25" i="17" s="1"/>
  <c r="B26" i="17" s="1"/>
  <c r="B27" i="17" s="1"/>
  <c r="B28" i="17" s="1"/>
  <c r="B29" i="17" s="1"/>
  <c r="B30" i="17" s="1"/>
  <c r="B31" i="17" s="1"/>
  <c r="B32" i="17" s="1"/>
  <c r="B33" i="17" s="1"/>
  <c r="B34" i="17" s="1"/>
  <c r="B35" i="17" s="1"/>
  <c r="B36" i="17" s="1"/>
  <c r="B37" i="17" s="1"/>
  <c r="B38" i="17" s="1"/>
  <c r="B39" i="17" s="1"/>
  <c r="B40" i="17" s="1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B52" i="17" s="1"/>
  <c r="B53" i="17" s="1"/>
  <c r="B54" i="17" s="1"/>
  <c r="B55" i="17" s="1"/>
  <c r="B56" i="17" s="1"/>
  <c r="B57" i="17" s="1"/>
  <c r="B58" i="17" s="1"/>
  <c r="B59" i="17" s="1"/>
  <c r="B60" i="17" s="1"/>
  <c r="B61" i="17" s="1"/>
  <c r="B62" i="17" s="1"/>
  <c r="B63" i="17" s="1"/>
  <c r="B64" i="17" s="1"/>
  <c r="B65" i="17" s="1"/>
  <c r="B66" i="17" s="1"/>
  <c r="B67" i="17" s="1"/>
  <c r="B68" i="17" s="1"/>
  <c r="B69" i="17" s="1"/>
  <c r="B70" i="17" s="1"/>
  <c r="B71" i="17" s="1"/>
  <c r="B72" i="17" s="1"/>
  <c r="B73" i="17" s="1"/>
  <c r="B74" i="17" s="1"/>
  <c r="B75" i="17" s="1"/>
  <c r="B76" i="17" s="1"/>
  <c r="B77" i="17" s="1"/>
  <c r="B78" i="17" s="1"/>
  <c r="B79" i="17" s="1"/>
  <c r="B80" i="17" s="1"/>
  <c r="B81" i="17" s="1"/>
  <c r="B82" i="17" s="1"/>
  <c r="B83" i="17" s="1"/>
  <c r="B84" i="17" s="1"/>
  <c r="B85" i="17" s="1"/>
  <c r="B86" i="17" s="1"/>
  <c r="B87" i="17" s="1"/>
  <c r="B88" i="17" s="1"/>
  <c r="B89" i="17" s="1"/>
  <c r="B90" i="17" s="1"/>
  <c r="B91" i="17" s="1"/>
  <c r="B92" i="17" s="1"/>
  <c r="B93" i="17" s="1"/>
  <c r="B94" i="17" s="1"/>
  <c r="B95" i="17" s="1"/>
  <c r="B96" i="17" s="1"/>
  <c r="B97" i="17" s="1"/>
  <c r="B98" i="17" s="1"/>
  <c r="B99" i="17" s="1"/>
  <c r="B100" i="17" s="1"/>
  <c r="B101" i="17" s="1"/>
  <c r="B102" i="17" s="1"/>
  <c r="B103" i="17" s="1"/>
  <c r="C19" i="20" l="1"/>
  <c r="B68" i="23"/>
  <c r="B69" i="23" s="1"/>
  <c r="B70" i="23" s="1"/>
  <c r="B71" i="23" s="1"/>
  <c r="B72" i="23" s="1"/>
  <c r="B73" i="23" s="1"/>
  <c r="B74" i="23" s="1"/>
  <c r="B75" i="23" s="1"/>
  <c r="B76" i="23" s="1"/>
  <c r="B77" i="23" s="1"/>
  <c r="B78" i="23" s="1"/>
  <c r="B79" i="23" s="1"/>
  <c r="B80" i="23" s="1"/>
  <c r="B81" i="23" s="1"/>
  <c r="B82" i="23" s="1"/>
  <c r="B83" i="23" s="1"/>
  <c r="B84" i="23" s="1"/>
  <c r="B85" i="23" s="1"/>
  <c r="B86" i="23" s="1"/>
  <c r="B87" i="23" s="1"/>
  <c r="B88" i="23" s="1"/>
  <c r="B89" i="23" s="1"/>
  <c r="B90" i="23" s="1"/>
  <c r="B91" i="23" s="1"/>
  <c r="B92" i="23" s="1"/>
  <c r="B93" i="23" s="1"/>
  <c r="B94" i="23" s="1"/>
  <c r="B95" i="23" s="1"/>
  <c r="B96" i="23" s="1"/>
  <c r="B97" i="23" s="1"/>
  <c r="B98" i="23" s="1"/>
  <c r="B99" i="23" s="1"/>
  <c r="B100" i="23" s="1"/>
  <c r="B101" i="23" s="1"/>
  <c r="B102" i="23" s="1"/>
  <c r="B103" i="23" s="1"/>
  <c r="B104" i="23" s="1"/>
  <c r="D47" i="17"/>
  <c r="F47" i="17" s="1"/>
  <c r="C48" i="17"/>
  <c r="C40" i="20"/>
  <c r="G45" i="21"/>
  <c r="J5" i="21"/>
  <c r="J40" i="21" s="1"/>
  <c r="I5" i="21"/>
  <c r="H5" i="21"/>
  <c r="H40" i="21" s="1"/>
  <c r="I28" i="16"/>
  <c r="J27" i="16"/>
  <c r="K28" i="16"/>
  <c r="L27" i="16"/>
  <c r="C6" i="20"/>
  <c r="C13" i="20"/>
  <c r="C27" i="20"/>
  <c r="C34" i="20"/>
  <c r="I40" i="21" l="1"/>
  <c r="I45" i="21" s="1"/>
  <c r="H10" i="23" s="1"/>
  <c r="H11" i="23" s="1"/>
  <c r="D48" i="17"/>
  <c r="F48" i="17" s="1"/>
  <c r="C49" i="17"/>
  <c r="C105" i="23"/>
  <c r="I29" i="16"/>
  <c r="J28" i="16"/>
  <c r="K29" i="16"/>
  <c r="L28" i="16"/>
  <c r="D105" i="23"/>
  <c r="C41" i="20"/>
  <c r="C20" i="20"/>
  <c r="H45" i="21" l="1"/>
  <c r="H5" i="23" s="1"/>
  <c r="H6" i="23" s="1"/>
  <c r="H12" i="23"/>
  <c r="C50" i="17"/>
  <c r="D49" i="17"/>
  <c r="F49" i="17" s="1"/>
  <c r="T22" i="23"/>
  <c r="T38" i="23"/>
  <c r="T54" i="23"/>
  <c r="T47" i="23"/>
  <c r="T64" i="23"/>
  <c r="T23" i="23"/>
  <c r="T39" i="23"/>
  <c r="T55" i="23"/>
  <c r="T31" i="23"/>
  <c r="T37" i="23"/>
  <c r="T24" i="23"/>
  <c r="T40" i="23"/>
  <c r="T56" i="23"/>
  <c r="T63" i="23"/>
  <c r="T21" i="23"/>
  <c r="T25" i="23"/>
  <c r="T41" i="23"/>
  <c r="T57" i="23"/>
  <c r="T15" i="23"/>
  <c r="T51" i="23"/>
  <c r="T26" i="23"/>
  <c r="T42" i="23"/>
  <c r="T58" i="23"/>
  <c r="T48" i="23"/>
  <c r="T36" i="23"/>
  <c r="T11" i="23"/>
  <c r="T27" i="23"/>
  <c r="T43" i="23"/>
  <c r="T59" i="23"/>
  <c r="T62" i="23"/>
  <c r="T53" i="23"/>
  <c r="T12" i="23"/>
  <c r="T28" i="23"/>
  <c r="T44" i="23"/>
  <c r="T60" i="23"/>
  <c r="T30" i="23"/>
  <c r="T16" i="23"/>
  <c r="T35" i="23"/>
  <c r="T52" i="23"/>
  <c r="T13" i="23"/>
  <c r="T29" i="23"/>
  <c r="T45" i="23"/>
  <c r="T61" i="23"/>
  <c r="T46" i="23"/>
  <c r="T32" i="23"/>
  <c r="T14" i="23"/>
  <c r="T20" i="23"/>
  <c r="T17" i="23"/>
  <c r="T33" i="23"/>
  <c r="T49" i="23"/>
  <c r="T65" i="23"/>
  <c r="T19" i="23"/>
  <c r="T18" i="23"/>
  <c r="T34" i="23"/>
  <c r="T50" i="23"/>
  <c r="T66" i="23"/>
  <c r="T67" i="23"/>
  <c r="E7" i="23"/>
  <c r="E5" i="23"/>
  <c r="T5" i="23" s="1"/>
  <c r="E6" i="23"/>
  <c r="E9" i="23"/>
  <c r="E8" i="23"/>
  <c r="J45" i="21"/>
  <c r="H26" i="23" s="1"/>
  <c r="I30" i="16"/>
  <c r="J29" i="16"/>
  <c r="K30" i="16"/>
  <c r="L29" i="16"/>
  <c r="T7" i="23" l="1"/>
  <c r="H27" i="23"/>
  <c r="T8" i="23"/>
  <c r="T9" i="23"/>
  <c r="T6" i="23"/>
  <c r="H13" i="23"/>
  <c r="T10" i="23"/>
  <c r="H7" i="23"/>
  <c r="C51" i="17"/>
  <c r="D50" i="17"/>
  <c r="F50" i="17" s="1"/>
  <c r="E105" i="23"/>
  <c r="I31" i="16"/>
  <c r="J30" i="16"/>
  <c r="K31" i="16"/>
  <c r="L30" i="16"/>
  <c r="H14" i="23" l="1"/>
  <c r="H28" i="23"/>
  <c r="H8" i="23"/>
  <c r="D51" i="17"/>
  <c r="F51" i="17" s="1"/>
  <c r="C52" i="17"/>
  <c r="I32" i="16"/>
  <c r="J31" i="16"/>
  <c r="K32" i="16"/>
  <c r="L31" i="16"/>
  <c r="H29" i="23" l="1"/>
  <c r="H15" i="23"/>
  <c r="H9" i="23"/>
  <c r="C53" i="17"/>
  <c r="D52" i="17"/>
  <c r="F52" i="17" s="1"/>
  <c r="I33" i="16"/>
  <c r="J32" i="16"/>
  <c r="K33" i="16"/>
  <c r="L32" i="16"/>
  <c r="M6" i="23"/>
  <c r="M7" i="23"/>
  <c r="M8" i="23"/>
  <c r="M9" i="23"/>
  <c r="I105" i="23"/>
  <c r="H16" i="23" l="1"/>
  <c r="H30" i="23"/>
  <c r="D53" i="17"/>
  <c r="F53" i="17" s="1"/>
  <c r="C54" i="17"/>
  <c r="I34" i="16"/>
  <c r="J33" i="16"/>
  <c r="K34" i="16"/>
  <c r="L33" i="16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7" i="4"/>
  <c r="H31" i="23" l="1"/>
  <c r="H17" i="23"/>
  <c r="D54" i="17"/>
  <c r="F54" i="17" s="1"/>
  <c r="C55" i="17"/>
  <c r="I35" i="16"/>
  <c r="J34" i="16"/>
  <c r="K35" i="16"/>
  <c r="L34" i="16"/>
  <c r="M5" i="23"/>
  <c r="Y5" i="16"/>
  <c r="W5" i="16"/>
  <c r="U5" i="16"/>
  <c r="S5" i="16"/>
  <c r="Q5" i="16"/>
  <c r="O5" i="16"/>
  <c r="M5" i="16"/>
  <c r="G5" i="16"/>
  <c r="E5" i="16"/>
  <c r="C5" i="16"/>
  <c r="D5" i="16" s="1"/>
  <c r="M105" i="23" l="1"/>
  <c r="AC5" i="23" s="1"/>
  <c r="H18" i="23"/>
  <c r="H32" i="23"/>
  <c r="D55" i="17"/>
  <c r="F55" i="17" s="1"/>
  <c r="C56" i="17"/>
  <c r="I36" i="16"/>
  <c r="J35" i="16"/>
  <c r="K36" i="16"/>
  <c r="L35" i="16"/>
  <c r="N11" i="1"/>
  <c r="K11" i="1" s="1"/>
  <c r="Y20" i="9"/>
  <c r="Y21" i="9"/>
  <c r="Y22" i="9"/>
  <c r="Y23" i="9"/>
  <c r="Y24" i="9"/>
  <c r="Y25" i="9"/>
  <c r="Y26" i="9"/>
  <c r="Y27" i="9"/>
  <c r="Y28" i="9"/>
  <c r="Y29" i="9"/>
  <c r="Y30" i="9"/>
  <c r="Y31" i="9"/>
  <c r="Y32" i="9"/>
  <c r="Y33" i="9"/>
  <c r="Y34" i="9"/>
  <c r="Y35" i="9"/>
  <c r="Y36" i="9"/>
  <c r="Y37" i="9"/>
  <c r="Y38" i="9"/>
  <c r="Y39" i="9"/>
  <c r="Y40" i="9"/>
  <c r="Y41" i="9"/>
  <c r="Y42" i="9"/>
  <c r="Y43" i="9"/>
  <c r="Y44" i="9"/>
  <c r="Y45" i="9"/>
  <c r="Y46" i="9"/>
  <c r="Y47" i="9"/>
  <c r="Y48" i="9"/>
  <c r="Y49" i="9"/>
  <c r="Y50" i="9"/>
  <c r="Y51" i="9"/>
  <c r="Y52" i="9"/>
  <c r="Y53" i="9"/>
  <c r="Y54" i="9"/>
  <c r="Y55" i="9"/>
  <c r="Y56" i="9"/>
  <c r="Y57" i="9"/>
  <c r="Y58" i="9"/>
  <c r="Y59" i="9"/>
  <c r="Y60" i="9"/>
  <c r="Y61" i="9"/>
  <c r="Y62" i="9"/>
  <c r="Y63" i="9"/>
  <c r="Y64" i="9"/>
  <c r="Y65" i="9"/>
  <c r="Y66" i="9"/>
  <c r="Y67" i="9"/>
  <c r="Y68" i="9"/>
  <c r="Y69" i="9"/>
  <c r="Y70" i="9"/>
  <c r="Y71" i="9"/>
  <c r="Y72" i="9"/>
  <c r="Y73" i="9"/>
  <c r="Y74" i="9"/>
  <c r="Y75" i="9"/>
  <c r="Y76" i="9"/>
  <c r="Y77" i="9"/>
  <c r="Y78" i="9"/>
  <c r="Y79" i="9"/>
  <c r="Y80" i="9"/>
  <c r="Y81" i="9"/>
  <c r="Y82" i="9"/>
  <c r="Y83" i="9"/>
  <c r="Y84" i="9"/>
  <c r="Y85" i="9"/>
  <c r="Y86" i="9"/>
  <c r="Y87" i="9"/>
  <c r="Y88" i="9"/>
  <c r="Y89" i="9"/>
  <c r="Y90" i="9"/>
  <c r="Y91" i="9"/>
  <c r="Y92" i="9"/>
  <c r="Y93" i="9"/>
  <c r="Y94" i="9"/>
  <c r="Y95" i="9"/>
  <c r="Y96" i="9"/>
  <c r="Y97" i="9"/>
  <c r="Y98" i="9"/>
  <c r="Y99" i="9"/>
  <c r="Y100" i="9"/>
  <c r="Y101" i="9"/>
  <c r="Y102" i="9"/>
  <c r="Y103" i="9"/>
  <c r="Y104" i="9"/>
  <c r="Y105" i="9"/>
  <c r="Y106" i="9"/>
  <c r="Y107" i="9"/>
  <c r="Y108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20" i="9"/>
  <c r="U21" i="9"/>
  <c r="U22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U88" i="9"/>
  <c r="U89" i="9"/>
  <c r="U90" i="9"/>
  <c r="U91" i="9"/>
  <c r="U92" i="9"/>
  <c r="U93" i="9"/>
  <c r="U94" i="9"/>
  <c r="U95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20" i="9"/>
  <c r="H33" i="23" l="1"/>
  <c r="H19" i="23"/>
  <c r="C57" i="17"/>
  <c r="D56" i="17"/>
  <c r="F56" i="17" s="1"/>
  <c r="I37" i="16"/>
  <c r="J36" i="16"/>
  <c r="K37" i="16"/>
  <c r="L36" i="16"/>
  <c r="AA13" i="9"/>
  <c r="AA14" i="9" s="1"/>
  <c r="H20" i="23" l="1"/>
  <c r="H34" i="23"/>
  <c r="D57" i="17"/>
  <c r="F57" i="17" s="1"/>
  <c r="C58" i="17"/>
  <c r="I38" i="16"/>
  <c r="J37" i="16"/>
  <c r="K38" i="16"/>
  <c r="L37" i="16"/>
  <c r="AA15" i="9"/>
  <c r="AA16" i="9" s="1"/>
  <c r="P9" i="9"/>
  <c r="H35" i="23" l="1"/>
  <c r="H21" i="23"/>
  <c r="C59" i="17"/>
  <c r="D58" i="17"/>
  <c r="F58" i="17" s="1"/>
  <c r="I39" i="16"/>
  <c r="J38" i="16"/>
  <c r="K39" i="16"/>
  <c r="L38" i="16"/>
  <c r="AA17" i="9"/>
  <c r="AA18" i="9" s="1"/>
  <c r="AA19" i="9" s="1"/>
  <c r="AA20" i="9" s="1"/>
  <c r="AA21" i="9" l="1"/>
  <c r="H22" i="23"/>
  <c r="H36" i="23"/>
  <c r="D59" i="17"/>
  <c r="F59" i="17" s="1"/>
  <c r="C60" i="17"/>
  <c r="I40" i="16"/>
  <c r="J39" i="16"/>
  <c r="K40" i="16"/>
  <c r="L39" i="16"/>
  <c r="W6" i="16"/>
  <c r="AA22" i="9" l="1"/>
  <c r="H37" i="23"/>
  <c r="H23" i="23"/>
  <c r="C61" i="17"/>
  <c r="D60" i="17"/>
  <c r="F60" i="17" s="1"/>
  <c r="I41" i="16"/>
  <c r="J40" i="16"/>
  <c r="K41" i="16"/>
  <c r="L40" i="16"/>
  <c r="W7" i="16"/>
  <c r="X6" i="16"/>
  <c r="G6" i="16"/>
  <c r="S6" i="16"/>
  <c r="AA23" i="9" l="1"/>
  <c r="H24" i="23"/>
  <c r="H38" i="23"/>
  <c r="D61" i="17"/>
  <c r="F61" i="17" s="1"/>
  <c r="C62" i="17"/>
  <c r="I42" i="16"/>
  <c r="J41" i="16"/>
  <c r="K42" i="16"/>
  <c r="L41" i="16"/>
  <c r="E6" i="16"/>
  <c r="Y6" i="16"/>
  <c r="W8" i="16"/>
  <c r="S7" i="16"/>
  <c r="C6" i="16"/>
  <c r="M6" i="16"/>
  <c r="O6" i="16"/>
  <c r="G7" i="16"/>
  <c r="AA24" i="9" l="1"/>
  <c r="H39" i="23"/>
  <c r="H25" i="23"/>
  <c r="C63" i="17"/>
  <c r="D62" i="17"/>
  <c r="F62" i="17" s="1"/>
  <c r="I43" i="16"/>
  <c r="J42" i="16"/>
  <c r="K43" i="16"/>
  <c r="L42" i="16"/>
  <c r="E7" i="16"/>
  <c r="E8" i="16" s="1"/>
  <c r="Y7" i="16"/>
  <c r="W9" i="16"/>
  <c r="U6" i="16"/>
  <c r="Q6" i="16"/>
  <c r="C7" i="16"/>
  <c r="S8" i="16"/>
  <c r="G8" i="16"/>
  <c r="O7" i="16"/>
  <c r="M7" i="16"/>
  <c r="AA25" i="9" l="1"/>
  <c r="H40" i="23"/>
  <c r="D63" i="17"/>
  <c r="F63" i="17" s="1"/>
  <c r="C64" i="17"/>
  <c r="I44" i="16"/>
  <c r="J43" i="16"/>
  <c r="K44" i="16"/>
  <c r="L43" i="16"/>
  <c r="Y8" i="16"/>
  <c r="X9" i="16"/>
  <c r="W10" i="16"/>
  <c r="G9" i="16"/>
  <c r="S9" i="16"/>
  <c r="E9" i="16"/>
  <c r="C8" i="16"/>
  <c r="M8" i="16"/>
  <c r="Q7" i="16"/>
  <c r="O8" i="16"/>
  <c r="U7" i="16"/>
  <c r="AA26" i="9" l="1"/>
  <c r="H41" i="23"/>
  <c r="C65" i="17"/>
  <c r="D64" i="17"/>
  <c r="F64" i="17" s="1"/>
  <c r="I45" i="16"/>
  <c r="J44" i="16"/>
  <c r="K45" i="16"/>
  <c r="L44" i="16"/>
  <c r="Y9" i="16"/>
  <c r="W11" i="16"/>
  <c r="X10" i="16"/>
  <c r="M9" i="16"/>
  <c r="C9" i="16"/>
  <c r="E10" i="16"/>
  <c r="S10" i="16"/>
  <c r="G10" i="16"/>
  <c r="U8" i="16"/>
  <c r="O9" i="16"/>
  <c r="Q8" i="16"/>
  <c r="AA27" i="9" l="1"/>
  <c r="H42" i="23"/>
  <c r="D65" i="17"/>
  <c r="F65" i="17" s="1"/>
  <c r="C66" i="17"/>
  <c r="I46" i="16"/>
  <c r="J45" i="16"/>
  <c r="K46" i="16"/>
  <c r="L45" i="16"/>
  <c r="Y10" i="16"/>
  <c r="X11" i="16"/>
  <c r="W12" i="16"/>
  <c r="U9" i="16"/>
  <c r="G11" i="16"/>
  <c r="S11" i="16"/>
  <c r="M10" i="16"/>
  <c r="Q9" i="16"/>
  <c r="O10" i="16"/>
  <c r="E11" i="16"/>
  <c r="C10" i="16"/>
  <c r="AA28" i="9" l="1"/>
  <c r="H43" i="23"/>
  <c r="D66" i="17"/>
  <c r="F66" i="17" s="1"/>
  <c r="C67" i="17"/>
  <c r="I47" i="16"/>
  <c r="J46" i="16"/>
  <c r="K47" i="16"/>
  <c r="L46" i="16"/>
  <c r="Y11" i="16"/>
  <c r="X12" i="16"/>
  <c r="W13" i="16"/>
  <c r="Q10" i="16"/>
  <c r="E12" i="16"/>
  <c r="O11" i="16"/>
  <c r="M11" i="16"/>
  <c r="S12" i="16"/>
  <c r="G12" i="16"/>
  <c r="C11" i="16"/>
  <c r="U10" i="16"/>
  <c r="AA29" i="9" l="1"/>
  <c r="H44" i="23"/>
  <c r="D67" i="17"/>
  <c r="F67" i="17" s="1"/>
  <c r="C68" i="17"/>
  <c r="I48" i="16"/>
  <c r="J47" i="16"/>
  <c r="K48" i="16"/>
  <c r="L47" i="16"/>
  <c r="Y12" i="16"/>
  <c r="X13" i="16"/>
  <c r="W14" i="16"/>
  <c r="M12" i="16"/>
  <c r="C12" i="16"/>
  <c r="O12" i="16"/>
  <c r="U11" i="16"/>
  <c r="E13" i="16"/>
  <c r="Q11" i="16"/>
  <c r="G13" i="16"/>
  <c r="S13" i="16"/>
  <c r="AA30" i="9" l="1"/>
  <c r="H45" i="23"/>
  <c r="C69" i="17"/>
  <c r="D68" i="17"/>
  <c r="F68" i="17" s="1"/>
  <c r="I49" i="16"/>
  <c r="J48" i="16"/>
  <c r="K49" i="16"/>
  <c r="L48" i="16"/>
  <c r="Y13" i="16"/>
  <c r="X14" i="16"/>
  <c r="W15" i="16"/>
  <c r="Q12" i="16"/>
  <c r="E14" i="16"/>
  <c r="U12" i="16"/>
  <c r="O13" i="16"/>
  <c r="S14" i="16"/>
  <c r="C13" i="16"/>
  <c r="G14" i="16"/>
  <c r="M13" i="16"/>
  <c r="AA31" i="9" l="1"/>
  <c r="H46" i="23"/>
  <c r="D69" i="17"/>
  <c r="F69" i="17" s="1"/>
  <c r="C70" i="17"/>
  <c r="I50" i="16"/>
  <c r="J49" i="16"/>
  <c r="K50" i="16"/>
  <c r="L49" i="16"/>
  <c r="Y14" i="16"/>
  <c r="W16" i="16"/>
  <c r="X15" i="16"/>
  <c r="Q13" i="16"/>
  <c r="M14" i="16"/>
  <c r="O14" i="16"/>
  <c r="E15" i="16"/>
  <c r="G15" i="16"/>
  <c r="C14" i="16"/>
  <c r="S15" i="16"/>
  <c r="U13" i="16"/>
  <c r="AA32" i="9" l="1"/>
  <c r="H47" i="23"/>
  <c r="C71" i="17"/>
  <c r="D70" i="17"/>
  <c r="F70" i="17" s="1"/>
  <c r="I51" i="16"/>
  <c r="J50" i="16"/>
  <c r="K51" i="16"/>
  <c r="L50" i="16"/>
  <c r="Y15" i="16"/>
  <c r="X16" i="16"/>
  <c r="W17" i="16"/>
  <c r="C15" i="16"/>
  <c r="G16" i="16"/>
  <c r="E16" i="16"/>
  <c r="O15" i="16"/>
  <c r="M15" i="16"/>
  <c r="U14" i="16"/>
  <c r="Q14" i="16"/>
  <c r="S16" i="16"/>
  <c r="AA33" i="9" l="1"/>
  <c r="H48" i="23"/>
  <c r="D71" i="17"/>
  <c r="F71" i="17" s="1"/>
  <c r="C72" i="17"/>
  <c r="I52" i="16"/>
  <c r="J51" i="16"/>
  <c r="K52" i="16"/>
  <c r="L51" i="16"/>
  <c r="Y16" i="16"/>
  <c r="W18" i="16"/>
  <c r="X17" i="16"/>
  <c r="Q15" i="16"/>
  <c r="U15" i="16"/>
  <c r="M16" i="16"/>
  <c r="O16" i="16"/>
  <c r="E17" i="16"/>
  <c r="G17" i="16"/>
  <c r="S17" i="16"/>
  <c r="C16" i="16"/>
  <c r="AA34" i="9" l="1"/>
  <c r="H49" i="23"/>
  <c r="D72" i="17"/>
  <c r="F72" i="17" s="1"/>
  <c r="C73" i="17"/>
  <c r="I53" i="16"/>
  <c r="J52" i="16"/>
  <c r="K53" i="16"/>
  <c r="L52" i="16"/>
  <c r="Y17" i="16"/>
  <c r="W19" i="16"/>
  <c r="X18" i="16"/>
  <c r="E18" i="16"/>
  <c r="O17" i="16"/>
  <c r="M17" i="16"/>
  <c r="U16" i="16"/>
  <c r="C17" i="16"/>
  <c r="Q16" i="16"/>
  <c r="S18" i="16"/>
  <c r="G18" i="16"/>
  <c r="AA35" i="9" l="1"/>
  <c r="H50" i="23"/>
  <c r="C74" i="17"/>
  <c r="D73" i="17"/>
  <c r="F73" i="17" s="1"/>
  <c r="I54" i="16"/>
  <c r="J53" i="16"/>
  <c r="K54" i="16"/>
  <c r="L53" i="16"/>
  <c r="Y18" i="16"/>
  <c r="W20" i="16"/>
  <c r="X19" i="16"/>
  <c r="G19" i="16"/>
  <c r="S19" i="16"/>
  <c r="Q17" i="16"/>
  <c r="C18" i="16"/>
  <c r="U17" i="16"/>
  <c r="M18" i="16"/>
  <c r="O18" i="16"/>
  <c r="E19" i="16"/>
  <c r="AA36" i="9" l="1"/>
  <c r="H51" i="23"/>
  <c r="C75" i="17"/>
  <c r="D74" i="17"/>
  <c r="F74" i="17" s="1"/>
  <c r="I55" i="16"/>
  <c r="J54" i="16"/>
  <c r="K55" i="16"/>
  <c r="L54" i="16"/>
  <c r="Y19" i="16"/>
  <c r="X20" i="16"/>
  <c r="W21" i="16"/>
  <c r="U18" i="16"/>
  <c r="C19" i="16"/>
  <c r="Q18" i="16"/>
  <c r="S20" i="16"/>
  <c r="G20" i="16"/>
  <c r="E20" i="16"/>
  <c r="O19" i="16"/>
  <c r="M19" i="16"/>
  <c r="AA37" i="9" l="1"/>
  <c r="H52" i="23"/>
  <c r="D75" i="17"/>
  <c r="F75" i="17" s="1"/>
  <c r="C76" i="17"/>
  <c r="I56" i="16"/>
  <c r="J55" i="16"/>
  <c r="K56" i="16"/>
  <c r="L55" i="16"/>
  <c r="Y20" i="16"/>
  <c r="X21" i="16"/>
  <c r="W22" i="16"/>
  <c r="O20" i="16"/>
  <c r="E21" i="16"/>
  <c r="G21" i="16"/>
  <c r="S21" i="16"/>
  <c r="Q19" i="16"/>
  <c r="C20" i="16"/>
  <c r="M20" i="16"/>
  <c r="U19" i="16"/>
  <c r="AA38" i="9" l="1"/>
  <c r="H53" i="23"/>
  <c r="C77" i="17"/>
  <c r="D76" i="17"/>
  <c r="F76" i="17" s="1"/>
  <c r="I57" i="16"/>
  <c r="J56" i="16"/>
  <c r="K57" i="16"/>
  <c r="L56" i="16"/>
  <c r="Y21" i="16"/>
  <c r="X22" i="16"/>
  <c r="W23" i="16"/>
  <c r="C21" i="16"/>
  <c r="G22" i="16"/>
  <c r="U20" i="16"/>
  <c r="O21" i="16"/>
  <c r="M21" i="16"/>
  <c r="Q20" i="16"/>
  <c r="S22" i="16"/>
  <c r="E22" i="16"/>
  <c r="AA39" i="9" l="1"/>
  <c r="H54" i="23"/>
  <c r="C78" i="17"/>
  <c r="D77" i="17"/>
  <c r="F77" i="17" s="1"/>
  <c r="I58" i="16"/>
  <c r="J57" i="16"/>
  <c r="K58" i="16"/>
  <c r="L57" i="16"/>
  <c r="Y22" i="16"/>
  <c r="W24" i="16"/>
  <c r="X23" i="16"/>
  <c r="O22" i="16"/>
  <c r="C22" i="16"/>
  <c r="Q21" i="16"/>
  <c r="M22" i="16"/>
  <c r="U21" i="16"/>
  <c r="G23" i="16"/>
  <c r="E23" i="16"/>
  <c r="S23" i="16"/>
  <c r="AA40" i="9" l="1"/>
  <c r="H55" i="23"/>
  <c r="C79" i="17"/>
  <c r="D78" i="17"/>
  <c r="F78" i="17" s="1"/>
  <c r="I59" i="16"/>
  <c r="J58" i="16"/>
  <c r="K59" i="16"/>
  <c r="L58" i="16"/>
  <c r="Y23" i="16"/>
  <c r="W25" i="16"/>
  <c r="X24" i="16"/>
  <c r="G24" i="16"/>
  <c r="U22" i="16"/>
  <c r="M23" i="16"/>
  <c r="Q22" i="16"/>
  <c r="S24" i="16"/>
  <c r="E24" i="16"/>
  <c r="C23" i="16"/>
  <c r="O23" i="16"/>
  <c r="AA41" i="9" l="1"/>
  <c r="H56" i="23"/>
  <c r="D79" i="17"/>
  <c r="F79" i="17" s="1"/>
  <c r="C80" i="17"/>
  <c r="I60" i="16"/>
  <c r="J59" i="16"/>
  <c r="K60" i="16"/>
  <c r="L59" i="16"/>
  <c r="Y24" i="16"/>
  <c r="X25" i="16"/>
  <c r="W26" i="16"/>
  <c r="S25" i="16"/>
  <c r="Q23" i="16"/>
  <c r="M24" i="16"/>
  <c r="U23" i="16"/>
  <c r="G25" i="16"/>
  <c r="O24" i="16"/>
  <c r="C24" i="16"/>
  <c r="E25" i="16"/>
  <c r="AA42" i="9" l="1"/>
  <c r="H57" i="23"/>
  <c r="C81" i="17"/>
  <c r="D80" i="17"/>
  <c r="F80" i="17" s="1"/>
  <c r="I61" i="16"/>
  <c r="J60" i="16"/>
  <c r="K61" i="16"/>
  <c r="L60" i="16"/>
  <c r="Y25" i="16"/>
  <c r="W27" i="16"/>
  <c r="X26" i="16"/>
  <c r="G26" i="16"/>
  <c r="O25" i="16"/>
  <c r="U24" i="16"/>
  <c r="M25" i="16"/>
  <c r="Q24" i="16"/>
  <c r="S26" i="16"/>
  <c r="E26" i="16"/>
  <c r="C25" i="16"/>
  <c r="AA43" i="9" l="1"/>
  <c r="H58" i="23"/>
  <c r="C82" i="17"/>
  <c r="D81" i="17"/>
  <c r="F81" i="17" s="1"/>
  <c r="I62" i="16"/>
  <c r="J61" i="16"/>
  <c r="K62" i="16"/>
  <c r="L61" i="16"/>
  <c r="Y26" i="16"/>
  <c r="X27" i="16"/>
  <c r="W28" i="16"/>
  <c r="E27" i="16"/>
  <c r="S27" i="16"/>
  <c r="Q25" i="16"/>
  <c r="M26" i="16"/>
  <c r="U25" i="16"/>
  <c r="O26" i="16"/>
  <c r="C26" i="16"/>
  <c r="G27" i="16"/>
  <c r="B10" i="9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3" i="9" s="1"/>
  <c r="B74" i="9" s="1"/>
  <c r="B75" i="9" s="1"/>
  <c r="B76" i="9" s="1"/>
  <c r="B77" i="9" s="1"/>
  <c r="B78" i="9" s="1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B89" i="9" s="1"/>
  <c r="B90" i="9" s="1"/>
  <c r="B91" i="9" s="1"/>
  <c r="B92" i="9" s="1"/>
  <c r="B93" i="9" s="1"/>
  <c r="B94" i="9" s="1"/>
  <c r="B95" i="9" s="1"/>
  <c r="B96" i="9" s="1"/>
  <c r="B97" i="9" s="1"/>
  <c r="B98" i="9" s="1"/>
  <c r="B99" i="9" s="1"/>
  <c r="B100" i="9" s="1"/>
  <c r="B101" i="9" s="1"/>
  <c r="B102" i="9" s="1"/>
  <c r="B103" i="9" s="1"/>
  <c r="B104" i="9" s="1"/>
  <c r="B105" i="9" s="1"/>
  <c r="B106" i="9" s="1"/>
  <c r="B107" i="9" s="1"/>
  <c r="B108" i="9" s="1"/>
  <c r="C31" i="12"/>
  <c r="AB16" i="9"/>
  <c r="AD16" i="9"/>
  <c r="AD17" i="9" s="1"/>
  <c r="AD18" i="9" s="1"/>
  <c r="AD19" i="9" s="1"/>
  <c r="AD20" i="9" s="1"/>
  <c r="AD21" i="9" s="1"/>
  <c r="AD22" i="9" s="1"/>
  <c r="AD23" i="9" s="1"/>
  <c r="AD24" i="9" s="1"/>
  <c r="AD25" i="9" s="1"/>
  <c r="AD26" i="9" s="1"/>
  <c r="AD27" i="9" s="1"/>
  <c r="AD28" i="9" s="1"/>
  <c r="AD29" i="9" s="1"/>
  <c r="AD30" i="9" s="1"/>
  <c r="AD31" i="9" s="1"/>
  <c r="AD32" i="9" s="1"/>
  <c r="AD33" i="9" s="1"/>
  <c r="AD34" i="9" s="1"/>
  <c r="AD35" i="9" s="1"/>
  <c r="AD36" i="9" s="1"/>
  <c r="AD37" i="9" s="1"/>
  <c r="AD38" i="9" s="1"/>
  <c r="AD39" i="9" s="1"/>
  <c r="AD40" i="9" s="1"/>
  <c r="AD41" i="9" s="1"/>
  <c r="AD42" i="9" s="1"/>
  <c r="AD43" i="9" s="1"/>
  <c r="AD44" i="9" s="1"/>
  <c r="AD45" i="9" s="1"/>
  <c r="AD46" i="9" s="1"/>
  <c r="AD47" i="9" s="1"/>
  <c r="AD48" i="9" s="1"/>
  <c r="AD49" i="9" s="1"/>
  <c r="AD50" i="9" s="1"/>
  <c r="AD51" i="9" s="1"/>
  <c r="AD52" i="9" s="1"/>
  <c r="AD53" i="9" s="1"/>
  <c r="AD54" i="9" s="1"/>
  <c r="AD55" i="9" s="1"/>
  <c r="AD56" i="9" s="1"/>
  <c r="AD57" i="9" s="1"/>
  <c r="AD58" i="9" s="1"/>
  <c r="AD59" i="9" s="1"/>
  <c r="AD60" i="9" s="1"/>
  <c r="AD61" i="9" s="1"/>
  <c r="AD62" i="9" s="1"/>
  <c r="AD63" i="9" s="1"/>
  <c r="AD64" i="9" s="1"/>
  <c r="AD65" i="9" s="1"/>
  <c r="AD66" i="9" s="1"/>
  <c r="AD67" i="9" s="1"/>
  <c r="AD68" i="9" s="1"/>
  <c r="AD69" i="9" s="1"/>
  <c r="AD70" i="9" s="1"/>
  <c r="AD71" i="9" s="1"/>
  <c r="AD72" i="9" s="1"/>
  <c r="AD73" i="9" s="1"/>
  <c r="AD74" i="9" s="1"/>
  <c r="AD75" i="9" s="1"/>
  <c r="AD76" i="9" s="1"/>
  <c r="AD77" i="9" s="1"/>
  <c r="AD78" i="9" s="1"/>
  <c r="AD79" i="9" s="1"/>
  <c r="AD80" i="9" s="1"/>
  <c r="AD81" i="9" s="1"/>
  <c r="AD82" i="9" s="1"/>
  <c r="AD83" i="9" s="1"/>
  <c r="AD84" i="9" s="1"/>
  <c r="AD85" i="9" s="1"/>
  <c r="AD86" i="9" s="1"/>
  <c r="AD87" i="9" s="1"/>
  <c r="AD88" i="9" s="1"/>
  <c r="AD89" i="9" s="1"/>
  <c r="AD90" i="9" s="1"/>
  <c r="AD91" i="9" s="1"/>
  <c r="AD92" i="9" s="1"/>
  <c r="AD93" i="9" s="1"/>
  <c r="AD94" i="9" s="1"/>
  <c r="AD95" i="9" s="1"/>
  <c r="AD96" i="9" s="1"/>
  <c r="AD97" i="9" s="1"/>
  <c r="AD98" i="9" s="1"/>
  <c r="AD99" i="9" s="1"/>
  <c r="AD100" i="9" s="1"/>
  <c r="AD101" i="9" s="1"/>
  <c r="AD102" i="9" s="1"/>
  <c r="AD103" i="9" s="1"/>
  <c r="AD104" i="9" s="1"/>
  <c r="AD105" i="9" s="1"/>
  <c r="AD106" i="9" s="1"/>
  <c r="AD107" i="9" s="1"/>
  <c r="AD108" i="9" s="1"/>
  <c r="X12" i="9"/>
  <c r="X10" i="9"/>
  <c r="Y10" i="9" s="1"/>
  <c r="E35" i="9"/>
  <c r="E10" i="9"/>
  <c r="L4" i="9"/>
  <c r="L9" i="9" s="1"/>
  <c r="L10" i="9" s="1"/>
  <c r="L11" i="9" s="1"/>
  <c r="L12" i="9" s="1"/>
  <c r="L13" i="9" s="1"/>
  <c r="L14" i="9" s="1"/>
  <c r="L15" i="9" s="1"/>
  <c r="L16" i="9" s="1"/>
  <c r="L17" i="9" s="1"/>
  <c r="L18" i="9" s="1"/>
  <c r="L19" i="9" s="1"/>
  <c r="L20" i="9" s="1"/>
  <c r="L21" i="9" s="1"/>
  <c r="N4" i="9"/>
  <c r="N9" i="9" s="1"/>
  <c r="AA44" i="9" l="1"/>
  <c r="H59" i="23"/>
  <c r="D82" i="17"/>
  <c r="F82" i="17" s="1"/>
  <c r="C83" i="17"/>
  <c r="E11" i="9"/>
  <c r="F38" i="25"/>
  <c r="I63" i="16"/>
  <c r="J62" i="16"/>
  <c r="K63" i="16"/>
  <c r="L62" i="16"/>
  <c r="AB17" i="9"/>
  <c r="AC17" i="9" s="1"/>
  <c r="X8" i="16" s="1"/>
  <c r="AC16" i="9"/>
  <c r="X7" i="16" s="1"/>
  <c r="I9" i="9"/>
  <c r="X13" i="9"/>
  <c r="Y12" i="9"/>
  <c r="Y27" i="16"/>
  <c r="W29" i="16"/>
  <c r="X28" i="16"/>
  <c r="U26" i="16"/>
  <c r="M27" i="16"/>
  <c r="Q26" i="16"/>
  <c r="S28" i="16"/>
  <c r="E28" i="16"/>
  <c r="G28" i="16"/>
  <c r="C27" i="16"/>
  <c r="O27" i="16"/>
  <c r="E36" i="9"/>
  <c r="D24" i="9"/>
  <c r="O9" i="9"/>
  <c r="N10" i="9"/>
  <c r="N11" i="9" s="1"/>
  <c r="N12" i="9" s="1"/>
  <c r="N13" i="9" s="1"/>
  <c r="N14" i="9" s="1"/>
  <c r="N15" i="9" s="1"/>
  <c r="N16" i="9" s="1"/>
  <c r="N17" i="9" s="1"/>
  <c r="N18" i="9" s="1"/>
  <c r="N19" i="9" s="1"/>
  <c r="N20" i="9" s="1"/>
  <c r="AA45" i="9" l="1"/>
  <c r="H60" i="23"/>
  <c r="D83" i="17"/>
  <c r="F83" i="17" s="1"/>
  <c r="C84" i="17"/>
  <c r="E12" i="9"/>
  <c r="G38" i="25"/>
  <c r="I64" i="16"/>
  <c r="J63" i="16"/>
  <c r="K64" i="16"/>
  <c r="L63" i="16"/>
  <c r="X14" i="9"/>
  <c r="Y13" i="9"/>
  <c r="Y28" i="16"/>
  <c r="W30" i="16"/>
  <c r="X29" i="16"/>
  <c r="C28" i="16"/>
  <c r="G29" i="16"/>
  <c r="E29" i="16"/>
  <c r="S29" i="16"/>
  <c r="Q27" i="16"/>
  <c r="M28" i="16"/>
  <c r="U27" i="16"/>
  <c r="O28" i="16"/>
  <c r="E37" i="9"/>
  <c r="D25" i="9"/>
  <c r="AA46" i="9" l="1"/>
  <c r="H61" i="23"/>
  <c r="D84" i="17"/>
  <c r="F84" i="17" s="1"/>
  <c r="C85" i="17"/>
  <c r="E13" i="9"/>
  <c r="H38" i="25"/>
  <c r="I65" i="16"/>
  <c r="J64" i="16"/>
  <c r="K65" i="16"/>
  <c r="L64" i="16"/>
  <c r="X15" i="9"/>
  <c r="Y14" i="9"/>
  <c r="U23" i="26" s="1"/>
  <c r="H98" i="4"/>
  <c r="H41" i="4"/>
  <c r="H96" i="4"/>
  <c r="H95" i="4"/>
  <c r="H10" i="4"/>
  <c r="H93" i="4"/>
  <c r="H8" i="4"/>
  <c r="H63" i="4"/>
  <c r="H35" i="4"/>
  <c r="H90" i="4"/>
  <c r="H62" i="4"/>
  <c r="H34" i="4"/>
  <c r="H89" i="4"/>
  <c r="H61" i="4"/>
  <c r="H33" i="4"/>
  <c r="H88" i="4"/>
  <c r="H60" i="4"/>
  <c r="H32" i="4"/>
  <c r="H87" i="4"/>
  <c r="H59" i="4"/>
  <c r="H31" i="4"/>
  <c r="H70" i="4"/>
  <c r="H97" i="4"/>
  <c r="H12" i="4"/>
  <c r="H39" i="4"/>
  <c r="H38" i="4"/>
  <c r="H37" i="4"/>
  <c r="H36" i="4"/>
  <c r="H57" i="4"/>
  <c r="H55" i="4"/>
  <c r="H26" i="4"/>
  <c r="H79" i="4"/>
  <c r="H51" i="4"/>
  <c r="H23" i="4"/>
  <c r="H42" i="4"/>
  <c r="H40" i="4"/>
  <c r="H66" i="4"/>
  <c r="H92" i="4"/>
  <c r="H86" i="4"/>
  <c r="H85" i="4"/>
  <c r="H84" i="4"/>
  <c r="H83" i="4"/>
  <c r="H53" i="4"/>
  <c r="H24" i="4"/>
  <c r="H50" i="4"/>
  <c r="H20" i="4"/>
  <c r="H74" i="4"/>
  <c r="H46" i="4"/>
  <c r="H18" i="4"/>
  <c r="H14" i="4"/>
  <c r="H69" i="4"/>
  <c r="H68" i="4"/>
  <c r="H11" i="4"/>
  <c r="H9" i="4"/>
  <c r="H91" i="4"/>
  <c r="H58" i="4"/>
  <c r="H28" i="4"/>
  <c r="H82" i="4"/>
  <c r="H81" i="4"/>
  <c r="H80" i="4"/>
  <c r="H52" i="4"/>
  <c r="H78" i="4"/>
  <c r="H49" i="4"/>
  <c r="H76" i="4"/>
  <c r="H47" i="4"/>
  <c r="H101" i="4"/>
  <c r="H100" i="4"/>
  <c r="H72" i="4"/>
  <c r="H44" i="4"/>
  <c r="H16" i="4"/>
  <c r="H13" i="4"/>
  <c r="H67" i="4"/>
  <c r="H94" i="4"/>
  <c r="H65" i="4"/>
  <c r="H64" i="4"/>
  <c r="H30" i="4"/>
  <c r="H29" i="4"/>
  <c r="H56" i="4"/>
  <c r="H27" i="4"/>
  <c r="H54" i="4"/>
  <c r="H25" i="4"/>
  <c r="H22" i="4"/>
  <c r="H77" i="4"/>
  <c r="H21" i="4"/>
  <c r="H48" i="4"/>
  <c r="H75" i="4"/>
  <c r="H19" i="4"/>
  <c r="H73" i="4"/>
  <c r="H45" i="4"/>
  <c r="H17" i="4"/>
  <c r="H99" i="4"/>
  <c r="H71" i="4"/>
  <c r="H43" i="4"/>
  <c r="H15" i="4"/>
  <c r="Y29" i="16"/>
  <c r="W31" i="16"/>
  <c r="X30" i="16"/>
  <c r="E30" i="16"/>
  <c r="G30" i="16"/>
  <c r="C29" i="16"/>
  <c r="O29" i="16"/>
  <c r="U28" i="16"/>
  <c r="M29" i="16"/>
  <c r="Q28" i="16"/>
  <c r="S30" i="16"/>
  <c r="E38" i="9"/>
  <c r="M35" i="1" s="1"/>
  <c r="D26" i="9"/>
  <c r="D27" i="9" s="1"/>
  <c r="D28" i="9" s="1"/>
  <c r="B13" i="14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K10" i="9"/>
  <c r="K11" i="9"/>
  <c r="K12" i="9"/>
  <c r="K13" i="9"/>
  <c r="K15" i="9"/>
  <c r="D6" i="16" s="1"/>
  <c r="K16" i="9"/>
  <c r="D7" i="16" s="1"/>
  <c r="K17" i="9"/>
  <c r="D8" i="16" s="1"/>
  <c r="K18" i="9"/>
  <c r="D9" i="16" s="1"/>
  <c r="K19" i="9"/>
  <c r="D10" i="16" s="1"/>
  <c r="D11" i="16"/>
  <c r="K21" i="9"/>
  <c r="D12" i="16" s="1"/>
  <c r="K22" i="9"/>
  <c r="K23" i="9"/>
  <c r="D14" i="16" s="1"/>
  <c r="K24" i="9"/>
  <c r="D15" i="16" s="1"/>
  <c r="K25" i="9"/>
  <c r="D16" i="16" s="1"/>
  <c r="K26" i="9"/>
  <c r="D17" i="16" s="1"/>
  <c r="K27" i="9"/>
  <c r="D18" i="16" s="1"/>
  <c r="K28" i="9"/>
  <c r="D19" i="16" s="1"/>
  <c r="K29" i="9"/>
  <c r="D20" i="16" s="1"/>
  <c r="K30" i="9"/>
  <c r="D21" i="16" s="1"/>
  <c r="K31" i="9"/>
  <c r="D22" i="16" s="1"/>
  <c r="K32" i="9"/>
  <c r="D23" i="16" s="1"/>
  <c r="K33" i="9"/>
  <c r="D24" i="16" s="1"/>
  <c r="K34" i="9"/>
  <c r="D25" i="16" s="1"/>
  <c r="K35" i="9"/>
  <c r="D26" i="16" s="1"/>
  <c r="K36" i="9"/>
  <c r="D27" i="16" s="1"/>
  <c r="K37" i="9"/>
  <c r="D28" i="16" s="1"/>
  <c r="K38" i="9"/>
  <c r="F13" i="16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O10" i="9"/>
  <c r="O11" i="9"/>
  <c r="O12" i="9"/>
  <c r="O13" i="9"/>
  <c r="O14" i="9"/>
  <c r="O15" i="9"/>
  <c r="O16" i="9"/>
  <c r="O17" i="9"/>
  <c r="O18" i="9"/>
  <c r="O19" i="9"/>
  <c r="O20" i="9"/>
  <c r="O21" i="9"/>
  <c r="O23" i="9"/>
  <c r="O24" i="9"/>
  <c r="O25" i="9"/>
  <c r="O26" i="9"/>
  <c r="O27" i="9"/>
  <c r="O28" i="9"/>
  <c r="O29" i="9"/>
  <c r="O30" i="9"/>
  <c r="O31" i="9"/>
  <c r="N7" i="1"/>
  <c r="N8" i="1"/>
  <c r="N9" i="1"/>
  <c r="N10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M8" i="1"/>
  <c r="L8" i="1" s="1"/>
  <c r="M9" i="1"/>
  <c r="M10" i="1"/>
  <c r="M31" i="1"/>
  <c r="M32" i="1"/>
  <c r="M33" i="1"/>
  <c r="M34" i="1"/>
  <c r="M6" i="1"/>
  <c r="M7" i="1"/>
  <c r="N6" i="1"/>
  <c r="L7" i="1" l="1"/>
  <c r="L9" i="1"/>
  <c r="D13" i="16"/>
  <c r="AA47" i="9"/>
  <c r="H62" i="23"/>
  <c r="C86" i="17"/>
  <c r="D85" i="17"/>
  <c r="F85" i="17" s="1"/>
  <c r="E14" i="9"/>
  <c r="I38" i="25"/>
  <c r="L10" i="1"/>
  <c r="I66" i="16"/>
  <c r="J65" i="16"/>
  <c r="K66" i="16"/>
  <c r="L65" i="16"/>
  <c r="H8" i="16"/>
  <c r="H6" i="16"/>
  <c r="H5" i="16"/>
  <c r="X16" i="9"/>
  <c r="Y15" i="9"/>
  <c r="U24" i="26" s="1"/>
  <c r="F21" i="16"/>
  <c r="F16" i="16"/>
  <c r="H15" i="16"/>
  <c r="F15" i="16"/>
  <c r="F23" i="16"/>
  <c r="H22" i="16"/>
  <c r="F12" i="16"/>
  <c r="H17" i="16"/>
  <c r="H11" i="16"/>
  <c r="H10" i="16"/>
  <c r="F20" i="16"/>
  <c r="F14" i="16"/>
  <c r="H28" i="16"/>
  <c r="F10" i="16"/>
  <c r="H26" i="16"/>
  <c r="H9" i="16"/>
  <c r="F9" i="16"/>
  <c r="H25" i="16"/>
  <c r="H21" i="16"/>
  <c r="F11" i="16"/>
  <c r="H27" i="16"/>
  <c r="F8" i="16"/>
  <c r="H24" i="16"/>
  <c r="F26" i="16"/>
  <c r="F22" i="16"/>
  <c r="H13" i="16"/>
  <c r="H23" i="16"/>
  <c r="F6" i="16"/>
  <c r="H19" i="16"/>
  <c r="H18" i="16"/>
  <c r="F18" i="16"/>
  <c r="F5" i="16"/>
  <c r="H29" i="16"/>
  <c r="F17" i="16"/>
  <c r="H14" i="16"/>
  <c r="H12" i="16"/>
  <c r="F29" i="16"/>
  <c r="H16" i="16"/>
  <c r="F24" i="16"/>
  <c r="F25" i="16"/>
  <c r="F19" i="16"/>
  <c r="F7" i="16"/>
  <c r="F28" i="16"/>
  <c r="H20" i="16"/>
  <c r="H7" i="16"/>
  <c r="F27" i="16"/>
  <c r="Y30" i="16"/>
  <c r="W32" i="16"/>
  <c r="X31" i="16"/>
  <c r="D29" i="16"/>
  <c r="C30" i="16"/>
  <c r="M30" i="16"/>
  <c r="U29" i="16"/>
  <c r="O30" i="16"/>
  <c r="S31" i="16"/>
  <c r="G31" i="16"/>
  <c r="H30" i="16"/>
  <c r="Q29" i="16"/>
  <c r="F30" i="16"/>
  <c r="E31" i="16"/>
  <c r="E39" i="9"/>
  <c r="AA48" i="9" l="1"/>
  <c r="H63" i="23"/>
  <c r="C87" i="17"/>
  <c r="D86" i="17"/>
  <c r="F86" i="17" s="1"/>
  <c r="E15" i="9"/>
  <c r="D5" i="2"/>
  <c r="I67" i="16"/>
  <c r="J66" i="16"/>
  <c r="K67" i="16"/>
  <c r="L66" i="16"/>
  <c r="X17" i="9"/>
  <c r="Y17" i="9" s="1"/>
  <c r="U26" i="26" s="1"/>
  <c r="Y16" i="9"/>
  <c r="U25" i="26" s="1"/>
  <c r="Y31" i="16"/>
  <c r="X32" i="16"/>
  <c r="W33" i="16"/>
  <c r="O31" i="16"/>
  <c r="U30" i="16"/>
  <c r="F31" i="16"/>
  <c r="E32" i="16"/>
  <c r="M31" i="16"/>
  <c r="Q30" i="16"/>
  <c r="C31" i="16"/>
  <c r="D30" i="16"/>
  <c r="H31" i="16"/>
  <c r="G32" i="16"/>
  <c r="S32" i="16"/>
  <c r="E40" i="9"/>
  <c r="M36" i="1"/>
  <c r="AD4" i="9"/>
  <c r="F5" i="2" l="1"/>
  <c r="P5" i="2" s="1"/>
  <c r="AA49" i="9"/>
  <c r="H64" i="23"/>
  <c r="D87" i="17"/>
  <c r="F87" i="17" s="1"/>
  <c r="C88" i="17"/>
  <c r="E16" i="9"/>
  <c r="M12" i="1"/>
  <c r="K12" i="1" s="1"/>
  <c r="D6" i="2" s="1"/>
  <c r="I68" i="16"/>
  <c r="J67" i="16"/>
  <c r="K68" i="16"/>
  <c r="L67" i="16"/>
  <c r="E7" i="4"/>
  <c r="AE43" i="9"/>
  <c r="AE107" i="9"/>
  <c r="AE44" i="9"/>
  <c r="AE76" i="9"/>
  <c r="AE108" i="9"/>
  <c r="AE51" i="9"/>
  <c r="AE19" i="9"/>
  <c r="AE83" i="9"/>
  <c r="AE75" i="9"/>
  <c r="AE27" i="9"/>
  <c r="AE47" i="9"/>
  <c r="AE17" i="9"/>
  <c r="AE24" i="9"/>
  <c r="AE88" i="9"/>
  <c r="AE61" i="9"/>
  <c r="AE41" i="9"/>
  <c r="AE22" i="9"/>
  <c r="AE86" i="9"/>
  <c r="AE50" i="9"/>
  <c r="AE91" i="9"/>
  <c r="AE79" i="9"/>
  <c r="AE87" i="9"/>
  <c r="AE37" i="9"/>
  <c r="AE62" i="9"/>
  <c r="AE100" i="9"/>
  <c r="AE84" i="9"/>
  <c r="AE95" i="9"/>
  <c r="AE72" i="9"/>
  <c r="AE15" i="9"/>
  <c r="AE70" i="9"/>
  <c r="AE53" i="9"/>
  <c r="AE78" i="9"/>
  <c r="AE55" i="9"/>
  <c r="AE57" i="9"/>
  <c r="AE32" i="9"/>
  <c r="AE96" i="9"/>
  <c r="AE69" i="9"/>
  <c r="AE65" i="9"/>
  <c r="AE30" i="9"/>
  <c r="AE94" i="9"/>
  <c r="AE74" i="9"/>
  <c r="AE92" i="9"/>
  <c r="AE59" i="9"/>
  <c r="AE35" i="9"/>
  <c r="AE63" i="9"/>
  <c r="AE81" i="9"/>
  <c r="AE40" i="9"/>
  <c r="AE104" i="9"/>
  <c r="AE77" i="9"/>
  <c r="AE89" i="9"/>
  <c r="AE38" i="9"/>
  <c r="AE102" i="9"/>
  <c r="AE106" i="9"/>
  <c r="AE60" i="9"/>
  <c r="AE71" i="9"/>
  <c r="AE105" i="9"/>
  <c r="AE48" i="9"/>
  <c r="AE21" i="9"/>
  <c r="AE85" i="9"/>
  <c r="AE26" i="9"/>
  <c r="AE46" i="9"/>
  <c r="AE25" i="9"/>
  <c r="AE99" i="9"/>
  <c r="AE28" i="9"/>
  <c r="AE18" i="9"/>
  <c r="AE56" i="9"/>
  <c r="AE29" i="9"/>
  <c r="AE93" i="9"/>
  <c r="AE42" i="9"/>
  <c r="AE54" i="9"/>
  <c r="AE49" i="9"/>
  <c r="AE67" i="9"/>
  <c r="AE23" i="9"/>
  <c r="AE66" i="9"/>
  <c r="AE64" i="9"/>
  <c r="AE101" i="9"/>
  <c r="AE58" i="9"/>
  <c r="AE73" i="9"/>
  <c r="AE31" i="9"/>
  <c r="AE90" i="9"/>
  <c r="AE45" i="9"/>
  <c r="AE82" i="9"/>
  <c r="AE97" i="9"/>
  <c r="AE68" i="9"/>
  <c r="AE52" i="9"/>
  <c r="AE39" i="9"/>
  <c r="AE103" i="9"/>
  <c r="AE16" i="9"/>
  <c r="AE80" i="9"/>
  <c r="AE33" i="9"/>
  <c r="AE98" i="9"/>
  <c r="AE34" i="9"/>
  <c r="AE36" i="9"/>
  <c r="AE20" i="9"/>
  <c r="Y32" i="16"/>
  <c r="X33" i="16"/>
  <c r="W34" i="16"/>
  <c r="Q31" i="16"/>
  <c r="M32" i="16"/>
  <c r="F32" i="16"/>
  <c r="E33" i="16"/>
  <c r="U31" i="16"/>
  <c r="O32" i="16"/>
  <c r="S33" i="16"/>
  <c r="H32" i="16"/>
  <c r="G33" i="16"/>
  <c r="C32" i="16"/>
  <c r="D31" i="16"/>
  <c r="E41" i="9"/>
  <c r="M37" i="1"/>
  <c r="AD9" i="9"/>
  <c r="AE9" i="9" s="1"/>
  <c r="AK10" i="9"/>
  <c r="AK11" i="9"/>
  <c r="AK12" i="9"/>
  <c r="AK13" i="9"/>
  <c r="D6" i="6" l="1"/>
  <c r="F6" i="6" s="1"/>
  <c r="D5" i="6"/>
  <c r="F5" i="6" s="1"/>
  <c r="D7" i="6"/>
  <c r="F7" i="6" s="1"/>
  <c r="D4" i="6"/>
  <c r="F4" i="6" s="1"/>
  <c r="E8" i="4"/>
  <c r="F8" i="6"/>
  <c r="AA50" i="9"/>
  <c r="H65" i="23"/>
  <c r="C89" i="17"/>
  <c r="D88" i="17"/>
  <c r="F88" i="17" s="1"/>
  <c r="E17" i="9"/>
  <c r="M13" i="1"/>
  <c r="H5" i="2"/>
  <c r="I69" i="16"/>
  <c r="J68" i="16"/>
  <c r="K69" i="16"/>
  <c r="L68" i="16"/>
  <c r="Y33" i="16"/>
  <c r="W35" i="16"/>
  <c r="X34" i="16"/>
  <c r="Q32" i="16"/>
  <c r="H33" i="16"/>
  <c r="G34" i="16"/>
  <c r="S34" i="16"/>
  <c r="O33" i="16"/>
  <c r="U32" i="16"/>
  <c r="E34" i="16"/>
  <c r="F33" i="16"/>
  <c r="D32" i="16"/>
  <c r="C33" i="16"/>
  <c r="M33" i="16"/>
  <c r="AD10" i="9"/>
  <c r="AE10" i="9" s="1"/>
  <c r="E42" i="9"/>
  <c r="M38" i="1"/>
  <c r="D30" i="9"/>
  <c r="K13" i="1" l="1"/>
  <c r="D7" i="2" s="1"/>
  <c r="K10" i="23"/>
  <c r="AA51" i="9"/>
  <c r="H66" i="23"/>
  <c r="D89" i="17"/>
  <c r="F89" i="17" s="1"/>
  <c r="C90" i="17"/>
  <c r="I5" i="2"/>
  <c r="M14" i="1"/>
  <c r="K14" i="1" s="1"/>
  <c r="D8" i="2" s="1"/>
  <c r="E18" i="9"/>
  <c r="I70" i="16"/>
  <c r="J69" i="16"/>
  <c r="K70" i="16"/>
  <c r="L69" i="16"/>
  <c r="Y34" i="16"/>
  <c r="W36" i="16"/>
  <c r="X35" i="16"/>
  <c r="F34" i="16"/>
  <c r="E35" i="16"/>
  <c r="U33" i="16"/>
  <c r="O34" i="16"/>
  <c r="S35" i="16"/>
  <c r="M34" i="16"/>
  <c r="G35" i="16"/>
  <c r="H34" i="16"/>
  <c r="Q33" i="16"/>
  <c r="C34" i="16"/>
  <c r="D33" i="16"/>
  <c r="AD11" i="9"/>
  <c r="E43" i="9"/>
  <c r="M39" i="1"/>
  <c r="AL21" i="9"/>
  <c r="D31" i="9"/>
  <c r="I104" i="9"/>
  <c r="I76" i="9"/>
  <c r="I48" i="9"/>
  <c r="I20" i="9"/>
  <c r="I103" i="9"/>
  <c r="I75" i="9"/>
  <c r="I47" i="9"/>
  <c r="I19" i="9"/>
  <c r="I102" i="9"/>
  <c r="I74" i="9"/>
  <c r="I46" i="9"/>
  <c r="I18" i="9"/>
  <c r="I101" i="9"/>
  <c r="I73" i="9"/>
  <c r="I45" i="9"/>
  <c r="I17" i="9"/>
  <c r="I100" i="9"/>
  <c r="I72" i="9"/>
  <c r="I44" i="9"/>
  <c r="I16" i="9"/>
  <c r="I99" i="9"/>
  <c r="I71" i="9"/>
  <c r="I43" i="9"/>
  <c r="I15" i="9"/>
  <c r="I98" i="9"/>
  <c r="I70" i="9"/>
  <c r="I42" i="9"/>
  <c r="I14" i="9"/>
  <c r="I97" i="9"/>
  <c r="I69" i="9"/>
  <c r="I41" i="9"/>
  <c r="I13" i="9"/>
  <c r="I96" i="9"/>
  <c r="I68" i="9"/>
  <c r="I40" i="9"/>
  <c r="I12" i="9"/>
  <c r="I95" i="9"/>
  <c r="I67" i="9"/>
  <c r="I39" i="9"/>
  <c r="I11" i="9"/>
  <c r="I94" i="9"/>
  <c r="I66" i="9"/>
  <c r="I38" i="9"/>
  <c r="I10" i="9"/>
  <c r="I93" i="9"/>
  <c r="I65" i="9"/>
  <c r="I37" i="9"/>
  <c r="I92" i="9"/>
  <c r="I64" i="9"/>
  <c r="I36" i="9"/>
  <c r="I63" i="9"/>
  <c r="I88" i="9"/>
  <c r="I60" i="9"/>
  <c r="I32" i="9"/>
  <c r="I87" i="9"/>
  <c r="I59" i="9"/>
  <c r="I31" i="9"/>
  <c r="I86" i="9"/>
  <c r="I58" i="9"/>
  <c r="I30" i="9"/>
  <c r="I85" i="9"/>
  <c r="I57" i="9"/>
  <c r="I29" i="9"/>
  <c r="I84" i="9"/>
  <c r="I56" i="9"/>
  <c r="I28" i="9"/>
  <c r="I83" i="9"/>
  <c r="I55" i="9"/>
  <c r="I27" i="9"/>
  <c r="I82" i="9"/>
  <c r="I54" i="9"/>
  <c r="I26" i="9"/>
  <c r="I81" i="9"/>
  <c r="I53" i="9"/>
  <c r="I25" i="9"/>
  <c r="I108" i="9"/>
  <c r="I80" i="9"/>
  <c r="I52" i="9"/>
  <c r="I24" i="9"/>
  <c r="I107" i="9"/>
  <c r="I79" i="9"/>
  <c r="I51" i="9"/>
  <c r="I23" i="9"/>
  <c r="I106" i="9"/>
  <c r="I78" i="9"/>
  <c r="I50" i="9"/>
  <c r="I22" i="9"/>
  <c r="I105" i="9"/>
  <c r="I77" i="9"/>
  <c r="I49" i="9"/>
  <c r="I21" i="9"/>
  <c r="I91" i="9"/>
  <c r="I35" i="9"/>
  <c r="I90" i="9"/>
  <c r="I62" i="9"/>
  <c r="I34" i="9"/>
  <c r="I89" i="9"/>
  <c r="I61" i="9"/>
  <c r="I33" i="9"/>
  <c r="V11" i="16"/>
  <c r="V27" i="16"/>
  <c r="V13" i="16"/>
  <c r="V14" i="16"/>
  <c r="V15" i="16"/>
  <c r="V32" i="16"/>
  <c r="V18" i="16"/>
  <c r="V19" i="16"/>
  <c r="V24" i="16"/>
  <c r="V12" i="16"/>
  <c r="V28" i="16"/>
  <c r="V29" i="16"/>
  <c r="V30" i="16"/>
  <c r="V31" i="16"/>
  <c r="V16" i="16"/>
  <c r="V17" i="16"/>
  <c r="V7" i="16"/>
  <c r="V9" i="16"/>
  <c r="V20" i="16"/>
  <c r="V6" i="16"/>
  <c r="V23" i="16"/>
  <c r="V25" i="16"/>
  <c r="V26" i="16"/>
  <c r="V5" i="16"/>
  <c r="V21" i="16"/>
  <c r="V22" i="16"/>
  <c r="V10" i="16"/>
  <c r="V8" i="16"/>
  <c r="E10" i="4" l="1"/>
  <c r="E9" i="4"/>
  <c r="G7" i="4"/>
  <c r="AA5" i="16" s="1"/>
  <c r="AB5" i="16" s="1"/>
  <c r="AA52" i="9"/>
  <c r="H67" i="23"/>
  <c r="D90" i="17"/>
  <c r="F90" i="17" s="1"/>
  <c r="C91" i="17"/>
  <c r="M15" i="1"/>
  <c r="K15" i="1" s="1"/>
  <c r="D9" i="2" s="1"/>
  <c r="E19" i="9"/>
  <c r="H58" i="1"/>
  <c r="H50" i="1"/>
  <c r="H33" i="1"/>
  <c r="AI36" i="9"/>
  <c r="H67" i="1"/>
  <c r="H73" i="1"/>
  <c r="H74" i="1"/>
  <c r="H53" i="1"/>
  <c r="H91" i="1"/>
  <c r="H97" i="1"/>
  <c r="H102" i="1"/>
  <c r="H81" i="1"/>
  <c r="H8" i="1"/>
  <c r="H14" i="1"/>
  <c r="AI22" i="9"/>
  <c r="H19" i="1"/>
  <c r="AI29" i="9"/>
  <c r="H26" i="1"/>
  <c r="H36" i="1"/>
  <c r="AI39" i="9"/>
  <c r="H42" i="1"/>
  <c r="AI45" i="9"/>
  <c r="AI50" i="9"/>
  <c r="H47" i="1"/>
  <c r="H29" i="1"/>
  <c r="AI32" i="9"/>
  <c r="H70" i="1"/>
  <c r="H77" i="1"/>
  <c r="AI27" i="9"/>
  <c r="H24" i="1"/>
  <c r="H82" i="1"/>
  <c r="H57" i="1"/>
  <c r="H90" i="1"/>
  <c r="H92" i="1"/>
  <c r="H94" i="1"/>
  <c r="H96" i="1"/>
  <c r="H98" i="1"/>
  <c r="H100" i="1"/>
  <c r="AI51" i="9"/>
  <c r="H48" i="1"/>
  <c r="H83" i="1"/>
  <c r="H65" i="1"/>
  <c r="H69" i="1"/>
  <c r="H76" i="1"/>
  <c r="H28" i="1"/>
  <c r="AI31" i="9"/>
  <c r="H93" i="1"/>
  <c r="H99" i="1"/>
  <c r="AI34" i="9"/>
  <c r="H31" i="1"/>
  <c r="AI26" i="9"/>
  <c r="H23" i="1"/>
  <c r="H89" i="1"/>
  <c r="H12" i="1"/>
  <c r="AI24" i="9"/>
  <c r="H21" i="1"/>
  <c r="H84" i="1"/>
  <c r="H38" i="1"/>
  <c r="AI41" i="9"/>
  <c r="H87" i="1"/>
  <c r="H54" i="1"/>
  <c r="H68" i="1"/>
  <c r="H52" i="1"/>
  <c r="AI20" i="9"/>
  <c r="H17" i="1"/>
  <c r="H46" i="1"/>
  <c r="AI49" i="9"/>
  <c r="H25" i="1"/>
  <c r="AI28" i="9"/>
  <c r="H63" i="1"/>
  <c r="H71" i="1"/>
  <c r="H86" i="1"/>
  <c r="H78" i="1"/>
  <c r="H61" i="1"/>
  <c r="H95" i="1"/>
  <c r="H101" i="1"/>
  <c r="H104" i="1"/>
  <c r="H56" i="1"/>
  <c r="H10" i="1"/>
  <c r="H16" i="1"/>
  <c r="H59" i="1"/>
  <c r="H51" i="1"/>
  <c r="H34" i="1"/>
  <c r="AI37" i="9"/>
  <c r="AI43" i="9"/>
  <c r="H40" i="1"/>
  <c r="H44" i="1"/>
  <c r="AI47" i="9"/>
  <c r="AI52" i="9"/>
  <c r="H49" i="1"/>
  <c r="H79" i="1"/>
  <c r="H62" i="1"/>
  <c r="H64" i="1"/>
  <c r="H66" i="1"/>
  <c r="H72" i="1"/>
  <c r="AI35" i="9"/>
  <c r="H32" i="1"/>
  <c r="H75" i="1"/>
  <c r="H88" i="1"/>
  <c r="H103" i="1"/>
  <c r="H105" i="1"/>
  <c r="AI30" i="9"/>
  <c r="H27" i="1"/>
  <c r="H85" i="1"/>
  <c r="H7" i="1"/>
  <c r="H9" i="1"/>
  <c r="H11" i="1"/>
  <c r="H13" i="1"/>
  <c r="H15" i="1"/>
  <c r="AI33" i="9"/>
  <c r="H30" i="1"/>
  <c r="H18" i="1"/>
  <c r="AI21" i="9"/>
  <c r="H20" i="1"/>
  <c r="AI23" i="9"/>
  <c r="AI25" i="9"/>
  <c r="H22" i="1"/>
  <c r="H80" i="1"/>
  <c r="H55" i="1"/>
  <c r="H60" i="1"/>
  <c r="AI38" i="9"/>
  <c r="H35" i="1"/>
  <c r="H37" i="1"/>
  <c r="AI40" i="9"/>
  <c r="AI42" i="9"/>
  <c r="H39" i="1"/>
  <c r="H41" i="1"/>
  <c r="AI44" i="9"/>
  <c r="AI46" i="9"/>
  <c r="H43" i="1"/>
  <c r="H45" i="1"/>
  <c r="AI48" i="9"/>
  <c r="I71" i="16"/>
  <c r="J70" i="16"/>
  <c r="K71" i="16"/>
  <c r="L70" i="16"/>
  <c r="AD12" i="9"/>
  <c r="AE11" i="9"/>
  <c r="Y35" i="16"/>
  <c r="X36" i="16"/>
  <c r="W37" i="16"/>
  <c r="G36" i="16"/>
  <c r="H35" i="16"/>
  <c r="O35" i="16"/>
  <c r="M35" i="16"/>
  <c r="S36" i="16"/>
  <c r="V33" i="16"/>
  <c r="U34" i="16"/>
  <c r="C35" i="16"/>
  <c r="D34" i="16"/>
  <c r="E36" i="16"/>
  <c r="F35" i="16"/>
  <c r="Q34" i="16"/>
  <c r="E44" i="9"/>
  <c r="M40" i="1"/>
  <c r="AL22" i="9"/>
  <c r="D32" i="9"/>
  <c r="E11" i="4" l="1"/>
  <c r="AA53" i="9"/>
  <c r="H68" i="23"/>
  <c r="H69" i="23" s="1"/>
  <c r="H70" i="23" s="1"/>
  <c r="H71" i="23" s="1"/>
  <c r="H72" i="23" s="1"/>
  <c r="H73" i="23" s="1"/>
  <c r="H74" i="23" s="1"/>
  <c r="H75" i="23" s="1"/>
  <c r="H76" i="23" s="1"/>
  <c r="H77" i="23" s="1"/>
  <c r="H78" i="23" s="1"/>
  <c r="H79" i="23" s="1"/>
  <c r="H80" i="23" s="1"/>
  <c r="H81" i="23" s="1"/>
  <c r="H82" i="23" s="1"/>
  <c r="H83" i="23" s="1"/>
  <c r="H84" i="23" s="1"/>
  <c r="H85" i="23" s="1"/>
  <c r="H86" i="23" s="1"/>
  <c r="H87" i="23" s="1"/>
  <c r="H88" i="23" s="1"/>
  <c r="H89" i="23" s="1"/>
  <c r="H90" i="23" s="1"/>
  <c r="H91" i="23" s="1"/>
  <c r="H92" i="23" s="1"/>
  <c r="H93" i="23" s="1"/>
  <c r="H94" i="23" s="1"/>
  <c r="H95" i="23" s="1"/>
  <c r="H96" i="23" s="1"/>
  <c r="H97" i="23" s="1"/>
  <c r="H98" i="23" s="1"/>
  <c r="H99" i="23" s="1"/>
  <c r="H100" i="23" s="1"/>
  <c r="H101" i="23" s="1"/>
  <c r="H102" i="23" s="1"/>
  <c r="H103" i="23" s="1"/>
  <c r="H104" i="23" s="1"/>
  <c r="D91" i="17"/>
  <c r="F91" i="17" s="1"/>
  <c r="C92" i="17"/>
  <c r="E20" i="9"/>
  <c r="M16" i="1"/>
  <c r="K16" i="1" s="1"/>
  <c r="D10" i="2" s="1"/>
  <c r="I72" i="16"/>
  <c r="J71" i="16"/>
  <c r="K72" i="16"/>
  <c r="L71" i="16"/>
  <c r="AD13" i="9"/>
  <c r="AE12" i="9"/>
  <c r="Y36" i="16"/>
  <c r="W38" i="16"/>
  <c r="X37" i="16"/>
  <c r="S37" i="16"/>
  <c r="M36" i="16"/>
  <c r="O36" i="16"/>
  <c r="Q35" i="16"/>
  <c r="H36" i="16"/>
  <c r="G37" i="16"/>
  <c r="F36" i="16"/>
  <c r="E37" i="16"/>
  <c r="D35" i="16"/>
  <c r="C36" i="16"/>
  <c r="U35" i="16"/>
  <c r="V34" i="16"/>
  <c r="E45" i="9"/>
  <c r="AK45" i="9" s="1"/>
  <c r="M41" i="1"/>
  <c r="AL23" i="9"/>
  <c r="D33" i="9"/>
  <c r="AK14" i="9"/>
  <c r="V10" i="9"/>
  <c r="W10" i="9" s="1"/>
  <c r="V11" i="9"/>
  <c r="W11" i="9" s="1"/>
  <c r="V12" i="9"/>
  <c r="W12" i="9" s="1"/>
  <c r="V13" i="9"/>
  <c r="W13" i="9" s="1"/>
  <c r="V14" i="9"/>
  <c r="W14" i="9" s="1"/>
  <c r="V15" i="9"/>
  <c r="W15" i="9" s="1"/>
  <c r="V16" i="9"/>
  <c r="W16" i="9" s="1"/>
  <c r="V17" i="9"/>
  <c r="W17" i="9" s="1"/>
  <c r="V18" i="9"/>
  <c r="W18" i="9" s="1"/>
  <c r="P10" i="9"/>
  <c r="Q10" i="9" s="1"/>
  <c r="P11" i="9"/>
  <c r="Q11" i="9" s="1"/>
  <c r="P12" i="9"/>
  <c r="Q12" i="9" s="1"/>
  <c r="P13" i="9"/>
  <c r="Q13" i="9" s="1"/>
  <c r="P14" i="9"/>
  <c r="Q14" i="9" s="1"/>
  <c r="P15" i="9"/>
  <c r="Q15" i="9" s="1"/>
  <c r="P16" i="9"/>
  <c r="Q16" i="9" s="1"/>
  <c r="P17" i="9"/>
  <c r="Q17" i="9" s="1"/>
  <c r="P18" i="9"/>
  <c r="Q18" i="9" s="1"/>
  <c r="P19" i="9"/>
  <c r="AL20" i="9"/>
  <c r="V9" i="9"/>
  <c r="H7" i="4"/>
  <c r="AK15" i="9"/>
  <c r="AK16" i="9"/>
  <c r="AK17" i="9"/>
  <c r="AK18" i="9"/>
  <c r="AK19" i="9"/>
  <c r="AK20" i="9"/>
  <c r="AK34" i="9"/>
  <c r="AK35" i="9"/>
  <c r="AK36" i="9"/>
  <c r="AK37" i="9"/>
  <c r="AK38" i="9"/>
  <c r="AK39" i="9"/>
  <c r="AK40" i="9"/>
  <c r="AK41" i="9"/>
  <c r="AK42" i="9"/>
  <c r="AK43" i="9"/>
  <c r="AK44" i="9"/>
  <c r="E12" i="4" l="1"/>
  <c r="AA54" i="9"/>
  <c r="AI53" i="9"/>
  <c r="C93" i="17"/>
  <c r="D92" i="17"/>
  <c r="F92" i="17" s="1"/>
  <c r="M17" i="1"/>
  <c r="K17" i="1" s="1"/>
  <c r="D11" i="2" s="1"/>
  <c r="E21" i="9"/>
  <c r="AI12" i="9"/>
  <c r="AI18" i="9"/>
  <c r="AI10" i="9"/>
  <c r="AI15" i="9"/>
  <c r="AI13" i="9"/>
  <c r="AI17" i="9"/>
  <c r="AI11" i="9"/>
  <c r="G34" i="25" s="1"/>
  <c r="AI16" i="9"/>
  <c r="H6" i="1"/>
  <c r="I73" i="16"/>
  <c r="J72" i="16"/>
  <c r="K73" i="16"/>
  <c r="L72" i="16"/>
  <c r="N5" i="16"/>
  <c r="AL19" i="9"/>
  <c r="Q19" i="9"/>
  <c r="W9" i="9"/>
  <c r="AL9" i="9"/>
  <c r="AE13" i="9"/>
  <c r="AD14" i="9"/>
  <c r="AE14" i="9" s="1"/>
  <c r="Y37" i="16"/>
  <c r="W39" i="16"/>
  <c r="X38" i="16"/>
  <c r="O37" i="16"/>
  <c r="U36" i="16"/>
  <c r="V35" i="16"/>
  <c r="D36" i="16"/>
  <c r="C37" i="16"/>
  <c r="F37" i="16"/>
  <c r="E38" i="16"/>
  <c r="G38" i="16"/>
  <c r="H37" i="16"/>
  <c r="Q36" i="16"/>
  <c r="M37" i="16"/>
  <c r="S38" i="16"/>
  <c r="AL10" i="9"/>
  <c r="E46" i="9"/>
  <c r="M42" i="1"/>
  <c r="AL18" i="9"/>
  <c r="AL16" i="9"/>
  <c r="AL15" i="9"/>
  <c r="AL13" i="9"/>
  <c r="AL12" i="9"/>
  <c r="AL17" i="9"/>
  <c r="AL11" i="9"/>
  <c r="AL24" i="9"/>
  <c r="D34" i="9"/>
  <c r="C6" i="2"/>
  <c r="C7" i="2"/>
  <c r="C8" i="2"/>
  <c r="C9" i="2"/>
  <c r="C10" i="2"/>
  <c r="C25" i="2"/>
  <c r="C26" i="2"/>
  <c r="C27" i="2"/>
  <c r="C28" i="2"/>
  <c r="C29" i="2"/>
  <c r="C30" i="2"/>
  <c r="C31" i="2"/>
  <c r="C32" i="2"/>
  <c r="C33" i="2"/>
  <c r="C34" i="2"/>
  <c r="C35" i="2"/>
  <c r="T5" i="16"/>
  <c r="T6" i="16"/>
  <c r="T7" i="16"/>
  <c r="T8" i="16"/>
  <c r="E13" i="4" l="1"/>
  <c r="C11" i="2"/>
  <c r="J11" i="2" s="1"/>
  <c r="E11" i="1"/>
  <c r="U11" i="1" s="1"/>
  <c r="AA55" i="9"/>
  <c r="AI54" i="9"/>
  <c r="F34" i="25"/>
  <c r="AM10" i="9"/>
  <c r="D93" i="17"/>
  <c r="F93" i="17" s="1"/>
  <c r="C94" i="17"/>
  <c r="M18" i="1"/>
  <c r="E22" i="9"/>
  <c r="AK21" i="9"/>
  <c r="H34" i="25"/>
  <c r="I34" i="25"/>
  <c r="AI19" i="9"/>
  <c r="AM13" i="9"/>
  <c r="I74" i="16"/>
  <c r="J73" i="16"/>
  <c r="K74" i="16"/>
  <c r="L73" i="16"/>
  <c r="Z5" i="16"/>
  <c r="AL14" i="9"/>
  <c r="J32" i="2"/>
  <c r="J35" i="2"/>
  <c r="J33" i="2"/>
  <c r="J31" i="2"/>
  <c r="J29" i="2"/>
  <c r="J28" i="2"/>
  <c r="J26" i="2"/>
  <c r="F9" i="2"/>
  <c r="P9" i="2" s="1"/>
  <c r="J9" i="2"/>
  <c r="F6" i="2"/>
  <c r="P6" i="2" s="1"/>
  <c r="J6" i="2"/>
  <c r="J34" i="2"/>
  <c r="J30" i="2"/>
  <c r="J27" i="2"/>
  <c r="J25" i="2"/>
  <c r="F11" i="2"/>
  <c r="K16" i="23" s="1"/>
  <c r="F10" i="2"/>
  <c r="P10" i="2" s="1"/>
  <c r="J10" i="2"/>
  <c r="F8" i="2"/>
  <c r="P8" i="2" s="1"/>
  <c r="J8" i="2"/>
  <c r="F7" i="2"/>
  <c r="P7" i="2" s="1"/>
  <c r="J7" i="2"/>
  <c r="R6" i="16"/>
  <c r="R7" i="16"/>
  <c r="R5" i="16"/>
  <c r="T9" i="16"/>
  <c r="R9" i="16"/>
  <c r="R10" i="16"/>
  <c r="P9" i="16"/>
  <c r="P7" i="16"/>
  <c r="P8" i="16"/>
  <c r="P6" i="16"/>
  <c r="R8" i="16"/>
  <c r="P5" i="16"/>
  <c r="Y38" i="16"/>
  <c r="X39" i="16"/>
  <c r="W40" i="16"/>
  <c r="C38" i="16"/>
  <c r="D37" i="16"/>
  <c r="V36" i="16"/>
  <c r="U37" i="16"/>
  <c r="O38" i="16"/>
  <c r="M38" i="16"/>
  <c r="Q37" i="16"/>
  <c r="G39" i="16"/>
  <c r="H38" i="16"/>
  <c r="E39" i="16"/>
  <c r="F38" i="16"/>
  <c r="S39" i="16"/>
  <c r="J6" i="1"/>
  <c r="X5" i="16"/>
  <c r="P10" i="16"/>
  <c r="C36" i="2"/>
  <c r="E47" i="9"/>
  <c r="M43" i="1"/>
  <c r="AK46" i="9"/>
  <c r="AL25" i="9"/>
  <c r="D35" i="9"/>
  <c r="Z11" i="16"/>
  <c r="Z12" i="16"/>
  <c r="Z13" i="16"/>
  <c r="Z14" i="16"/>
  <c r="Z15" i="16"/>
  <c r="Z6" i="16"/>
  <c r="Z7" i="16"/>
  <c r="Z8" i="16"/>
  <c r="C5" i="2"/>
  <c r="J5" i="2" s="1"/>
  <c r="S6" i="1" l="1"/>
  <c r="T11" i="1"/>
  <c r="S11" i="1" s="1"/>
  <c r="S7" i="1"/>
  <c r="P11" i="2"/>
  <c r="K13" i="23"/>
  <c r="K15" i="23"/>
  <c r="K11" i="23"/>
  <c r="K12" i="23"/>
  <c r="K14" i="23"/>
  <c r="K5" i="2"/>
  <c r="Q5" i="2" s="1"/>
  <c r="F11" i="1"/>
  <c r="AH23" i="26" s="1"/>
  <c r="D29" i="26" s="1"/>
  <c r="AA56" i="9"/>
  <c r="AI55" i="9"/>
  <c r="D6" i="1"/>
  <c r="D8" i="26"/>
  <c r="W10" i="26"/>
  <c r="W12" i="26"/>
  <c r="W13" i="26" s="1"/>
  <c r="W14" i="26" s="1"/>
  <c r="W16" i="26" s="1"/>
  <c r="D7" i="26"/>
  <c r="V12" i="26"/>
  <c r="V13" i="26" s="1"/>
  <c r="V14" i="26" s="1"/>
  <c r="V16" i="26" s="1"/>
  <c r="V10" i="26"/>
  <c r="C10" i="1"/>
  <c r="C95" i="17"/>
  <c r="D94" i="17"/>
  <c r="F94" i="17" s="1"/>
  <c r="E23" i="9"/>
  <c r="M19" i="1"/>
  <c r="AK22" i="9"/>
  <c r="C12" i="2"/>
  <c r="J12" i="2" s="1"/>
  <c r="K18" i="1"/>
  <c r="D12" i="2" s="1"/>
  <c r="I75" i="16"/>
  <c r="J74" i="16"/>
  <c r="K75" i="16"/>
  <c r="L74" i="16"/>
  <c r="H11" i="2"/>
  <c r="E17" i="1" s="1"/>
  <c r="U17" i="1" s="1"/>
  <c r="T17" i="1" s="1"/>
  <c r="S17" i="1" s="1"/>
  <c r="H8" i="2"/>
  <c r="E14" i="1" s="1"/>
  <c r="U14" i="1" s="1"/>
  <c r="T14" i="1" s="1"/>
  <c r="S14" i="1" s="1"/>
  <c r="H7" i="2"/>
  <c r="E13" i="1" s="1"/>
  <c r="U13" i="1" s="1"/>
  <c r="T13" i="1" s="1"/>
  <c r="S13" i="1" s="1"/>
  <c r="J36" i="2"/>
  <c r="H9" i="2"/>
  <c r="E15" i="1" s="1"/>
  <c r="U15" i="1" s="1"/>
  <c r="T15" i="1" s="1"/>
  <c r="S15" i="1" s="1"/>
  <c r="H6" i="2"/>
  <c r="E12" i="1" s="1"/>
  <c r="U12" i="1" s="1"/>
  <c r="T12" i="1" s="1"/>
  <c r="S12" i="1" s="1"/>
  <c r="H10" i="2"/>
  <c r="E16" i="1" s="1"/>
  <c r="U16" i="1" s="1"/>
  <c r="T16" i="1" s="1"/>
  <c r="S16" i="1" s="1"/>
  <c r="N12" i="16"/>
  <c r="Z21" i="16"/>
  <c r="Z29" i="16"/>
  <c r="Z10" i="16"/>
  <c r="Z22" i="16"/>
  <c r="R11" i="16"/>
  <c r="Z16" i="16"/>
  <c r="Z26" i="16"/>
  <c r="Z37" i="16"/>
  <c r="Z28" i="16"/>
  <c r="T10" i="16"/>
  <c r="Z36" i="16"/>
  <c r="Z18" i="16"/>
  <c r="Z23" i="16"/>
  <c r="Z30" i="16"/>
  <c r="Z19" i="16"/>
  <c r="Z35" i="16"/>
  <c r="Z9" i="16"/>
  <c r="Z25" i="16"/>
  <c r="Z33" i="16"/>
  <c r="Z27" i="16"/>
  <c r="Z31" i="16"/>
  <c r="Z20" i="16"/>
  <c r="Z34" i="16"/>
  <c r="Z32" i="16"/>
  <c r="Z17" i="16"/>
  <c r="Z24" i="16"/>
  <c r="Z38" i="16"/>
  <c r="Y39" i="16"/>
  <c r="W41" i="16"/>
  <c r="X40" i="16"/>
  <c r="E40" i="16"/>
  <c r="F39" i="16"/>
  <c r="C39" i="16"/>
  <c r="D38" i="16"/>
  <c r="Q38" i="16"/>
  <c r="M39" i="16"/>
  <c r="G40" i="16"/>
  <c r="H39" i="16"/>
  <c r="O39" i="16"/>
  <c r="S40" i="16"/>
  <c r="V37" i="16"/>
  <c r="U38" i="16"/>
  <c r="N13" i="16"/>
  <c r="P11" i="16"/>
  <c r="E48" i="9"/>
  <c r="M44" i="1"/>
  <c r="AK47" i="9"/>
  <c r="C37" i="2"/>
  <c r="J7" i="1"/>
  <c r="D7" i="1" s="1"/>
  <c r="AL26" i="9"/>
  <c r="D36" i="9"/>
  <c r="J8" i="1"/>
  <c r="D8" i="1" s="1"/>
  <c r="D31" i="26" l="1"/>
  <c r="AC5" i="16"/>
  <c r="D30" i="26"/>
  <c r="D32" i="26"/>
  <c r="O23" i="26"/>
  <c r="D33" i="26" s="1"/>
  <c r="J10" i="23" s="1"/>
  <c r="S10" i="23" s="1"/>
  <c r="D28" i="26"/>
  <c r="F17" i="1"/>
  <c r="AH29" i="26" s="1"/>
  <c r="O29" i="26" s="1"/>
  <c r="D39" i="26" s="1"/>
  <c r="J16" i="23" s="1"/>
  <c r="S16" i="23" s="1"/>
  <c r="F16" i="1"/>
  <c r="AH28" i="26" s="1"/>
  <c r="O28" i="26" s="1"/>
  <c r="D38" i="26" s="1"/>
  <c r="J15" i="23" s="1"/>
  <c r="S15" i="23" s="1"/>
  <c r="F12" i="1"/>
  <c r="AH24" i="26" s="1"/>
  <c r="O24" i="26" s="1"/>
  <c r="D34" i="26" s="1"/>
  <c r="J11" i="23" s="1"/>
  <c r="S11" i="23" s="1"/>
  <c r="F15" i="1"/>
  <c r="AH27" i="26" s="1"/>
  <c r="O27" i="26" s="1"/>
  <c r="D37" i="26" s="1"/>
  <c r="J14" i="23" s="1"/>
  <c r="S14" i="23" s="1"/>
  <c r="F13" i="1"/>
  <c r="AH25" i="26" s="1"/>
  <c r="O25" i="26" s="1"/>
  <c r="D35" i="26" s="1"/>
  <c r="J12" i="23" s="1"/>
  <c r="S12" i="23" s="1"/>
  <c r="F14" i="1"/>
  <c r="AH26" i="26" s="1"/>
  <c r="O26" i="26" s="1"/>
  <c r="D36" i="26" s="1"/>
  <c r="J13" i="23" s="1"/>
  <c r="S13" i="23" s="1"/>
  <c r="V24" i="26"/>
  <c r="V32" i="26"/>
  <c r="V40" i="26"/>
  <c r="V48" i="26"/>
  <c r="V56" i="26"/>
  <c r="V64" i="26"/>
  <c r="V72" i="26"/>
  <c r="V80" i="26"/>
  <c r="V88" i="26"/>
  <c r="V96" i="26"/>
  <c r="V104" i="26"/>
  <c r="V112" i="26"/>
  <c r="V25" i="26"/>
  <c r="V33" i="26"/>
  <c r="V41" i="26"/>
  <c r="V49" i="26"/>
  <c r="V57" i="26"/>
  <c r="V65" i="26"/>
  <c r="V73" i="26"/>
  <c r="V81" i="26"/>
  <c r="V89" i="26"/>
  <c r="V97" i="26"/>
  <c r="V105" i="26"/>
  <c r="V113" i="26"/>
  <c r="V29" i="26"/>
  <c r="V37" i="26"/>
  <c r="V45" i="26"/>
  <c r="V53" i="26"/>
  <c r="V61" i="26"/>
  <c r="V69" i="26"/>
  <c r="V77" i="26"/>
  <c r="V85" i="26"/>
  <c r="V93" i="26"/>
  <c r="V101" i="26"/>
  <c r="V109" i="26"/>
  <c r="V117" i="26"/>
  <c r="V28" i="26"/>
  <c r="V42" i="26"/>
  <c r="V54" i="26"/>
  <c r="V67" i="26"/>
  <c r="V79" i="26"/>
  <c r="V92" i="26"/>
  <c r="V106" i="26"/>
  <c r="V35" i="26"/>
  <c r="V60" i="26"/>
  <c r="V99" i="26"/>
  <c r="V23" i="26"/>
  <c r="V62" i="26"/>
  <c r="V26" i="26"/>
  <c r="V63" i="26"/>
  <c r="V115" i="26"/>
  <c r="V27" i="26"/>
  <c r="V66" i="26"/>
  <c r="V103" i="26"/>
  <c r="V30" i="26"/>
  <c r="V43" i="26"/>
  <c r="V55" i="26"/>
  <c r="V68" i="26"/>
  <c r="V82" i="26"/>
  <c r="V94" i="26"/>
  <c r="V107" i="26"/>
  <c r="V75" i="26"/>
  <c r="V102" i="26"/>
  <c r="V31" i="26"/>
  <c r="V44" i="26"/>
  <c r="V58" i="26"/>
  <c r="V70" i="26"/>
  <c r="V83" i="26"/>
  <c r="V95" i="26"/>
  <c r="V108" i="26"/>
  <c r="V47" i="26"/>
  <c r="V86" i="26"/>
  <c r="V111" i="26"/>
  <c r="V100" i="26"/>
  <c r="V51" i="26"/>
  <c r="V90" i="26"/>
  <c r="V52" i="26"/>
  <c r="V91" i="26"/>
  <c r="V34" i="26"/>
  <c r="V46" i="26"/>
  <c r="V59" i="26"/>
  <c r="V71" i="26"/>
  <c r="V84" i="26"/>
  <c r="V98" i="26"/>
  <c r="V110" i="26"/>
  <c r="V74" i="26"/>
  <c r="V36" i="26"/>
  <c r="V87" i="26"/>
  <c r="V50" i="26"/>
  <c r="V114" i="26"/>
  <c r="V38" i="26"/>
  <c r="V76" i="26"/>
  <c r="V39" i="26"/>
  <c r="V78" i="26"/>
  <c r="V116" i="26"/>
  <c r="W25" i="26"/>
  <c r="W33" i="26"/>
  <c r="W41" i="26"/>
  <c r="W49" i="26"/>
  <c r="W57" i="26"/>
  <c r="W65" i="26"/>
  <c r="W73" i="26"/>
  <c r="W81" i="26"/>
  <c r="W89" i="26"/>
  <c r="W97" i="26"/>
  <c r="W105" i="26"/>
  <c r="W113" i="26"/>
  <c r="W26" i="26"/>
  <c r="W34" i="26"/>
  <c r="W42" i="26"/>
  <c r="W50" i="26"/>
  <c r="W58" i="26"/>
  <c r="W66" i="26"/>
  <c r="W74" i="26"/>
  <c r="W82" i="26"/>
  <c r="W90" i="26"/>
  <c r="W98" i="26"/>
  <c r="W106" i="26"/>
  <c r="W114" i="26"/>
  <c r="W30" i="26"/>
  <c r="W38" i="26"/>
  <c r="W46" i="26"/>
  <c r="W54" i="26"/>
  <c r="W62" i="26"/>
  <c r="W70" i="26"/>
  <c r="W78" i="26"/>
  <c r="W86" i="26"/>
  <c r="W94" i="26"/>
  <c r="W102" i="26"/>
  <c r="W110" i="26"/>
  <c r="W23" i="26"/>
  <c r="W36" i="26"/>
  <c r="W48" i="26"/>
  <c r="W61" i="26"/>
  <c r="W75" i="26"/>
  <c r="W87" i="26"/>
  <c r="W100" i="26"/>
  <c r="W112" i="26"/>
  <c r="W29" i="26"/>
  <c r="W31" i="26"/>
  <c r="W44" i="26"/>
  <c r="W56" i="26"/>
  <c r="W69" i="26"/>
  <c r="W95" i="26"/>
  <c r="W45" i="26"/>
  <c r="W84" i="26"/>
  <c r="W47" i="26"/>
  <c r="W72" i="26"/>
  <c r="W99" i="26"/>
  <c r="W24" i="26"/>
  <c r="W37" i="26"/>
  <c r="W51" i="26"/>
  <c r="W63" i="26"/>
  <c r="W76" i="26"/>
  <c r="W88" i="26"/>
  <c r="W101" i="26"/>
  <c r="W115" i="26"/>
  <c r="W27" i="26"/>
  <c r="W39" i="26"/>
  <c r="W52" i="26"/>
  <c r="W64" i="26"/>
  <c r="W77" i="26"/>
  <c r="W91" i="26"/>
  <c r="W103" i="26"/>
  <c r="W116" i="26"/>
  <c r="W43" i="26"/>
  <c r="W80" i="26"/>
  <c r="W93" i="26"/>
  <c r="W32" i="26"/>
  <c r="W96" i="26"/>
  <c r="W35" i="26"/>
  <c r="W60" i="26"/>
  <c r="W111" i="26"/>
  <c r="W28" i="26"/>
  <c r="W40" i="26"/>
  <c r="W53" i="26"/>
  <c r="W67" i="26"/>
  <c r="W79" i="26"/>
  <c r="W92" i="26"/>
  <c r="W104" i="26"/>
  <c r="W117" i="26"/>
  <c r="W107" i="26"/>
  <c r="W83" i="26"/>
  <c r="W59" i="26"/>
  <c r="W55" i="26"/>
  <c r="W68" i="26"/>
  <c r="W108" i="26"/>
  <c r="W71" i="26"/>
  <c r="W109" i="26"/>
  <c r="W85" i="26"/>
  <c r="AA57" i="9"/>
  <c r="AI56" i="9"/>
  <c r="F7" i="26"/>
  <c r="H7" i="26" s="1"/>
  <c r="I7" i="26" s="1"/>
  <c r="F8" i="26"/>
  <c r="H8" i="26" s="1"/>
  <c r="I8" i="26" s="1"/>
  <c r="D95" i="17"/>
  <c r="F95" i="17" s="1"/>
  <c r="C96" i="17"/>
  <c r="E14" i="4"/>
  <c r="F12" i="2"/>
  <c r="K17" i="23" s="1"/>
  <c r="C13" i="2"/>
  <c r="J13" i="2" s="1"/>
  <c r="K19" i="1"/>
  <c r="D13" i="2" s="1"/>
  <c r="E24" i="9"/>
  <c r="AK23" i="9"/>
  <c r="M20" i="1"/>
  <c r="I11" i="2"/>
  <c r="G13" i="4" s="1"/>
  <c r="AA11" i="16" s="1"/>
  <c r="AB11" i="16" s="1"/>
  <c r="I8" i="2"/>
  <c r="I6" i="2"/>
  <c r="I10" i="2"/>
  <c r="I9" i="2"/>
  <c r="I7" i="2"/>
  <c r="I7" i="4"/>
  <c r="O5" i="2" s="1"/>
  <c r="I76" i="16"/>
  <c r="J75" i="16"/>
  <c r="K76" i="16"/>
  <c r="L75" i="16"/>
  <c r="J37" i="2"/>
  <c r="T11" i="16"/>
  <c r="R12" i="16"/>
  <c r="Y40" i="16"/>
  <c r="Z39" i="16"/>
  <c r="X41" i="16"/>
  <c r="W42" i="16"/>
  <c r="O40" i="16"/>
  <c r="H40" i="16"/>
  <c r="G41" i="16"/>
  <c r="M40" i="16"/>
  <c r="Q39" i="16"/>
  <c r="U39" i="16"/>
  <c r="V38" i="16"/>
  <c r="D39" i="16"/>
  <c r="C40" i="16"/>
  <c r="S41" i="16"/>
  <c r="E41" i="16"/>
  <c r="F40" i="16"/>
  <c r="P12" i="16"/>
  <c r="N14" i="16"/>
  <c r="AM11" i="9"/>
  <c r="E49" i="9"/>
  <c r="M45" i="1"/>
  <c r="AK48" i="9"/>
  <c r="C38" i="2"/>
  <c r="AL27" i="9"/>
  <c r="J11" i="1"/>
  <c r="D37" i="9"/>
  <c r="J9" i="1"/>
  <c r="D9" i="1" s="1"/>
  <c r="G11" i="4" l="1"/>
  <c r="AA9" i="16" s="1"/>
  <c r="AB9" i="16" s="1"/>
  <c r="G12" i="4"/>
  <c r="AA10" i="16" s="1"/>
  <c r="AB10" i="16" s="1"/>
  <c r="G8" i="4"/>
  <c r="AA6" i="16" s="1"/>
  <c r="AB6" i="16" s="1"/>
  <c r="G10" i="4"/>
  <c r="AA8" i="16" s="1"/>
  <c r="AB8" i="16" s="1"/>
  <c r="P12" i="2"/>
  <c r="G9" i="4"/>
  <c r="AA7" i="16" s="1"/>
  <c r="AB7" i="16" s="1"/>
  <c r="N10" i="23"/>
  <c r="P28" i="26"/>
  <c r="P29" i="26"/>
  <c r="AA58" i="9"/>
  <c r="N66" i="26"/>
  <c r="AI57" i="9"/>
  <c r="N34" i="26"/>
  <c r="N49" i="26"/>
  <c r="N65" i="26"/>
  <c r="N23" i="26"/>
  <c r="P23" i="26"/>
  <c r="N29" i="26"/>
  <c r="N46" i="26"/>
  <c r="N63" i="26"/>
  <c r="N27" i="26"/>
  <c r="P27" i="26"/>
  <c r="N37" i="26"/>
  <c r="N60" i="26"/>
  <c r="N43" i="26"/>
  <c r="N64" i="26"/>
  <c r="N52" i="26"/>
  <c r="N39" i="26"/>
  <c r="N62" i="26"/>
  <c r="N26" i="26"/>
  <c r="P26" i="26"/>
  <c r="N58" i="26"/>
  <c r="N48" i="26"/>
  <c r="N33" i="26"/>
  <c r="N56" i="26"/>
  <c r="N24" i="26"/>
  <c r="P24" i="26"/>
  <c r="N57" i="26"/>
  <c r="N55" i="26"/>
  <c r="N47" i="26"/>
  <c r="N38" i="26"/>
  <c r="N50" i="26"/>
  <c r="N25" i="26"/>
  <c r="P25" i="26"/>
  <c r="N35" i="26"/>
  <c r="N51" i="26"/>
  <c r="N61" i="26"/>
  <c r="N59" i="26"/>
  <c r="N44" i="26"/>
  <c r="N54" i="26"/>
  <c r="N42" i="26"/>
  <c r="N28" i="26"/>
  <c r="N31" i="26"/>
  <c r="N36" i="26"/>
  <c r="N45" i="26"/>
  <c r="N40" i="26"/>
  <c r="N30" i="26"/>
  <c r="N53" i="26"/>
  <c r="N41" i="26"/>
  <c r="N32" i="26"/>
  <c r="C97" i="17"/>
  <c r="D96" i="17"/>
  <c r="F96" i="17" s="1"/>
  <c r="E15" i="4"/>
  <c r="F13" i="2"/>
  <c r="K18" i="23" s="1"/>
  <c r="AK24" i="9"/>
  <c r="E25" i="9"/>
  <c r="M21" i="1"/>
  <c r="H12" i="2"/>
  <c r="E18" i="1" s="1"/>
  <c r="U18" i="1" s="1"/>
  <c r="T18" i="1" s="1"/>
  <c r="S18" i="1" s="1"/>
  <c r="C14" i="2"/>
  <c r="J14" i="2" s="1"/>
  <c r="K20" i="1"/>
  <c r="D14" i="2" s="1"/>
  <c r="I77" i="16"/>
  <c r="J76" i="16"/>
  <c r="K77" i="16"/>
  <c r="L76" i="16"/>
  <c r="J38" i="2"/>
  <c r="R13" i="16"/>
  <c r="T12" i="16"/>
  <c r="Z40" i="16"/>
  <c r="Y41" i="16"/>
  <c r="X42" i="16"/>
  <c r="W43" i="16"/>
  <c r="C41" i="16"/>
  <c r="D40" i="16"/>
  <c r="M41" i="16"/>
  <c r="G42" i="16"/>
  <c r="H41" i="16"/>
  <c r="O41" i="16"/>
  <c r="S42" i="16"/>
  <c r="U40" i="16"/>
  <c r="V39" i="16"/>
  <c r="Q40" i="16"/>
  <c r="F41" i="16"/>
  <c r="E42" i="16"/>
  <c r="N15" i="16"/>
  <c r="P13" i="16"/>
  <c r="AM12" i="9"/>
  <c r="C39" i="2"/>
  <c r="E50" i="9"/>
  <c r="M46" i="1"/>
  <c r="AK49" i="9"/>
  <c r="J12" i="1"/>
  <c r="AL28" i="9"/>
  <c r="D38" i="9"/>
  <c r="J10" i="1"/>
  <c r="D10" i="1" s="1"/>
  <c r="P13" i="2" l="1"/>
  <c r="F18" i="1"/>
  <c r="AH30" i="26" s="1"/>
  <c r="AA59" i="9"/>
  <c r="AI58" i="9"/>
  <c r="D97" i="17"/>
  <c r="F97" i="17" s="1"/>
  <c r="C98" i="17"/>
  <c r="C15" i="2"/>
  <c r="J15" i="2" s="1"/>
  <c r="K21" i="1"/>
  <c r="D15" i="2" s="1"/>
  <c r="M22" i="1"/>
  <c r="AK25" i="9"/>
  <c r="E26" i="9"/>
  <c r="I12" i="2"/>
  <c r="H13" i="2"/>
  <c r="E19" i="1" s="1"/>
  <c r="U19" i="1" s="1"/>
  <c r="T19" i="1" s="1"/>
  <c r="S19" i="1" s="1"/>
  <c r="E16" i="4"/>
  <c r="F14" i="2"/>
  <c r="K19" i="23" s="1"/>
  <c r="I78" i="16"/>
  <c r="J77" i="16"/>
  <c r="K78" i="16"/>
  <c r="L77" i="16"/>
  <c r="J39" i="2"/>
  <c r="R14" i="16"/>
  <c r="T13" i="16"/>
  <c r="Z41" i="16"/>
  <c r="Y42" i="16"/>
  <c r="X43" i="16"/>
  <c r="W44" i="16"/>
  <c r="O42" i="16"/>
  <c r="E43" i="16"/>
  <c r="F42" i="16"/>
  <c r="G43" i="16"/>
  <c r="H42" i="16"/>
  <c r="Q41" i="16"/>
  <c r="V40" i="16"/>
  <c r="U41" i="16"/>
  <c r="S43" i="16"/>
  <c r="M42" i="16"/>
  <c r="D41" i="16"/>
  <c r="C42" i="16"/>
  <c r="P14" i="16"/>
  <c r="N16" i="16"/>
  <c r="E51" i="9"/>
  <c r="M47" i="1"/>
  <c r="AK50" i="9"/>
  <c r="C40" i="2"/>
  <c r="AL29" i="9"/>
  <c r="J13" i="1"/>
  <c r="D39" i="9"/>
  <c r="N6" i="16"/>
  <c r="AC6" i="16" s="1"/>
  <c r="P14" i="2" l="1"/>
  <c r="G14" i="4"/>
  <c r="AA12" i="16" s="1"/>
  <c r="AB12" i="16" s="1"/>
  <c r="AC12" i="16" s="1"/>
  <c r="AD12" i="16" s="1"/>
  <c r="AE12" i="16" s="1"/>
  <c r="F19" i="1"/>
  <c r="AH31" i="26" s="1"/>
  <c r="O30" i="26"/>
  <c r="D40" i="26" s="1"/>
  <c r="J17" i="23" s="1"/>
  <c r="S17" i="23" s="1"/>
  <c r="P30" i="26"/>
  <c r="O31" i="26"/>
  <c r="D41" i="26" s="1"/>
  <c r="J18" i="23" s="1"/>
  <c r="S18" i="23" s="1"/>
  <c r="P31" i="26"/>
  <c r="N67" i="26"/>
  <c r="AA60" i="9"/>
  <c r="AI59" i="9"/>
  <c r="C99" i="17"/>
  <c r="D98" i="17"/>
  <c r="F98" i="17" s="1"/>
  <c r="H14" i="2"/>
  <c r="E20" i="1" s="1"/>
  <c r="U20" i="1" s="1"/>
  <c r="T20" i="1" s="1"/>
  <c r="S20" i="1" s="1"/>
  <c r="M23" i="1"/>
  <c r="AK26" i="9"/>
  <c r="E27" i="9"/>
  <c r="I13" i="2"/>
  <c r="C16" i="2"/>
  <c r="J16" i="2" s="1"/>
  <c r="K22" i="1"/>
  <c r="D16" i="2" s="1"/>
  <c r="E17" i="4"/>
  <c r="F15" i="2"/>
  <c r="K20" i="23" s="1"/>
  <c r="I79" i="16"/>
  <c r="J78" i="16"/>
  <c r="K79" i="16"/>
  <c r="L78" i="16"/>
  <c r="J40" i="2"/>
  <c r="T14" i="16"/>
  <c r="R15" i="16"/>
  <c r="Z42" i="16"/>
  <c r="Y43" i="16"/>
  <c r="X44" i="16"/>
  <c r="W45" i="16"/>
  <c r="S44" i="16"/>
  <c r="U42" i="16"/>
  <c r="V41" i="16"/>
  <c r="Q42" i="16"/>
  <c r="G44" i="16"/>
  <c r="H43" i="16"/>
  <c r="E44" i="16"/>
  <c r="F43" i="16"/>
  <c r="O43" i="16"/>
  <c r="C43" i="16"/>
  <c r="D42" i="16"/>
  <c r="M43" i="16"/>
  <c r="P15" i="16"/>
  <c r="N17" i="16"/>
  <c r="M27" i="1"/>
  <c r="AK30" i="9"/>
  <c r="C41" i="2"/>
  <c r="E52" i="9"/>
  <c r="M48" i="1"/>
  <c r="AK51" i="9"/>
  <c r="J14" i="1"/>
  <c r="AL30" i="9"/>
  <c r="D40" i="9"/>
  <c r="N7" i="16"/>
  <c r="AC7" i="16" s="1"/>
  <c r="P15" i="2" l="1"/>
  <c r="G15" i="4"/>
  <c r="AA13" i="16" s="1"/>
  <c r="AB13" i="16" s="1"/>
  <c r="AC13" i="16" s="1"/>
  <c r="AD13" i="16" s="1"/>
  <c r="AE13" i="16" s="1"/>
  <c r="F20" i="1"/>
  <c r="AH32" i="26" s="1"/>
  <c r="O32" i="26" s="1"/>
  <c r="D42" i="26" s="1"/>
  <c r="J19" i="23" s="1"/>
  <c r="S19" i="23" s="1"/>
  <c r="AA61" i="9"/>
  <c r="AI60" i="9"/>
  <c r="N68" i="26"/>
  <c r="N17" i="23"/>
  <c r="O17" i="23" s="1"/>
  <c r="D99" i="17"/>
  <c r="F99" i="17" s="1"/>
  <c r="C100" i="17"/>
  <c r="N18" i="23"/>
  <c r="O18" i="23" s="1"/>
  <c r="C17" i="2"/>
  <c r="J17" i="2" s="1"/>
  <c r="K23" i="1"/>
  <c r="D17" i="2" s="1"/>
  <c r="E18" i="4"/>
  <c r="F16" i="2"/>
  <c r="K21" i="23" s="1"/>
  <c r="I14" i="2"/>
  <c r="G16" i="4" s="1"/>
  <c r="AA14" i="16" s="1"/>
  <c r="AB14" i="16" s="1"/>
  <c r="E28" i="9"/>
  <c r="M24" i="1"/>
  <c r="AK27" i="9"/>
  <c r="H15" i="2"/>
  <c r="E21" i="1" s="1"/>
  <c r="U21" i="1" s="1"/>
  <c r="T21" i="1" s="1"/>
  <c r="S21" i="1" s="1"/>
  <c r="I80" i="16"/>
  <c r="J79" i="16"/>
  <c r="K80" i="16"/>
  <c r="L79" i="16"/>
  <c r="O10" i="23"/>
  <c r="AD5" i="16"/>
  <c r="AE5" i="16" s="1"/>
  <c r="AD6" i="16"/>
  <c r="AE6" i="16" s="1"/>
  <c r="J41" i="2"/>
  <c r="T15" i="16"/>
  <c r="R16" i="16"/>
  <c r="Z43" i="16"/>
  <c r="Y44" i="16"/>
  <c r="W46" i="16"/>
  <c r="X45" i="16"/>
  <c r="C44" i="16"/>
  <c r="D43" i="16"/>
  <c r="O44" i="16"/>
  <c r="F44" i="16"/>
  <c r="E45" i="16"/>
  <c r="G45" i="16"/>
  <c r="H44" i="16"/>
  <c r="Q43" i="16"/>
  <c r="U43" i="16"/>
  <c r="V42" i="16"/>
  <c r="S45" i="16"/>
  <c r="M44" i="16"/>
  <c r="N18" i="16"/>
  <c r="P16" i="16"/>
  <c r="C42" i="2"/>
  <c r="E53" i="9"/>
  <c r="M49" i="1"/>
  <c r="AK52" i="9"/>
  <c r="M28" i="1"/>
  <c r="AK31" i="9"/>
  <c r="C21" i="2"/>
  <c r="AL31" i="9"/>
  <c r="J15" i="1"/>
  <c r="D41" i="9"/>
  <c r="N8" i="16"/>
  <c r="AC8" i="16" s="1"/>
  <c r="P32" i="26" l="1"/>
  <c r="P16" i="2"/>
  <c r="F21" i="1"/>
  <c r="AH33" i="26" s="1"/>
  <c r="O33" i="26" s="1"/>
  <c r="D43" i="26" s="1"/>
  <c r="J20" i="23" s="1"/>
  <c r="S20" i="23" s="1"/>
  <c r="N69" i="26"/>
  <c r="AA62" i="9"/>
  <c r="AI61" i="9"/>
  <c r="P18" i="23"/>
  <c r="P10" i="23"/>
  <c r="P17" i="23"/>
  <c r="C101" i="17"/>
  <c r="D100" i="17"/>
  <c r="F100" i="17" s="1"/>
  <c r="AC14" i="16"/>
  <c r="AD14" i="16" s="1"/>
  <c r="AE14" i="16" s="1"/>
  <c r="M25" i="1"/>
  <c r="AK28" i="9"/>
  <c r="C18" i="2"/>
  <c r="J18" i="2" s="1"/>
  <c r="K24" i="1"/>
  <c r="D18" i="2" s="1"/>
  <c r="I15" i="2"/>
  <c r="G17" i="4" s="1"/>
  <c r="AA15" i="16" s="1"/>
  <c r="AB15" i="16" s="1"/>
  <c r="H16" i="2"/>
  <c r="E22" i="1" s="1"/>
  <c r="U22" i="1" s="1"/>
  <c r="T22" i="1" s="1"/>
  <c r="S22" i="1" s="1"/>
  <c r="E19" i="4"/>
  <c r="F17" i="2"/>
  <c r="K22" i="23" s="1"/>
  <c r="I81" i="16"/>
  <c r="J80" i="16"/>
  <c r="K81" i="16"/>
  <c r="L80" i="16"/>
  <c r="N11" i="23"/>
  <c r="O11" i="23" s="1"/>
  <c r="AD7" i="16"/>
  <c r="AE7" i="16" s="1"/>
  <c r="J42" i="2"/>
  <c r="J21" i="2"/>
  <c r="R17" i="16"/>
  <c r="T16" i="16"/>
  <c r="Z44" i="16"/>
  <c r="Y45" i="16"/>
  <c r="X46" i="16"/>
  <c r="W47" i="16"/>
  <c r="O45" i="16"/>
  <c r="D44" i="16"/>
  <c r="C45" i="16"/>
  <c r="M45" i="16"/>
  <c r="S46" i="16"/>
  <c r="U44" i="16"/>
  <c r="V43" i="16"/>
  <c r="Q44" i="16"/>
  <c r="G46" i="16"/>
  <c r="H45" i="16"/>
  <c r="F45" i="16"/>
  <c r="E46" i="16"/>
  <c r="P17" i="16"/>
  <c r="N19" i="16"/>
  <c r="C22" i="2"/>
  <c r="M29" i="1"/>
  <c r="AK32" i="9"/>
  <c r="C43" i="2"/>
  <c r="E54" i="9"/>
  <c r="M50" i="1"/>
  <c r="AK53" i="9"/>
  <c r="J16" i="1"/>
  <c r="AL32" i="9"/>
  <c r="D42" i="9"/>
  <c r="N9" i="16"/>
  <c r="AC9" i="16" s="1"/>
  <c r="P33" i="26" l="1"/>
  <c r="P17" i="2"/>
  <c r="F22" i="1"/>
  <c r="AH34" i="26" s="1"/>
  <c r="O34" i="26" s="1"/>
  <c r="D44" i="26" s="1"/>
  <c r="J21" i="23" s="1"/>
  <c r="S21" i="23" s="1"/>
  <c r="N70" i="26"/>
  <c r="AA63" i="9"/>
  <c r="AI62" i="9"/>
  <c r="P11" i="23"/>
  <c r="C102" i="17"/>
  <c r="D101" i="17"/>
  <c r="F101" i="17" s="1"/>
  <c r="N19" i="23"/>
  <c r="O19" i="23" s="1"/>
  <c r="AC15" i="16"/>
  <c r="AD15" i="16" s="1"/>
  <c r="AE15" i="16" s="1"/>
  <c r="N20" i="23"/>
  <c r="O20" i="23" s="1"/>
  <c r="E20" i="4"/>
  <c r="F18" i="2"/>
  <c r="P18" i="2" s="1"/>
  <c r="I16" i="2"/>
  <c r="G18" i="4" s="1"/>
  <c r="AA16" i="16" s="1"/>
  <c r="AB16" i="16" s="1"/>
  <c r="H17" i="2"/>
  <c r="E23" i="1" s="1"/>
  <c r="U23" i="1" s="1"/>
  <c r="T23" i="1" s="1"/>
  <c r="S23" i="1" s="1"/>
  <c r="C19" i="2"/>
  <c r="J19" i="2" s="1"/>
  <c r="K25" i="1"/>
  <c r="D19" i="2" s="1"/>
  <c r="M26" i="1"/>
  <c r="AK29" i="9"/>
  <c r="I82" i="16"/>
  <c r="J81" i="16"/>
  <c r="K82" i="16"/>
  <c r="L81" i="16"/>
  <c r="N12" i="23"/>
  <c r="O12" i="23" s="1"/>
  <c r="AD8" i="16"/>
  <c r="AE8" i="16" s="1"/>
  <c r="J22" i="2"/>
  <c r="J43" i="2"/>
  <c r="R18" i="16"/>
  <c r="T17" i="16"/>
  <c r="Z45" i="16"/>
  <c r="Y46" i="16"/>
  <c r="X47" i="16"/>
  <c r="W48" i="16"/>
  <c r="S47" i="16"/>
  <c r="M46" i="16"/>
  <c r="V44" i="16"/>
  <c r="U45" i="16"/>
  <c r="C46" i="16"/>
  <c r="D45" i="16"/>
  <c r="E47" i="16"/>
  <c r="F46" i="16"/>
  <c r="O46" i="16"/>
  <c r="G47" i="16"/>
  <c r="H46" i="16"/>
  <c r="Q45" i="16"/>
  <c r="P18" i="16"/>
  <c r="N20" i="16"/>
  <c r="K27" i="1"/>
  <c r="D21" i="2" s="1"/>
  <c r="C44" i="2"/>
  <c r="E55" i="9"/>
  <c r="M51" i="1"/>
  <c r="AK54" i="9"/>
  <c r="C23" i="2"/>
  <c r="M30" i="1"/>
  <c r="AK33" i="9"/>
  <c r="AL33" i="9"/>
  <c r="J17" i="1"/>
  <c r="D43" i="9"/>
  <c r="N10" i="16"/>
  <c r="AC10" i="16" s="1"/>
  <c r="AC16" i="16" l="1"/>
  <c r="AD16" i="16" s="1"/>
  <c r="AE16" i="16" s="1"/>
  <c r="P34" i="26"/>
  <c r="F23" i="1"/>
  <c r="AH35" i="26" s="1"/>
  <c r="O35" i="26"/>
  <c r="D45" i="26" s="1"/>
  <c r="J22" i="23" s="1"/>
  <c r="S22" i="23" s="1"/>
  <c r="P35" i="26"/>
  <c r="K23" i="23"/>
  <c r="AA64" i="9"/>
  <c r="AI63" i="9"/>
  <c r="N71" i="26"/>
  <c r="P12" i="23"/>
  <c r="P19" i="23"/>
  <c r="P20" i="23"/>
  <c r="C103" i="17"/>
  <c r="D102" i="17"/>
  <c r="F102" i="17" s="1"/>
  <c r="N21" i="23"/>
  <c r="O21" i="23" s="1"/>
  <c r="H18" i="2"/>
  <c r="E24" i="1" s="1"/>
  <c r="U24" i="1" s="1"/>
  <c r="T24" i="1" s="1"/>
  <c r="S24" i="1" s="1"/>
  <c r="C20" i="2"/>
  <c r="J20" i="2" s="1"/>
  <c r="K26" i="1"/>
  <c r="D20" i="2" s="1"/>
  <c r="E21" i="4"/>
  <c r="F19" i="2"/>
  <c r="K24" i="23" s="1"/>
  <c r="I17" i="2"/>
  <c r="G19" i="4" s="1"/>
  <c r="AA17" i="16" s="1"/>
  <c r="AB17" i="16" s="1"/>
  <c r="I83" i="16"/>
  <c r="J82" i="16"/>
  <c r="K83" i="16"/>
  <c r="L82" i="16"/>
  <c r="N13" i="23"/>
  <c r="O13" i="23" s="1"/>
  <c r="E23" i="4"/>
  <c r="F21" i="2"/>
  <c r="K26" i="23" s="1"/>
  <c r="AD9" i="16"/>
  <c r="AE9" i="16" s="1"/>
  <c r="J44" i="2"/>
  <c r="J23" i="2"/>
  <c r="T18" i="16"/>
  <c r="R19" i="16"/>
  <c r="Y47" i="16"/>
  <c r="Z46" i="16"/>
  <c r="X48" i="16"/>
  <c r="W49" i="16"/>
  <c r="U46" i="16"/>
  <c r="V45" i="16"/>
  <c r="Q46" i="16"/>
  <c r="M47" i="16"/>
  <c r="G48" i="16"/>
  <c r="H47" i="16"/>
  <c r="S48" i="16"/>
  <c r="O47" i="16"/>
  <c r="F47" i="16"/>
  <c r="E48" i="16"/>
  <c r="D46" i="16"/>
  <c r="C47" i="16"/>
  <c r="K28" i="1"/>
  <c r="D22" i="2" s="1"/>
  <c r="N21" i="16"/>
  <c r="P19" i="16"/>
  <c r="C24" i="2"/>
  <c r="C45" i="2"/>
  <c r="E56" i="9"/>
  <c r="M52" i="1"/>
  <c r="AK55" i="9"/>
  <c r="J18" i="1"/>
  <c r="AL34" i="9"/>
  <c r="D44" i="9"/>
  <c r="N11" i="16"/>
  <c r="AC11" i="16" s="1"/>
  <c r="P21" i="2" l="1"/>
  <c r="AC17" i="16"/>
  <c r="AD17" i="16" s="1"/>
  <c r="AE17" i="16" s="1"/>
  <c r="P19" i="2"/>
  <c r="F24" i="1"/>
  <c r="AH36" i="26" s="1"/>
  <c r="O36" i="26" s="1"/>
  <c r="D46" i="26" s="1"/>
  <c r="J23" i="23" s="1"/>
  <c r="N72" i="26"/>
  <c r="AA65" i="9"/>
  <c r="AI64" i="9"/>
  <c r="P21" i="23"/>
  <c r="P13" i="23"/>
  <c r="D103" i="17"/>
  <c r="F103" i="17" s="1"/>
  <c r="H19" i="2"/>
  <c r="E25" i="1" s="1"/>
  <c r="U25" i="1" s="1"/>
  <c r="T25" i="1" s="1"/>
  <c r="S25" i="1" s="1"/>
  <c r="E22" i="4"/>
  <c r="F20" i="2"/>
  <c r="K25" i="23" s="1"/>
  <c r="I18" i="2"/>
  <c r="I84" i="16"/>
  <c r="J83" i="16"/>
  <c r="K84" i="16"/>
  <c r="L83" i="16"/>
  <c r="N14" i="23"/>
  <c r="O14" i="23" s="1"/>
  <c r="N22" i="23"/>
  <c r="O22" i="23" s="1"/>
  <c r="H21" i="2"/>
  <c r="E27" i="1" s="1"/>
  <c r="U27" i="1" s="1"/>
  <c r="T27" i="1" s="1"/>
  <c r="S27" i="1" s="1"/>
  <c r="AD10" i="16"/>
  <c r="AE10" i="16" s="1"/>
  <c r="E24" i="4"/>
  <c r="F22" i="2"/>
  <c r="K27" i="23" s="1"/>
  <c r="J45" i="2"/>
  <c r="J24" i="2"/>
  <c r="R20" i="16"/>
  <c r="T19" i="16"/>
  <c r="Y48" i="16"/>
  <c r="Z47" i="16"/>
  <c r="W50" i="16"/>
  <c r="X49" i="16"/>
  <c r="F48" i="16"/>
  <c r="E49" i="16"/>
  <c r="O48" i="16"/>
  <c r="S49" i="16"/>
  <c r="G49" i="16"/>
  <c r="H48" i="16"/>
  <c r="M48" i="16"/>
  <c r="Q47" i="16"/>
  <c r="U47" i="16"/>
  <c r="V46" i="16"/>
  <c r="C48" i="16"/>
  <c r="D47" i="16"/>
  <c r="P20" i="16"/>
  <c r="N22" i="16"/>
  <c r="K29" i="1"/>
  <c r="D23" i="2" s="1"/>
  <c r="E57" i="9"/>
  <c r="M53" i="1"/>
  <c r="AK56" i="9"/>
  <c r="C46" i="2"/>
  <c r="AL35" i="9"/>
  <c r="J19" i="1"/>
  <c r="D45" i="9"/>
  <c r="P36" i="26" l="1"/>
  <c r="P22" i="2"/>
  <c r="P20" i="2"/>
  <c r="G20" i="4"/>
  <c r="AA18" i="16" s="1"/>
  <c r="AB18" i="16" s="1"/>
  <c r="AC18" i="16" s="1"/>
  <c r="AD18" i="16" s="1"/>
  <c r="AE18" i="16" s="1"/>
  <c r="F25" i="1"/>
  <c r="AH37" i="26" s="1"/>
  <c r="P37" i="26" s="1"/>
  <c r="F27" i="1"/>
  <c r="AH39" i="26" s="1"/>
  <c r="O39" i="26"/>
  <c r="D49" i="26" s="1"/>
  <c r="J26" i="23" s="1"/>
  <c r="S26" i="23" s="1"/>
  <c r="P39" i="26"/>
  <c r="O37" i="26"/>
  <c r="D47" i="26" s="1"/>
  <c r="J24" i="23" s="1"/>
  <c r="S24" i="23" s="1"/>
  <c r="S23" i="23"/>
  <c r="N23" i="23"/>
  <c r="O23" i="23" s="1"/>
  <c r="P23" i="23" s="1"/>
  <c r="AA66" i="9"/>
  <c r="AI65" i="9"/>
  <c r="N73" i="26"/>
  <c r="P22" i="23"/>
  <c r="P14" i="23"/>
  <c r="H20" i="2"/>
  <c r="E26" i="1" s="1"/>
  <c r="U26" i="1" s="1"/>
  <c r="T26" i="1" s="1"/>
  <c r="S26" i="1" s="1"/>
  <c r="I19" i="2"/>
  <c r="I21" i="2"/>
  <c r="G23" i="4" s="1"/>
  <c r="AA21" i="16" s="1"/>
  <c r="AB21" i="16" s="1"/>
  <c r="I85" i="16"/>
  <c r="J84" i="16"/>
  <c r="K85" i="16"/>
  <c r="L84" i="16"/>
  <c r="W37" i="1"/>
  <c r="W38" i="1" s="1"/>
  <c r="AD11" i="16"/>
  <c r="AE11" i="16" s="1"/>
  <c r="N15" i="23"/>
  <c r="O15" i="23" s="1"/>
  <c r="E25" i="4"/>
  <c r="F23" i="2"/>
  <c r="K28" i="23" s="1"/>
  <c r="H22" i="2"/>
  <c r="E28" i="1" s="1"/>
  <c r="U28" i="1" s="1"/>
  <c r="T28" i="1" s="1"/>
  <c r="S28" i="1" s="1"/>
  <c r="J46" i="2"/>
  <c r="T20" i="16"/>
  <c r="R21" i="16"/>
  <c r="Y49" i="16"/>
  <c r="Z48" i="16"/>
  <c r="X50" i="16"/>
  <c r="W51" i="16"/>
  <c r="U48" i="16"/>
  <c r="V47" i="16"/>
  <c r="Q48" i="16"/>
  <c r="M49" i="16"/>
  <c r="H49" i="16"/>
  <c r="G50" i="16"/>
  <c r="S50" i="16"/>
  <c r="O49" i="16"/>
  <c r="F49" i="16"/>
  <c r="E50" i="16"/>
  <c r="D48" i="16"/>
  <c r="C49" i="16"/>
  <c r="K30" i="1"/>
  <c r="D24" i="2" s="1"/>
  <c r="N23" i="16"/>
  <c r="P21" i="16"/>
  <c r="C47" i="2"/>
  <c r="E58" i="9"/>
  <c r="M54" i="1"/>
  <c r="AK57" i="9"/>
  <c r="J20" i="1"/>
  <c r="AL36" i="9"/>
  <c r="D46" i="9"/>
  <c r="P23" i="2" l="1"/>
  <c r="G21" i="4"/>
  <c r="AA19" i="16" s="1"/>
  <c r="AB19" i="16" s="1"/>
  <c r="AC19" i="16" s="1"/>
  <c r="AD19" i="16" s="1"/>
  <c r="AE19" i="16" s="1"/>
  <c r="I20" i="2"/>
  <c r="G22" i="4" s="1"/>
  <c r="AA20" i="16" s="1"/>
  <c r="AB20" i="16" s="1"/>
  <c r="F28" i="1"/>
  <c r="AH40" i="26" s="1"/>
  <c r="O40" i="26" s="1"/>
  <c r="D50" i="26" s="1"/>
  <c r="J27" i="23" s="1"/>
  <c r="S27" i="23" s="1"/>
  <c r="F26" i="1"/>
  <c r="AH38" i="26" s="1"/>
  <c r="O38" i="26" s="1"/>
  <c r="D48" i="26" s="1"/>
  <c r="J25" i="23" s="1"/>
  <c r="S25" i="23" s="1"/>
  <c r="N74" i="26"/>
  <c r="AA67" i="9"/>
  <c r="AI66" i="9"/>
  <c r="P15" i="23"/>
  <c r="I22" i="2"/>
  <c r="G24" i="4" s="1"/>
  <c r="AA22" i="16" s="1"/>
  <c r="AB22" i="16" s="1"/>
  <c r="I86" i="16"/>
  <c r="J85" i="16"/>
  <c r="K86" i="16"/>
  <c r="L85" i="16"/>
  <c r="N16" i="23"/>
  <c r="O16" i="23" s="1"/>
  <c r="N24" i="23"/>
  <c r="O24" i="23" s="1"/>
  <c r="E26" i="4"/>
  <c r="F24" i="2"/>
  <c r="K29" i="23" s="1"/>
  <c r="H23" i="2"/>
  <c r="E29" i="1" s="1"/>
  <c r="U29" i="1" s="1"/>
  <c r="T29" i="1" s="1"/>
  <c r="S29" i="1" s="1"/>
  <c r="J47" i="2"/>
  <c r="R22" i="16"/>
  <c r="T21" i="16"/>
  <c r="AC21" i="16" s="1"/>
  <c r="Y50" i="16"/>
  <c r="Z49" i="16"/>
  <c r="X51" i="16"/>
  <c r="W52" i="16"/>
  <c r="E51" i="16"/>
  <c r="F50" i="16"/>
  <c r="O50" i="16"/>
  <c r="S51" i="16"/>
  <c r="Q49" i="16"/>
  <c r="H50" i="16"/>
  <c r="G51" i="16"/>
  <c r="M50" i="16"/>
  <c r="U49" i="16"/>
  <c r="V48" i="16"/>
  <c r="D49" i="16"/>
  <c r="C50" i="16"/>
  <c r="K31" i="1"/>
  <c r="D25" i="2" s="1"/>
  <c r="P22" i="16"/>
  <c r="N24" i="16"/>
  <c r="C48" i="2"/>
  <c r="E59" i="9"/>
  <c r="M55" i="1"/>
  <c r="AK58" i="9"/>
  <c r="AL37" i="9"/>
  <c r="J21" i="1"/>
  <c r="D47" i="9"/>
  <c r="P24" i="2" l="1"/>
  <c r="P40" i="26"/>
  <c r="P38" i="26"/>
  <c r="F29" i="1"/>
  <c r="AH41" i="26" s="1"/>
  <c r="O41" i="26" s="1"/>
  <c r="D51" i="26" s="1"/>
  <c r="J28" i="23" s="1"/>
  <c r="S28" i="23" s="1"/>
  <c r="AC20" i="16"/>
  <c r="AD20" i="16" s="1"/>
  <c r="AE20" i="16" s="1"/>
  <c r="N75" i="26"/>
  <c r="AA68" i="9"/>
  <c r="AI67" i="9"/>
  <c r="P16" i="23"/>
  <c r="P24" i="23"/>
  <c r="I23" i="2"/>
  <c r="G25" i="4" s="1"/>
  <c r="AA23" i="16" s="1"/>
  <c r="AB23" i="16" s="1"/>
  <c r="I87" i="16"/>
  <c r="J86" i="16"/>
  <c r="K87" i="16"/>
  <c r="L86" i="16"/>
  <c r="AD21" i="16"/>
  <c r="AE21" i="16" s="1"/>
  <c r="N25" i="23"/>
  <c r="O25" i="23" s="1"/>
  <c r="E27" i="4"/>
  <c r="F25" i="2"/>
  <c r="K30" i="23" s="1"/>
  <c r="H24" i="2"/>
  <c r="E30" i="1" s="1"/>
  <c r="U30" i="1" s="1"/>
  <c r="T30" i="1" s="1"/>
  <c r="S30" i="1" s="1"/>
  <c r="J48" i="2"/>
  <c r="T22" i="16"/>
  <c r="AC22" i="16" s="1"/>
  <c r="R23" i="16"/>
  <c r="Z50" i="16"/>
  <c r="Y51" i="16"/>
  <c r="X52" i="16"/>
  <c r="W53" i="16"/>
  <c r="D50" i="16"/>
  <c r="C51" i="16"/>
  <c r="V49" i="16"/>
  <c r="U50" i="16"/>
  <c r="M51" i="16"/>
  <c r="Q50" i="16"/>
  <c r="S52" i="16"/>
  <c r="O51" i="16"/>
  <c r="H51" i="16"/>
  <c r="G52" i="16"/>
  <c r="F51" i="16"/>
  <c r="E52" i="16"/>
  <c r="P23" i="16"/>
  <c r="K32" i="1"/>
  <c r="D26" i="2" s="1"/>
  <c r="N25" i="16"/>
  <c r="C49" i="2"/>
  <c r="J49" i="2" s="1"/>
  <c r="E60" i="9"/>
  <c r="M56" i="1"/>
  <c r="AK59" i="9"/>
  <c r="J22" i="1"/>
  <c r="AL38" i="9"/>
  <c r="D48" i="9"/>
  <c r="P41" i="26" l="1"/>
  <c r="P25" i="2"/>
  <c r="F30" i="1"/>
  <c r="AH42" i="26" s="1"/>
  <c r="O42" i="26" s="1"/>
  <c r="D52" i="26" s="1"/>
  <c r="J29" i="23" s="1"/>
  <c r="S29" i="23" s="1"/>
  <c r="N76" i="26"/>
  <c r="AA69" i="9"/>
  <c r="AI68" i="9"/>
  <c r="P25" i="23"/>
  <c r="I24" i="2"/>
  <c r="I88" i="16"/>
  <c r="J87" i="16"/>
  <c r="K88" i="16"/>
  <c r="L87" i="16"/>
  <c r="N26" i="23"/>
  <c r="O26" i="23" s="1"/>
  <c r="AD22" i="16"/>
  <c r="AE22" i="16" s="1"/>
  <c r="E28" i="4"/>
  <c r="F26" i="2"/>
  <c r="K31" i="23" s="1"/>
  <c r="H25" i="2"/>
  <c r="E31" i="1" s="1"/>
  <c r="U31" i="1" s="1"/>
  <c r="T31" i="1" s="1"/>
  <c r="S31" i="1" s="1"/>
  <c r="R24" i="16"/>
  <c r="T23" i="16"/>
  <c r="AC23" i="16" s="1"/>
  <c r="Y52" i="16"/>
  <c r="Z51" i="16"/>
  <c r="W54" i="16"/>
  <c r="X53" i="16"/>
  <c r="G53" i="16"/>
  <c r="H52" i="16"/>
  <c r="O52" i="16"/>
  <c r="S53" i="16"/>
  <c r="Q51" i="16"/>
  <c r="M52" i="16"/>
  <c r="E53" i="16"/>
  <c r="F52" i="16"/>
  <c r="U51" i="16"/>
  <c r="V50" i="16"/>
  <c r="C52" i="16"/>
  <c r="D51" i="16"/>
  <c r="K33" i="1"/>
  <c r="D27" i="2" s="1"/>
  <c r="N26" i="16"/>
  <c r="P24" i="16"/>
  <c r="C50" i="2"/>
  <c r="J50" i="2" s="1"/>
  <c r="E61" i="9"/>
  <c r="M57" i="1"/>
  <c r="AK60" i="9"/>
  <c r="J23" i="1"/>
  <c r="AL39" i="9"/>
  <c r="D49" i="9"/>
  <c r="P42" i="26" l="1"/>
  <c r="P26" i="2"/>
  <c r="G26" i="4"/>
  <c r="AA24" i="16" s="1"/>
  <c r="AB24" i="16" s="1"/>
  <c r="AC24" i="16" s="1"/>
  <c r="F31" i="1"/>
  <c r="AH43" i="26" s="1"/>
  <c r="O43" i="26" s="1"/>
  <c r="D53" i="26" s="1"/>
  <c r="J30" i="23" s="1"/>
  <c r="S30" i="23" s="1"/>
  <c r="N77" i="26"/>
  <c r="AA70" i="9"/>
  <c r="AI69" i="9"/>
  <c r="P26" i="23"/>
  <c r="I25" i="2"/>
  <c r="I89" i="16"/>
  <c r="J88" i="16"/>
  <c r="K89" i="16"/>
  <c r="L88" i="16"/>
  <c r="N27" i="23"/>
  <c r="O27" i="23" s="1"/>
  <c r="AD23" i="16"/>
  <c r="AE23" i="16" s="1"/>
  <c r="H26" i="2"/>
  <c r="E32" i="1" s="1"/>
  <c r="U32" i="1" s="1"/>
  <c r="T32" i="1" s="1"/>
  <c r="S32" i="1" s="1"/>
  <c r="E29" i="4"/>
  <c r="F27" i="2"/>
  <c r="K32" i="23" s="1"/>
  <c r="R25" i="16"/>
  <c r="T24" i="16"/>
  <c r="Y53" i="16"/>
  <c r="Z52" i="16"/>
  <c r="W55" i="16"/>
  <c r="X54" i="16"/>
  <c r="V51" i="16"/>
  <c r="U52" i="16"/>
  <c r="F53" i="16"/>
  <c r="E54" i="16"/>
  <c r="M53" i="16"/>
  <c r="O53" i="16"/>
  <c r="Q52" i="16"/>
  <c r="S54" i="16"/>
  <c r="D52" i="16"/>
  <c r="C53" i="16"/>
  <c r="H53" i="16"/>
  <c r="G54" i="16"/>
  <c r="N27" i="16"/>
  <c r="P25" i="16"/>
  <c r="K34" i="1"/>
  <c r="D28" i="2" s="1"/>
  <c r="C51" i="2"/>
  <c r="J51" i="2" s="1"/>
  <c r="E62" i="9"/>
  <c r="M58" i="1"/>
  <c r="AK61" i="9"/>
  <c r="AL40" i="9"/>
  <c r="J24" i="1"/>
  <c r="D50" i="9"/>
  <c r="P43" i="26" l="1"/>
  <c r="P27" i="2"/>
  <c r="G27" i="4"/>
  <c r="AA25" i="16" s="1"/>
  <c r="AB25" i="16" s="1"/>
  <c r="F32" i="1"/>
  <c r="AH44" i="26" s="1"/>
  <c r="O44" i="26" s="1"/>
  <c r="D54" i="26" s="1"/>
  <c r="J31" i="23" s="1"/>
  <c r="S31" i="23" s="1"/>
  <c r="N78" i="26"/>
  <c r="AA71" i="9"/>
  <c r="AI70" i="9"/>
  <c r="P27" i="23"/>
  <c r="I26" i="2"/>
  <c r="G28" i="4" s="1"/>
  <c r="AA26" i="16" s="1"/>
  <c r="AB26" i="16" s="1"/>
  <c r="I90" i="16"/>
  <c r="J89" i="16"/>
  <c r="K90" i="16"/>
  <c r="L89" i="16"/>
  <c r="N28" i="23"/>
  <c r="O28" i="23" s="1"/>
  <c r="AD24" i="16"/>
  <c r="AE24" i="16" s="1"/>
  <c r="E30" i="4"/>
  <c r="F28" i="2"/>
  <c r="K33" i="23" s="1"/>
  <c r="H27" i="2"/>
  <c r="E33" i="1" s="1"/>
  <c r="U33" i="1" s="1"/>
  <c r="T33" i="1" s="1"/>
  <c r="S33" i="1" s="1"/>
  <c r="T25" i="16"/>
  <c r="AC25" i="16" s="1"/>
  <c r="R26" i="16"/>
  <c r="Y54" i="16"/>
  <c r="Z53" i="16"/>
  <c r="X55" i="16"/>
  <c r="W56" i="16"/>
  <c r="S55" i="16"/>
  <c r="Q53" i="16"/>
  <c r="O54" i="16"/>
  <c r="H54" i="16"/>
  <c r="G55" i="16"/>
  <c r="M54" i="16"/>
  <c r="E55" i="16"/>
  <c r="F54" i="16"/>
  <c r="C54" i="16"/>
  <c r="D53" i="16"/>
  <c r="V52" i="16"/>
  <c r="U53" i="16"/>
  <c r="K35" i="1"/>
  <c r="D29" i="2" s="1"/>
  <c r="P26" i="16"/>
  <c r="N28" i="16"/>
  <c r="C52" i="2"/>
  <c r="J52" i="2" s="1"/>
  <c r="E63" i="9"/>
  <c r="M59" i="1"/>
  <c r="AK62" i="9"/>
  <c r="J25" i="1"/>
  <c r="AL41" i="9"/>
  <c r="D51" i="9"/>
  <c r="P28" i="2" l="1"/>
  <c r="P44" i="26"/>
  <c r="F33" i="1"/>
  <c r="AH45" i="26" s="1"/>
  <c r="O45" i="26" s="1"/>
  <c r="D55" i="26" s="1"/>
  <c r="J32" i="23" s="1"/>
  <c r="S32" i="23" s="1"/>
  <c r="N79" i="26"/>
  <c r="AA72" i="9"/>
  <c r="AI71" i="9"/>
  <c r="P28" i="23"/>
  <c r="I27" i="2"/>
  <c r="G29" i="4" s="1"/>
  <c r="AA27" i="16" s="1"/>
  <c r="AB27" i="16" s="1"/>
  <c r="I91" i="16"/>
  <c r="J90" i="16"/>
  <c r="K91" i="16"/>
  <c r="L90" i="16"/>
  <c r="N29" i="23"/>
  <c r="O29" i="23" s="1"/>
  <c r="AD25" i="16"/>
  <c r="AE25" i="16" s="1"/>
  <c r="E31" i="4"/>
  <c r="F29" i="2"/>
  <c r="K34" i="23" s="1"/>
  <c r="H28" i="2"/>
  <c r="E34" i="1" s="1"/>
  <c r="U34" i="1" s="1"/>
  <c r="T34" i="1" s="1"/>
  <c r="S34" i="1" s="1"/>
  <c r="R27" i="16"/>
  <c r="T26" i="16"/>
  <c r="AC26" i="16" s="1"/>
  <c r="Z54" i="16"/>
  <c r="Y55" i="16"/>
  <c r="X56" i="16"/>
  <c r="W57" i="16"/>
  <c r="G56" i="16"/>
  <c r="H55" i="16"/>
  <c r="F55" i="16"/>
  <c r="E56" i="16"/>
  <c r="M55" i="16"/>
  <c r="O55" i="16"/>
  <c r="Q54" i="16"/>
  <c r="S56" i="16"/>
  <c r="U54" i="16"/>
  <c r="V53" i="16"/>
  <c r="C55" i="16"/>
  <c r="D54" i="16"/>
  <c r="P27" i="16"/>
  <c r="N29" i="16"/>
  <c r="K36" i="1"/>
  <c r="D30" i="2" s="1"/>
  <c r="E64" i="9"/>
  <c r="M60" i="1"/>
  <c r="AK63" i="9"/>
  <c r="C53" i="2"/>
  <c r="J53" i="2" s="1"/>
  <c r="AL42" i="9"/>
  <c r="J26" i="1"/>
  <c r="D52" i="9"/>
  <c r="P45" i="26" l="1"/>
  <c r="P29" i="2"/>
  <c r="F34" i="1"/>
  <c r="AH46" i="26" s="1"/>
  <c r="P46" i="26" s="1"/>
  <c r="N80" i="26"/>
  <c r="AA73" i="9"/>
  <c r="N81" i="26"/>
  <c r="AI72" i="9"/>
  <c r="P29" i="23"/>
  <c r="I28" i="2"/>
  <c r="I92" i="16"/>
  <c r="J91" i="16"/>
  <c r="K92" i="16"/>
  <c r="L91" i="16"/>
  <c r="AD26" i="16"/>
  <c r="AE26" i="16" s="1"/>
  <c r="N30" i="23"/>
  <c r="O30" i="23" s="1"/>
  <c r="E32" i="4"/>
  <c r="F30" i="2"/>
  <c r="K35" i="23" s="1"/>
  <c r="H29" i="2"/>
  <c r="E35" i="1" s="1"/>
  <c r="U35" i="1" s="1"/>
  <c r="T35" i="1" s="1"/>
  <c r="S35" i="1" s="1"/>
  <c r="T27" i="16"/>
  <c r="AC27" i="16" s="1"/>
  <c r="R28" i="16"/>
  <c r="Z55" i="16"/>
  <c r="Y56" i="16"/>
  <c r="X57" i="16"/>
  <c r="W58" i="16"/>
  <c r="U55" i="16"/>
  <c r="V54" i="16"/>
  <c r="S57" i="16"/>
  <c r="E57" i="16"/>
  <c r="F56" i="16"/>
  <c r="H56" i="16"/>
  <c r="G57" i="16"/>
  <c r="Q55" i="16"/>
  <c r="O56" i="16"/>
  <c r="M56" i="16"/>
  <c r="D55" i="16"/>
  <c r="C56" i="16"/>
  <c r="K37" i="1"/>
  <c r="D31" i="2" s="1"/>
  <c r="N30" i="16"/>
  <c r="P28" i="16"/>
  <c r="C54" i="2"/>
  <c r="J54" i="2" s="1"/>
  <c r="E65" i="9"/>
  <c r="M61" i="1"/>
  <c r="AK64" i="9"/>
  <c r="J27" i="1"/>
  <c r="AL43" i="9"/>
  <c r="D53" i="9"/>
  <c r="O46" i="26" l="1"/>
  <c r="D56" i="26" s="1"/>
  <c r="J33" i="23" s="1"/>
  <c r="S33" i="23" s="1"/>
  <c r="G30" i="4"/>
  <c r="AA28" i="16" s="1"/>
  <c r="AB28" i="16" s="1"/>
  <c r="P30" i="2"/>
  <c r="F35" i="1"/>
  <c r="AH47" i="26" s="1"/>
  <c r="O47" i="26" s="1"/>
  <c r="D57" i="26" s="1"/>
  <c r="J34" i="23" s="1"/>
  <c r="S34" i="23" s="1"/>
  <c r="AA74" i="9"/>
  <c r="AI73" i="9"/>
  <c r="P30" i="23"/>
  <c r="I29" i="2"/>
  <c r="G31" i="4" s="1"/>
  <c r="AA29" i="16" s="1"/>
  <c r="AB29" i="16" s="1"/>
  <c r="I93" i="16"/>
  <c r="J92" i="16"/>
  <c r="K93" i="16"/>
  <c r="L92" i="16"/>
  <c r="N31" i="23"/>
  <c r="O31" i="23" s="1"/>
  <c r="AD27" i="16"/>
  <c r="AE27" i="16" s="1"/>
  <c r="E33" i="4"/>
  <c r="F31" i="2"/>
  <c r="K36" i="23" s="1"/>
  <c r="H30" i="2"/>
  <c r="E36" i="1" s="1"/>
  <c r="U36" i="1" s="1"/>
  <c r="T36" i="1" s="1"/>
  <c r="S36" i="1" s="1"/>
  <c r="R29" i="16"/>
  <c r="T28" i="16"/>
  <c r="AC28" i="16" s="1"/>
  <c r="Y57" i="16"/>
  <c r="Z56" i="16"/>
  <c r="X58" i="16"/>
  <c r="W59" i="16"/>
  <c r="O57" i="16"/>
  <c r="Q56" i="16"/>
  <c r="H57" i="16"/>
  <c r="G58" i="16"/>
  <c r="E58" i="16"/>
  <c r="F57" i="16"/>
  <c r="S58" i="16"/>
  <c r="D56" i="16"/>
  <c r="C57" i="16"/>
  <c r="M57" i="16"/>
  <c r="V55" i="16"/>
  <c r="U56" i="16"/>
  <c r="N31" i="16"/>
  <c r="P29" i="16"/>
  <c r="K38" i="1"/>
  <c r="D32" i="2" s="1"/>
  <c r="C55" i="2"/>
  <c r="J55" i="2" s="1"/>
  <c r="E66" i="9"/>
  <c r="M62" i="1"/>
  <c r="AK65" i="9"/>
  <c r="AL44" i="9"/>
  <c r="J28" i="1"/>
  <c r="D54" i="9"/>
  <c r="P31" i="2" l="1"/>
  <c r="P47" i="26"/>
  <c r="F36" i="1"/>
  <c r="AH48" i="26" s="1"/>
  <c r="O48" i="26" s="1"/>
  <c r="D58" i="26" s="1"/>
  <c r="J35" i="23" s="1"/>
  <c r="S35" i="23" s="1"/>
  <c r="AA75" i="9"/>
  <c r="AI74" i="9"/>
  <c r="P31" i="23"/>
  <c r="I30" i="2"/>
  <c r="G32" i="4" s="1"/>
  <c r="AA30" i="16" s="1"/>
  <c r="AB30" i="16" s="1"/>
  <c r="I94" i="16"/>
  <c r="J93" i="16"/>
  <c r="K94" i="16"/>
  <c r="L93" i="16"/>
  <c r="N32" i="23"/>
  <c r="O32" i="23" s="1"/>
  <c r="AD28" i="16"/>
  <c r="AE28" i="16" s="1"/>
  <c r="H31" i="2"/>
  <c r="E37" i="1" s="1"/>
  <c r="U37" i="1" s="1"/>
  <c r="T37" i="1" s="1"/>
  <c r="S37" i="1" s="1"/>
  <c r="E34" i="4"/>
  <c r="F32" i="2"/>
  <c r="K37" i="23" s="1"/>
  <c r="T29" i="16"/>
  <c r="AC29" i="16" s="1"/>
  <c r="R30" i="16"/>
  <c r="Y58" i="16"/>
  <c r="Z57" i="16"/>
  <c r="W60" i="16"/>
  <c r="X59" i="16"/>
  <c r="G59" i="16"/>
  <c r="H58" i="16"/>
  <c r="Q57" i="16"/>
  <c r="V56" i="16"/>
  <c r="U57" i="16"/>
  <c r="M58" i="16"/>
  <c r="C58" i="16"/>
  <c r="D57" i="16"/>
  <c r="S59" i="16"/>
  <c r="F58" i="16"/>
  <c r="E59" i="16"/>
  <c r="O58" i="16"/>
  <c r="K39" i="1"/>
  <c r="D33" i="2" s="1"/>
  <c r="P30" i="16"/>
  <c r="N32" i="16"/>
  <c r="C56" i="2"/>
  <c r="J56" i="2" s="1"/>
  <c r="E67" i="9"/>
  <c r="M63" i="1"/>
  <c r="AK66" i="9"/>
  <c r="J29" i="1"/>
  <c r="AL45" i="9"/>
  <c r="D55" i="9"/>
  <c r="P48" i="26" l="1"/>
  <c r="P32" i="2"/>
  <c r="F37" i="1"/>
  <c r="AH49" i="26" s="1"/>
  <c r="O49" i="26" s="1"/>
  <c r="D59" i="26" s="1"/>
  <c r="J36" i="23" s="1"/>
  <c r="S36" i="23" s="1"/>
  <c r="P49" i="26"/>
  <c r="AA76" i="9"/>
  <c r="AI75" i="9"/>
  <c r="P32" i="23"/>
  <c r="I31" i="2"/>
  <c r="G33" i="4" s="1"/>
  <c r="AA31" i="16" s="1"/>
  <c r="AB31" i="16" s="1"/>
  <c r="I95" i="16"/>
  <c r="J94" i="16"/>
  <c r="K95" i="16"/>
  <c r="L94" i="16"/>
  <c r="AD29" i="16"/>
  <c r="AE29" i="16" s="1"/>
  <c r="N33" i="23"/>
  <c r="O33" i="23" s="1"/>
  <c r="H32" i="2"/>
  <c r="E38" i="1" s="1"/>
  <c r="U38" i="1" s="1"/>
  <c r="T38" i="1" s="1"/>
  <c r="S38" i="1" s="1"/>
  <c r="E35" i="4"/>
  <c r="F33" i="2"/>
  <c r="K38" i="23" s="1"/>
  <c r="R31" i="16"/>
  <c r="T30" i="16"/>
  <c r="AC30" i="16" s="1"/>
  <c r="Y59" i="16"/>
  <c r="Z58" i="16"/>
  <c r="W61" i="16"/>
  <c r="X60" i="16"/>
  <c r="F59" i="16"/>
  <c r="E60" i="16"/>
  <c r="S60" i="16"/>
  <c r="V57" i="16"/>
  <c r="U58" i="16"/>
  <c r="C59" i="16"/>
  <c r="D58" i="16"/>
  <c r="M59" i="16"/>
  <c r="Q58" i="16"/>
  <c r="O59" i="16"/>
  <c r="G60" i="16"/>
  <c r="H59" i="16"/>
  <c r="P31" i="16"/>
  <c r="N33" i="16"/>
  <c r="K40" i="1"/>
  <c r="D34" i="2" s="1"/>
  <c r="C57" i="2"/>
  <c r="J57" i="2" s="1"/>
  <c r="E68" i="9"/>
  <c r="M64" i="1"/>
  <c r="AK67" i="9"/>
  <c r="J30" i="1"/>
  <c r="AL46" i="9"/>
  <c r="D56" i="9"/>
  <c r="P33" i="2" l="1"/>
  <c r="F38" i="1"/>
  <c r="AH50" i="26" s="1"/>
  <c r="O50" i="26" s="1"/>
  <c r="D60" i="26" s="1"/>
  <c r="J37" i="23" s="1"/>
  <c r="S37" i="23" s="1"/>
  <c r="P50" i="26"/>
  <c r="AA77" i="9"/>
  <c r="AI76" i="9"/>
  <c r="P33" i="23"/>
  <c r="I32" i="2"/>
  <c r="G34" i="4" s="1"/>
  <c r="AA32" i="16" s="1"/>
  <c r="AB32" i="16" s="1"/>
  <c r="I96" i="16"/>
  <c r="J95" i="16"/>
  <c r="K96" i="16"/>
  <c r="L95" i="16"/>
  <c r="AD30" i="16"/>
  <c r="AE30" i="16" s="1"/>
  <c r="N34" i="23"/>
  <c r="O34" i="23" s="1"/>
  <c r="H33" i="2"/>
  <c r="E39" i="1" s="1"/>
  <c r="U39" i="1" s="1"/>
  <c r="T39" i="1" s="1"/>
  <c r="S39" i="1" s="1"/>
  <c r="E36" i="4"/>
  <c r="F34" i="2"/>
  <c r="K39" i="23" s="1"/>
  <c r="R32" i="16"/>
  <c r="T31" i="16"/>
  <c r="AC31" i="16" s="1"/>
  <c r="Y60" i="16"/>
  <c r="Z59" i="16"/>
  <c r="W62" i="16"/>
  <c r="X61" i="16"/>
  <c r="O60" i="16"/>
  <c r="Q59" i="16"/>
  <c r="M60" i="16"/>
  <c r="D59" i="16"/>
  <c r="C60" i="16"/>
  <c r="E61" i="16"/>
  <c r="F60" i="16"/>
  <c r="U59" i="16"/>
  <c r="V58" i="16"/>
  <c r="S61" i="16"/>
  <c r="H60" i="16"/>
  <c r="G61" i="16"/>
  <c r="N34" i="16"/>
  <c r="K41" i="1"/>
  <c r="D35" i="2" s="1"/>
  <c r="P32" i="16"/>
  <c r="C58" i="2"/>
  <c r="J58" i="2" s="1"/>
  <c r="E69" i="9"/>
  <c r="M65" i="1"/>
  <c r="AK68" i="9"/>
  <c r="J31" i="1"/>
  <c r="AL47" i="9"/>
  <c r="D57" i="9"/>
  <c r="K9" i="2"/>
  <c r="Q9" i="2" s="1"/>
  <c r="K8" i="2"/>
  <c r="Q8" i="2" s="1"/>
  <c r="P34" i="2" l="1"/>
  <c r="F39" i="1"/>
  <c r="AH51" i="26" s="1"/>
  <c r="O51" i="26" s="1"/>
  <c r="D61" i="26" s="1"/>
  <c r="J38" i="23" s="1"/>
  <c r="S38" i="23" s="1"/>
  <c r="AA78" i="9"/>
  <c r="AI77" i="9"/>
  <c r="P34" i="23"/>
  <c r="I33" i="2"/>
  <c r="G35" i="4" s="1"/>
  <c r="AA33" i="16" s="1"/>
  <c r="AB33" i="16" s="1"/>
  <c r="I97" i="16"/>
  <c r="J96" i="16"/>
  <c r="K97" i="16"/>
  <c r="L96" i="16"/>
  <c r="N35" i="23"/>
  <c r="O35" i="23" s="1"/>
  <c r="AD31" i="16"/>
  <c r="AE31" i="16" s="1"/>
  <c r="E37" i="4"/>
  <c r="F35" i="2"/>
  <c r="K40" i="23" s="1"/>
  <c r="H34" i="2"/>
  <c r="E40" i="1" s="1"/>
  <c r="U40" i="1" s="1"/>
  <c r="T40" i="1" s="1"/>
  <c r="S40" i="1" s="1"/>
  <c r="I11" i="4"/>
  <c r="O9" i="2" s="1"/>
  <c r="I10" i="4"/>
  <c r="O8" i="2" s="1"/>
  <c r="T32" i="16"/>
  <c r="AC32" i="16" s="1"/>
  <c r="R33" i="16"/>
  <c r="Z60" i="16"/>
  <c r="Y61" i="16"/>
  <c r="W63" i="16"/>
  <c r="X62" i="16"/>
  <c r="E62" i="16"/>
  <c r="F61" i="16"/>
  <c r="V59" i="16"/>
  <c r="U60" i="16"/>
  <c r="C61" i="16"/>
  <c r="D60" i="16"/>
  <c r="M61" i="16"/>
  <c r="G62" i="16"/>
  <c r="H61" i="16"/>
  <c r="Q60" i="16"/>
  <c r="S62" i="16"/>
  <c r="O61" i="16"/>
  <c r="K42" i="1"/>
  <c r="D36" i="2" s="1"/>
  <c r="P33" i="16"/>
  <c r="N35" i="16"/>
  <c r="E70" i="9"/>
  <c r="M66" i="1"/>
  <c r="AK69" i="9"/>
  <c r="C59" i="2"/>
  <c r="J59" i="2" s="1"/>
  <c r="J32" i="1"/>
  <c r="AL48" i="9"/>
  <c r="D58" i="9"/>
  <c r="K19" i="2"/>
  <c r="Q19" i="2" s="1"/>
  <c r="K11" i="2"/>
  <c r="Q11" i="2" s="1"/>
  <c r="K13" i="2"/>
  <c r="Q13" i="2" s="1"/>
  <c r="K16" i="2"/>
  <c r="Q16" i="2" s="1"/>
  <c r="K17" i="2"/>
  <c r="Q17" i="2" s="1"/>
  <c r="K15" i="2"/>
  <c r="Q15" i="2" s="1"/>
  <c r="K18" i="2"/>
  <c r="Q18" i="2" s="1"/>
  <c r="K6" i="2"/>
  <c r="Q6" i="2" s="1"/>
  <c r="P35" i="2" l="1"/>
  <c r="P51" i="26"/>
  <c r="F40" i="1"/>
  <c r="AH52" i="26" s="1"/>
  <c r="O52" i="26" s="1"/>
  <c r="D62" i="26" s="1"/>
  <c r="J39" i="23" s="1"/>
  <c r="S39" i="23" s="1"/>
  <c r="AA79" i="9"/>
  <c r="AI78" i="9"/>
  <c r="P35" i="23"/>
  <c r="I34" i="2"/>
  <c r="G36" i="4" s="1"/>
  <c r="AA34" i="16" s="1"/>
  <c r="AB34" i="16" s="1"/>
  <c r="I98" i="16"/>
  <c r="J97" i="16"/>
  <c r="K98" i="16"/>
  <c r="L97" i="16"/>
  <c r="N36" i="23"/>
  <c r="O36" i="23" s="1"/>
  <c r="AD32" i="16"/>
  <c r="AE32" i="16" s="1"/>
  <c r="E38" i="4"/>
  <c r="F36" i="2"/>
  <c r="K41" i="23" s="1"/>
  <c r="H35" i="2"/>
  <c r="E41" i="1" s="1"/>
  <c r="U41" i="1" s="1"/>
  <c r="T41" i="1" s="1"/>
  <c r="S41" i="1" s="1"/>
  <c r="I21" i="4"/>
  <c r="O19" i="2" s="1"/>
  <c r="I20" i="4"/>
  <c r="O18" i="2" s="1"/>
  <c r="I19" i="4"/>
  <c r="O17" i="2" s="1"/>
  <c r="I18" i="4"/>
  <c r="O16" i="2" s="1"/>
  <c r="I17" i="4"/>
  <c r="O15" i="2" s="1"/>
  <c r="I15" i="4"/>
  <c r="O13" i="2" s="1"/>
  <c r="I13" i="4"/>
  <c r="O11" i="2" s="1"/>
  <c r="I8" i="4"/>
  <c r="O6" i="2" s="1"/>
  <c r="T33" i="16"/>
  <c r="AC33" i="16" s="1"/>
  <c r="R34" i="16"/>
  <c r="Y62" i="16"/>
  <c r="Z61" i="16"/>
  <c r="X63" i="16"/>
  <c r="W64" i="16"/>
  <c r="S63" i="16"/>
  <c r="M62" i="16"/>
  <c r="Q61" i="16"/>
  <c r="G63" i="16"/>
  <c r="H62" i="16"/>
  <c r="C62" i="16"/>
  <c r="D61" i="16"/>
  <c r="V60" i="16"/>
  <c r="U61" i="16"/>
  <c r="O62" i="16"/>
  <c r="F62" i="16"/>
  <c r="E63" i="16"/>
  <c r="P34" i="16"/>
  <c r="N36" i="16"/>
  <c r="K43" i="1"/>
  <c r="D37" i="2" s="1"/>
  <c r="C60" i="2"/>
  <c r="J60" i="2" s="1"/>
  <c r="E71" i="9"/>
  <c r="M67" i="1"/>
  <c r="AK70" i="9"/>
  <c r="AL49" i="9"/>
  <c r="J33" i="1"/>
  <c r="D59" i="9"/>
  <c r="K14" i="2"/>
  <c r="Q14" i="2" s="1"/>
  <c r="K10" i="2"/>
  <c r="Q10" i="2" s="1"/>
  <c r="K12" i="2"/>
  <c r="Q12" i="2" s="1"/>
  <c r="K20" i="2"/>
  <c r="Q20" i="2" s="1"/>
  <c r="P36" i="2" l="1"/>
  <c r="P52" i="26"/>
  <c r="F41" i="1"/>
  <c r="AH53" i="26" s="1"/>
  <c r="O53" i="26" s="1"/>
  <c r="D63" i="26" s="1"/>
  <c r="J40" i="23" s="1"/>
  <c r="S40" i="23" s="1"/>
  <c r="P53" i="26"/>
  <c r="AA80" i="9"/>
  <c r="AI79" i="9"/>
  <c r="P36" i="23"/>
  <c r="I35" i="2"/>
  <c r="G37" i="4" s="1"/>
  <c r="AA35" i="16" s="1"/>
  <c r="AB35" i="16" s="1"/>
  <c r="I99" i="16"/>
  <c r="J99" i="16" s="1"/>
  <c r="J98" i="16"/>
  <c r="K99" i="16"/>
  <c r="L99" i="16" s="1"/>
  <c r="L98" i="16"/>
  <c r="N37" i="23"/>
  <c r="O37" i="23" s="1"/>
  <c r="E39" i="4"/>
  <c r="F37" i="2"/>
  <c r="K42" i="23" s="1"/>
  <c r="H36" i="2"/>
  <c r="E42" i="1" s="1"/>
  <c r="U42" i="1" s="1"/>
  <c r="T42" i="1" s="1"/>
  <c r="S42" i="1" s="1"/>
  <c r="AD33" i="16"/>
  <c r="AE33" i="16" s="1"/>
  <c r="I22" i="4"/>
  <c r="O20" i="2" s="1"/>
  <c r="I16" i="4"/>
  <c r="O14" i="2" s="1"/>
  <c r="I14" i="4"/>
  <c r="O12" i="2" s="1"/>
  <c r="I12" i="4"/>
  <c r="O10" i="2" s="1"/>
  <c r="T34" i="16"/>
  <c r="AC34" i="16" s="1"/>
  <c r="R35" i="16"/>
  <c r="Y63" i="16"/>
  <c r="Z62" i="16"/>
  <c r="W65" i="16"/>
  <c r="X64" i="16"/>
  <c r="O63" i="16"/>
  <c r="V61" i="16"/>
  <c r="U62" i="16"/>
  <c r="C63" i="16"/>
  <c r="D62" i="16"/>
  <c r="H63" i="16"/>
  <c r="G64" i="16"/>
  <c r="Q62" i="16"/>
  <c r="E64" i="16"/>
  <c r="F63" i="16"/>
  <c r="M63" i="16"/>
  <c r="S64" i="16"/>
  <c r="P35" i="16"/>
  <c r="N37" i="16"/>
  <c r="K44" i="1"/>
  <c r="D38" i="2" s="1"/>
  <c r="C61" i="2"/>
  <c r="J61" i="2" s="1"/>
  <c r="E72" i="9"/>
  <c r="M68" i="1"/>
  <c r="AK71" i="9"/>
  <c r="AL50" i="9"/>
  <c r="J34" i="1"/>
  <c r="D60" i="9"/>
  <c r="K21" i="2"/>
  <c r="Q21" i="2" s="1"/>
  <c r="P37" i="2" l="1"/>
  <c r="F42" i="1"/>
  <c r="AH54" i="26" s="1"/>
  <c r="O54" i="26" s="1"/>
  <c r="D64" i="26" s="1"/>
  <c r="J41" i="23" s="1"/>
  <c r="S41" i="23" s="1"/>
  <c r="P54" i="26"/>
  <c r="AA81" i="9"/>
  <c r="AI80" i="9"/>
  <c r="P37" i="23"/>
  <c r="I36" i="2"/>
  <c r="G38" i="4" s="1"/>
  <c r="AA36" i="16" s="1"/>
  <c r="AB36" i="16" s="1"/>
  <c r="AD34" i="16"/>
  <c r="AE34" i="16" s="1"/>
  <c r="N38" i="23"/>
  <c r="E40" i="4"/>
  <c r="F38" i="2"/>
  <c r="K43" i="23" s="1"/>
  <c r="H37" i="2"/>
  <c r="E43" i="1" s="1"/>
  <c r="U43" i="1" s="1"/>
  <c r="T43" i="1" s="1"/>
  <c r="S43" i="1" s="1"/>
  <c r="I23" i="4"/>
  <c r="O21" i="2" s="1"/>
  <c r="T35" i="16"/>
  <c r="AC35" i="16" s="1"/>
  <c r="R36" i="16"/>
  <c r="Z63" i="16"/>
  <c r="Y64" i="16"/>
  <c r="W66" i="16"/>
  <c r="X65" i="16"/>
  <c r="Q63" i="16"/>
  <c r="F64" i="16"/>
  <c r="E65" i="16"/>
  <c r="O64" i="16"/>
  <c r="G65" i="16"/>
  <c r="H64" i="16"/>
  <c r="D63" i="16"/>
  <c r="C64" i="16"/>
  <c r="V62" i="16"/>
  <c r="U63" i="16"/>
  <c r="S65" i="16"/>
  <c r="M64" i="16"/>
  <c r="N38" i="16"/>
  <c r="P36" i="16"/>
  <c r="K45" i="1"/>
  <c r="D39" i="2" s="1"/>
  <c r="E73" i="9"/>
  <c r="M69" i="1"/>
  <c r="AK72" i="9"/>
  <c r="C62" i="2"/>
  <c r="J62" i="2" s="1"/>
  <c r="AL51" i="9"/>
  <c r="J35" i="1"/>
  <c r="D61" i="9"/>
  <c r="K22" i="2"/>
  <c r="Q22" i="2" s="1"/>
  <c r="P38" i="2" l="1"/>
  <c r="F43" i="1"/>
  <c r="AH55" i="26" s="1"/>
  <c r="O55" i="26" s="1"/>
  <c r="D65" i="26" s="1"/>
  <c r="J42" i="23" s="1"/>
  <c r="S42" i="23" s="1"/>
  <c r="P55" i="26"/>
  <c r="AA82" i="9"/>
  <c r="AI81" i="9"/>
  <c r="AC82" i="26"/>
  <c r="AD82" i="26"/>
  <c r="AE82" i="26"/>
  <c r="AN73" i="9"/>
  <c r="AG82" i="26"/>
  <c r="AF82" i="26"/>
  <c r="I37" i="2"/>
  <c r="G39" i="4" s="1"/>
  <c r="AA37" i="16" s="1"/>
  <c r="AB37" i="16" s="1"/>
  <c r="AD35" i="16"/>
  <c r="AE35" i="16" s="1"/>
  <c r="N39" i="23"/>
  <c r="O39" i="23" s="1"/>
  <c r="O38" i="23"/>
  <c r="E41" i="4"/>
  <c r="F39" i="2"/>
  <c r="K44" i="23" s="1"/>
  <c r="H38" i="2"/>
  <c r="E44" i="1" s="1"/>
  <c r="U44" i="1" s="1"/>
  <c r="T44" i="1" s="1"/>
  <c r="S44" i="1" s="1"/>
  <c r="I24" i="4"/>
  <c r="O22" i="2" s="1"/>
  <c r="R37" i="16"/>
  <c r="T36" i="16"/>
  <c r="AC36" i="16" s="1"/>
  <c r="Y65" i="16"/>
  <c r="Z64" i="16"/>
  <c r="X66" i="16"/>
  <c r="W67" i="16"/>
  <c r="O65" i="16"/>
  <c r="D64" i="16"/>
  <c r="C65" i="16"/>
  <c r="E66" i="16"/>
  <c r="F65" i="16"/>
  <c r="M65" i="16"/>
  <c r="Q64" i="16"/>
  <c r="G66" i="16"/>
  <c r="H65" i="16"/>
  <c r="S66" i="16"/>
  <c r="U64" i="16"/>
  <c r="V63" i="16"/>
  <c r="K46" i="1"/>
  <c r="D40" i="2" s="1"/>
  <c r="P37" i="16"/>
  <c r="N39" i="16"/>
  <c r="C63" i="2"/>
  <c r="J63" i="2" s="1"/>
  <c r="E74" i="9"/>
  <c r="M70" i="1"/>
  <c r="AK73" i="9"/>
  <c r="J36" i="1"/>
  <c r="AL52" i="9"/>
  <c r="D62" i="9"/>
  <c r="K23" i="2"/>
  <c r="Q23" i="2" s="1"/>
  <c r="P39" i="2" l="1"/>
  <c r="F44" i="1"/>
  <c r="AH56" i="26" s="1"/>
  <c r="O56" i="26" s="1"/>
  <c r="D66" i="26" s="1"/>
  <c r="J43" i="23" s="1"/>
  <c r="S43" i="23" s="1"/>
  <c r="P56" i="26"/>
  <c r="AA83" i="9"/>
  <c r="AI82" i="9"/>
  <c r="P39" i="23"/>
  <c r="P38" i="23"/>
  <c r="AC83" i="26"/>
  <c r="AE83" i="26"/>
  <c r="AD83" i="26"/>
  <c r="AN74" i="9"/>
  <c r="AF83" i="26"/>
  <c r="AG83" i="26"/>
  <c r="N82" i="26"/>
  <c r="I38" i="2"/>
  <c r="G40" i="4" s="1"/>
  <c r="AA38" i="16" s="1"/>
  <c r="AB38" i="16" s="1"/>
  <c r="AD36" i="16"/>
  <c r="AE36" i="16" s="1"/>
  <c r="N40" i="23"/>
  <c r="E42" i="4"/>
  <c r="F40" i="2"/>
  <c r="K45" i="23" s="1"/>
  <c r="H39" i="2"/>
  <c r="E45" i="1" s="1"/>
  <c r="U45" i="1" s="1"/>
  <c r="T45" i="1" s="1"/>
  <c r="S45" i="1" s="1"/>
  <c r="I25" i="4"/>
  <c r="O23" i="2" s="1"/>
  <c r="T37" i="16"/>
  <c r="AC37" i="16" s="1"/>
  <c r="R38" i="16"/>
  <c r="Y66" i="16"/>
  <c r="Z65" i="16"/>
  <c r="W68" i="16"/>
  <c r="X67" i="16"/>
  <c r="M66" i="16"/>
  <c r="H66" i="16"/>
  <c r="G67" i="16"/>
  <c r="E67" i="16"/>
  <c r="F66" i="16"/>
  <c r="D65" i="16"/>
  <c r="C66" i="16"/>
  <c r="O66" i="16"/>
  <c r="U65" i="16"/>
  <c r="V64" i="16"/>
  <c r="S67" i="16"/>
  <c r="Q65" i="16"/>
  <c r="N40" i="16"/>
  <c r="P38" i="16"/>
  <c r="K47" i="1"/>
  <c r="D41" i="2" s="1"/>
  <c r="C64" i="2"/>
  <c r="J64" i="2" s="1"/>
  <c r="E75" i="9"/>
  <c r="M71" i="1"/>
  <c r="AK74" i="9"/>
  <c r="AL53" i="9"/>
  <c r="J37" i="1"/>
  <c r="D63" i="9"/>
  <c r="K7" i="2"/>
  <c r="Q7" i="2" s="1"/>
  <c r="K24" i="2"/>
  <c r="Q24" i="2" s="1"/>
  <c r="P40" i="2" l="1"/>
  <c r="F45" i="1"/>
  <c r="AH57" i="26" s="1"/>
  <c r="O57" i="26" s="1"/>
  <c r="D67" i="26" s="1"/>
  <c r="J44" i="23" s="1"/>
  <c r="S44" i="23" s="1"/>
  <c r="P57" i="26"/>
  <c r="AA84" i="9"/>
  <c r="AI83" i="9"/>
  <c r="AE84" i="26"/>
  <c r="AD84" i="26"/>
  <c r="AC84" i="26"/>
  <c r="AN75" i="9"/>
  <c r="AG84" i="26"/>
  <c r="AF84" i="26"/>
  <c r="N83" i="26"/>
  <c r="I39" i="2"/>
  <c r="G41" i="4" s="1"/>
  <c r="AA39" i="16" s="1"/>
  <c r="AB39" i="16" s="1"/>
  <c r="AD37" i="16"/>
  <c r="AE37" i="16" s="1"/>
  <c r="O40" i="23"/>
  <c r="N41" i="23"/>
  <c r="O41" i="23" s="1"/>
  <c r="E43" i="4"/>
  <c r="F41" i="2"/>
  <c r="K46" i="23" s="1"/>
  <c r="H40" i="2"/>
  <c r="E46" i="1" s="1"/>
  <c r="U46" i="1" s="1"/>
  <c r="T46" i="1" s="1"/>
  <c r="S46" i="1" s="1"/>
  <c r="I26" i="4"/>
  <c r="O24" i="2" s="1"/>
  <c r="I9" i="4"/>
  <c r="O7" i="2" s="1"/>
  <c r="R39" i="16"/>
  <c r="T38" i="16"/>
  <c r="AC38" i="16" s="1"/>
  <c r="Z66" i="16"/>
  <c r="Y67" i="16"/>
  <c r="W69" i="16"/>
  <c r="X68" i="16"/>
  <c r="S68" i="16"/>
  <c r="Q66" i="16"/>
  <c r="O67" i="16"/>
  <c r="C67" i="16"/>
  <c r="D66" i="16"/>
  <c r="H67" i="16"/>
  <c r="G68" i="16"/>
  <c r="M67" i="16"/>
  <c r="V65" i="16"/>
  <c r="U66" i="16"/>
  <c r="E68" i="16"/>
  <c r="F67" i="16"/>
  <c r="K48" i="1"/>
  <c r="D42" i="2" s="1"/>
  <c r="P39" i="16"/>
  <c r="N41" i="16"/>
  <c r="E76" i="9"/>
  <c r="M72" i="1"/>
  <c r="AK75" i="9"/>
  <c r="C65" i="2"/>
  <c r="J65" i="2" s="1"/>
  <c r="AL54" i="9"/>
  <c r="J38" i="1"/>
  <c r="D64" i="9"/>
  <c r="K25" i="2"/>
  <c r="Q25" i="2" s="1"/>
  <c r="P41" i="2" l="1"/>
  <c r="F46" i="1"/>
  <c r="AH58" i="26" s="1"/>
  <c r="O58" i="26" s="1"/>
  <c r="D68" i="26" s="1"/>
  <c r="J45" i="23" s="1"/>
  <c r="S45" i="23" s="1"/>
  <c r="AA85" i="9"/>
  <c r="AI84" i="9"/>
  <c r="P40" i="23"/>
  <c r="P41" i="23"/>
  <c r="AC85" i="26"/>
  <c r="AE85" i="26"/>
  <c r="AD85" i="26"/>
  <c r="AN76" i="9"/>
  <c r="AG85" i="26"/>
  <c r="AF85" i="26"/>
  <c r="N84" i="26"/>
  <c r="I40" i="2"/>
  <c r="G42" i="4" s="1"/>
  <c r="AA40" i="16" s="1"/>
  <c r="AB40" i="16" s="1"/>
  <c r="N42" i="23"/>
  <c r="AD38" i="16"/>
  <c r="AE38" i="16" s="1"/>
  <c r="E44" i="4"/>
  <c r="F42" i="2"/>
  <c r="K47" i="23" s="1"/>
  <c r="H41" i="2"/>
  <c r="E47" i="1" s="1"/>
  <c r="U47" i="1" s="1"/>
  <c r="T47" i="1" s="1"/>
  <c r="S47" i="1" s="1"/>
  <c r="I27" i="4"/>
  <c r="O25" i="2" s="1"/>
  <c r="T39" i="16"/>
  <c r="AC39" i="16" s="1"/>
  <c r="R40" i="16"/>
  <c r="Y68" i="16"/>
  <c r="Z67" i="16"/>
  <c r="X69" i="16"/>
  <c r="W70" i="16"/>
  <c r="D67" i="16"/>
  <c r="C68" i="16"/>
  <c r="M68" i="16"/>
  <c r="H68" i="16"/>
  <c r="G69" i="16"/>
  <c r="O68" i="16"/>
  <c r="Q67" i="16"/>
  <c r="S69" i="16"/>
  <c r="F68" i="16"/>
  <c r="E69" i="16"/>
  <c r="U67" i="16"/>
  <c r="V66" i="16"/>
  <c r="N42" i="16"/>
  <c r="P40" i="16"/>
  <c r="K49" i="1"/>
  <c r="D43" i="2" s="1"/>
  <c r="E77" i="9"/>
  <c r="M73" i="1"/>
  <c r="AK76" i="9"/>
  <c r="C66" i="2"/>
  <c r="J66" i="2" s="1"/>
  <c r="J39" i="1"/>
  <c r="AL55" i="9"/>
  <c r="D65" i="9"/>
  <c r="K26" i="2"/>
  <c r="Q26" i="2" s="1"/>
  <c r="P42" i="2" l="1"/>
  <c r="P58" i="26"/>
  <c r="F47" i="1"/>
  <c r="AH59" i="26" s="1"/>
  <c r="O59" i="26" s="1"/>
  <c r="D69" i="26" s="1"/>
  <c r="J46" i="23" s="1"/>
  <c r="S46" i="23" s="1"/>
  <c r="AA86" i="9"/>
  <c r="AI85" i="9"/>
  <c r="N85" i="26"/>
  <c r="AD86" i="26"/>
  <c r="AE86" i="26"/>
  <c r="AC86" i="26"/>
  <c r="AN77" i="9"/>
  <c r="AG86" i="26"/>
  <c r="AF86" i="26"/>
  <c r="I41" i="2"/>
  <c r="G43" i="4" s="1"/>
  <c r="AA41" i="16" s="1"/>
  <c r="AB41" i="16" s="1"/>
  <c r="AC40" i="16"/>
  <c r="AD39" i="16"/>
  <c r="AE39" i="16" s="1"/>
  <c r="N43" i="23"/>
  <c r="O42" i="23"/>
  <c r="E45" i="4"/>
  <c r="F43" i="2"/>
  <c r="K48" i="23" s="1"/>
  <c r="H42" i="2"/>
  <c r="E48" i="1" s="1"/>
  <c r="U48" i="1" s="1"/>
  <c r="T48" i="1" s="1"/>
  <c r="S48" i="1" s="1"/>
  <c r="I28" i="4"/>
  <c r="O26" i="2" s="1"/>
  <c r="R41" i="16"/>
  <c r="T40" i="16"/>
  <c r="Y69" i="16"/>
  <c r="Z68" i="16"/>
  <c r="W71" i="16"/>
  <c r="X70" i="16"/>
  <c r="E70" i="16"/>
  <c r="F69" i="16"/>
  <c r="H69" i="16"/>
  <c r="G70" i="16"/>
  <c r="S70" i="16"/>
  <c r="Q68" i="16"/>
  <c r="O69" i="16"/>
  <c r="M69" i="16"/>
  <c r="C69" i="16"/>
  <c r="D68" i="16"/>
  <c r="U68" i="16"/>
  <c r="V67" i="16"/>
  <c r="K50" i="1"/>
  <c r="D44" i="2" s="1"/>
  <c r="P41" i="16"/>
  <c r="N43" i="16"/>
  <c r="E78" i="9"/>
  <c r="M74" i="1"/>
  <c r="AK77" i="9"/>
  <c r="C67" i="2"/>
  <c r="J67" i="2" s="1"/>
  <c r="AL56" i="9"/>
  <c r="J40" i="1"/>
  <c r="D66" i="9"/>
  <c r="K27" i="2"/>
  <c r="Q27" i="2" s="1"/>
  <c r="P43" i="2" l="1"/>
  <c r="P59" i="26"/>
  <c r="F48" i="1"/>
  <c r="AH60" i="26" s="1"/>
  <c r="O60" i="26" s="1"/>
  <c r="D70" i="26" s="1"/>
  <c r="J47" i="23" s="1"/>
  <c r="S47" i="23" s="1"/>
  <c r="AA87" i="9"/>
  <c r="AI86" i="9"/>
  <c r="P42" i="23"/>
  <c r="AC87" i="26"/>
  <c r="AD87" i="26"/>
  <c r="AE87" i="26"/>
  <c r="AN78" i="9"/>
  <c r="AF87" i="26"/>
  <c r="AG87" i="26"/>
  <c r="N86" i="26"/>
  <c r="I42" i="2"/>
  <c r="G44" i="4" s="1"/>
  <c r="AA42" i="16" s="1"/>
  <c r="AB42" i="16" s="1"/>
  <c r="O43" i="23"/>
  <c r="N44" i="23"/>
  <c r="O44" i="23" s="1"/>
  <c r="AD40" i="16"/>
  <c r="AE40" i="16" s="1"/>
  <c r="E46" i="4"/>
  <c r="F44" i="2"/>
  <c r="K49" i="23" s="1"/>
  <c r="H43" i="2"/>
  <c r="E49" i="1" s="1"/>
  <c r="U49" i="1" s="1"/>
  <c r="T49" i="1" s="1"/>
  <c r="S49" i="1" s="1"/>
  <c r="I29" i="4"/>
  <c r="O27" i="2" s="1"/>
  <c r="T41" i="16"/>
  <c r="AC41" i="16" s="1"/>
  <c r="R42" i="16"/>
  <c r="Z69" i="16"/>
  <c r="Y70" i="16"/>
  <c r="X71" i="16"/>
  <c r="W72" i="16"/>
  <c r="D69" i="16"/>
  <c r="C70" i="16"/>
  <c r="O70" i="16"/>
  <c r="Q69" i="16"/>
  <c r="G71" i="16"/>
  <c r="H70" i="16"/>
  <c r="M70" i="16"/>
  <c r="S71" i="16"/>
  <c r="V68" i="16"/>
  <c r="U69" i="16"/>
  <c r="E71" i="16"/>
  <c r="F70" i="16"/>
  <c r="P42" i="16"/>
  <c r="N44" i="16"/>
  <c r="K51" i="1"/>
  <c r="D45" i="2" s="1"/>
  <c r="C68" i="2"/>
  <c r="J68" i="2" s="1"/>
  <c r="E79" i="9"/>
  <c r="M75" i="1"/>
  <c r="AK78" i="9"/>
  <c r="J41" i="1"/>
  <c r="AL57" i="9"/>
  <c r="D67" i="9"/>
  <c r="K28" i="2"/>
  <c r="Q28" i="2" s="1"/>
  <c r="P60" i="26" l="1"/>
  <c r="P44" i="2"/>
  <c r="F49" i="1"/>
  <c r="AH61" i="26" s="1"/>
  <c r="O61" i="26" s="1"/>
  <c r="D71" i="26" s="1"/>
  <c r="J48" i="23" s="1"/>
  <c r="S48" i="23" s="1"/>
  <c r="P61" i="26"/>
  <c r="AA88" i="9"/>
  <c r="AI87" i="9"/>
  <c r="P43" i="23"/>
  <c r="P44" i="23"/>
  <c r="AE88" i="26"/>
  <c r="AC88" i="26"/>
  <c r="AD88" i="26"/>
  <c r="AN79" i="9"/>
  <c r="AG88" i="26"/>
  <c r="AF88" i="26"/>
  <c r="N87" i="26"/>
  <c r="I43" i="2"/>
  <c r="G45" i="4" s="1"/>
  <c r="AA43" i="16" s="1"/>
  <c r="AB43" i="16" s="1"/>
  <c r="AC42" i="16"/>
  <c r="AD41" i="16"/>
  <c r="AE41" i="16" s="1"/>
  <c r="N45" i="23"/>
  <c r="O45" i="23" s="1"/>
  <c r="E47" i="4"/>
  <c r="F45" i="2"/>
  <c r="K50" i="23" s="1"/>
  <c r="H44" i="2"/>
  <c r="E50" i="1" s="1"/>
  <c r="U50" i="1" s="1"/>
  <c r="T50" i="1" s="1"/>
  <c r="S50" i="1" s="1"/>
  <c r="I30" i="4"/>
  <c r="O28" i="2" s="1"/>
  <c r="R43" i="16"/>
  <c r="T42" i="16"/>
  <c r="K29" i="2"/>
  <c r="Q29" i="2" s="1"/>
  <c r="Z70" i="16"/>
  <c r="Y71" i="16"/>
  <c r="X72" i="16"/>
  <c r="W73" i="16"/>
  <c r="S72" i="16"/>
  <c r="Q70" i="16"/>
  <c r="O71" i="16"/>
  <c r="U70" i="16"/>
  <c r="V69" i="16"/>
  <c r="D70" i="16"/>
  <c r="C71" i="16"/>
  <c r="M71" i="16"/>
  <c r="G72" i="16"/>
  <c r="H71" i="16"/>
  <c r="E72" i="16"/>
  <c r="F71" i="16"/>
  <c r="N45" i="16"/>
  <c r="P43" i="16"/>
  <c r="K52" i="1"/>
  <c r="D46" i="2" s="1"/>
  <c r="C69" i="2"/>
  <c r="J69" i="2" s="1"/>
  <c r="E80" i="9"/>
  <c r="M76" i="1"/>
  <c r="AK79" i="9"/>
  <c r="AL58" i="9"/>
  <c r="J42" i="1"/>
  <c r="D68" i="9"/>
  <c r="P45" i="2" l="1"/>
  <c r="F50" i="1"/>
  <c r="AH62" i="26" s="1"/>
  <c r="O62" i="26" s="1"/>
  <c r="D72" i="26" s="1"/>
  <c r="J49" i="23" s="1"/>
  <c r="S49" i="23" s="1"/>
  <c r="AA89" i="9"/>
  <c r="AI88" i="9"/>
  <c r="P45" i="23"/>
  <c r="N88" i="26"/>
  <c r="AD89" i="26"/>
  <c r="AE89" i="26"/>
  <c r="AC89" i="26"/>
  <c r="AN80" i="9"/>
  <c r="AF89" i="26"/>
  <c r="AG89" i="26"/>
  <c r="I44" i="2"/>
  <c r="G46" i="4" s="1"/>
  <c r="AA44" i="16" s="1"/>
  <c r="AB44" i="16" s="1"/>
  <c r="AD42" i="16"/>
  <c r="AE42" i="16" s="1"/>
  <c r="N46" i="23"/>
  <c r="O46" i="23" s="1"/>
  <c r="E48" i="4"/>
  <c r="F46" i="2"/>
  <c r="K51" i="23" s="1"/>
  <c r="H45" i="2"/>
  <c r="E51" i="1" s="1"/>
  <c r="U51" i="1" s="1"/>
  <c r="T51" i="1" s="1"/>
  <c r="S51" i="1" s="1"/>
  <c r="I31" i="4"/>
  <c r="O29" i="2" s="1"/>
  <c r="T43" i="16"/>
  <c r="AC43" i="16" s="1"/>
  <c r="R44" i="16"/>
  <c r="Y72" i="16"/>
  <c r="Z71" i="16"/>
  <c r="X73" i="16"/>
  <c r="W74" i="16"/>
  <c r="M72" i="16"/>
  <c r="D71" i="16"/>
  <c r="C72" i="16"/>
  <c r="H72" i="16"/>
  <c r="G73" i="16"/>
  <c r="V70" i="16"/>
  <c r="U71" i="16"/>
  <c r="F72" i="16"/>
  <c r="E73" i="16"/>
  <c r="O72" i="16"/>
  <c r="Q71" i="16"/>
  <c r="S73" i="16"/>
  <c r="K53" i="1"/>
  <c r="D47" i="2" s="1"/>
  <c r="P44" i="16"/>
  <c r="N46" i="16"/>
  <c r="E81" i="9"/>
  <c r="M77" i="1"/>
  <c r="AK80" i="9"/>
  <c r="C70" i="2"/>
  <c r="J70" i="2" s="1"/>
  <c r="J43" i="1"/>
  <c r="AL59" i="9"/>
  <c r="D69" i="9"/>
  <c r="K30" i="2"/>
  <c r="Q30" i="2" s="1"/>
  <c r="P62" i="26" l="1"/>
  <c r="P46" i="2"/>
  <c r="F51" i="1"/>
  <c r="AH63" i="26" s="1"/>
  <c r="O63" i="26" s="1"/>
  <c r="D73" i="26" s="1"/>
  <c r="J50" i="23" s="1"/>
  <c r="S50" i="23" s="1"/>
  <c r="P63" i="26"/>
  <c r="AA90" i="9"/>
  <c r="AI89" i="9"/>
  <c r="P46" i="23"/>
  <c r="N89" i="26"/>
  <c r="AC90" i="26"/>
  <c r="AE90" i="26"/>
  <c r="AD90" i="26"/>
  <c r="AN81" i="9"/>
  <c r="AG90" i="26"/>
  <c r="AF90" i="26"/>
  <c r="I45" i="2"/>
  <c r="G47" i="4" s="1"/>
  <c r="AA45" i="16" s="1"/>
  <c r="AB45" i="16" s="1"/>
  <c r="N47" i="23"/>
  <c r="O47" i="23" s="1"/>
  <c r="E49" i="4"/>
  <c r="F47" i="2"/>
  <c r="K52" i="23" s="1"/>
  <c r="H46" i="2"/>
  <c r="E52" i="1" s="1"/>
  <c r="U52" i="1" s="1"/>
  <c r="T52" i="1" s="1"/>
  <c r="S52" i="1" s="1"/>
  <c r="AD43" i="16"/>
  <c r="AE43" i="16" s="1"/>
  <c r="I32" i="4"/>
  <c r="O30" i="2" s="1"/>
  <c r="R45" i="16"/>
  <c r="T44" i="16"/>
  <c r="AC44" i="16" s="1"/>
  <c r="Z72" i="16"/>
  <c r="Y73" i="16"/>
  <c r="W75" i="16"/>
  <c r="X74" i="16"/>
  <c r="O73" i="16"/>
  <c r="F73" i="16"/>
  <c r="E74" i="16"/>
  <c r="Q72" i="16"/>
  <c r="V71" i="16"/>
  <c r="U72" i="16"/>
  <c r="S74" i="16"/>
  <c r="H73" i="16"/>
  <c r="G74" i="16"/>
  <c r="D72" i="16"/>
  <c r="C73" i="16"/>
  <c r="M73" i="16"/>
  <c r="P45" i="16"/>
  <c r="N47" i="16"/>
  <c r="K54" i="1"/>
  <c r="D48" i="2" s="1"/>
  <c r="E82" i="9"/>
  <c r="M78" i="1"/>
  <c r="AK81" i="9"/>
  <c r="C71" i="2"/>
  <c r="J71" i="2" s="1"/>
  <c r="AL60" i="9"/>
  <c r="J44" i="1"/>
  <c r="D70" i="9"/>
  <c r="K31" i="2"/>
  <c r="Q31" i="2" s="1"/>
  <c r="P47" i="2" l="1"/>
  <c r="F52" i="1"/>
  <c r="AH64" i="26" s="1"/>
  <c r="O64" i="26" s="1"/>
  <c r="D74" i="26" s="1"/>
  <c r="J51" i="23" s="1"/>
  <c r="S51" i="23" s="1"/>
  <c r="AA91" i="9"/>
  <c r="AI90" i="9"/>
  <c r="P47" i="23"/>
  <c r="AE91" i="26"/>
  <c r="AD91" i="26"/>
  <c r="AC91" i="26"/>
  <c r="AN82" i="9"/>
  <c r="AF91" i="26"/>
  <c r="AG91" i="26"/>
  <c r="N90" i="26"/>
  <c r="I46" i="2"/>
  <c r="G48" i="4" s="1"/>
  <c r="AA46" i="16" s="1"/>
  <c r="AB46" i="16" s="1"/>
  <c r="AD44" i="16"/>
  <c r="AE44" i="16" s="1"/>
  <c r="N48" i="23"/>
  <c r="O48" i="23" s="1"/>
  <c r="E50" i="4"/>
  <c r="F48" i="2"/>
  <c r="K53" i="23" s="1"/>
  <c r="H47" i="2"/>
  <c r="E53" i="1" s="1"/>
  <c r="U53" i="1" s="1"/>
  <c r="T53" i="1" s="1"/>
  <c r="S53" i="1" s="1"/>
  <c r="I33" i="4"/>
  <c r="O31" i="2" s="1"/>
  <c r="R46" i="16"/>
  <c r="T45" i="16"/>
  <c r="AC45" i="16" s="1"/>
  <c r="Z73" i="16"/>
  <c r="Y74" i="16"/>
  <c r="X75" i="16"/>
  <c r="W76" i="16"/>
  <c r="G75" i="16"/>
  <c r="H74" i="16"/>
  <c r="U73" i="16"/>
  <c r="V72" i="16"/>
  <c r="D73" i="16"/>
  <c r="C74" i="16"/>
  <c r="S75" i="16"/>
  <c r="M74" i="16"/>
  <c r="O74" i="16"/>
  <c r="Q73" i="16"/>
  <c r="F74" i="16"/>
  <c r="E75" i="16"/>
  <c r="K55" i="1"/>
  <c r="D49" i="2" s="1"/>
  <c r="N48" i="16"/>
  <c r="P46" i="16"/>
  <c r="C72" i="2"/>
  <c r="J72" i="2" s="1"/>
  <c r="E83" i="9"/>
  <c r="M79" i="1"/>
  <c r="AK82" i="9"/>
  <c r="AL61" i="9"/>
  <c r="J45" i="1"/>
  <c r="D71" i="9"/>
  <c r="K32" i="2"/>
  <c r="Q32" i="2" s="1"/>
  <c r="P64" i="26" l="1"/>
  <c r="P48" i="2"/>
  <c r="F53" i="1"/>
  <c r="AH65" i="26" s="1"/>
  <c r="O65" i="26" s="1"/>
  <c r="D75" i="26" s="1"/>
  <c r="J52" i="23" s="1"/>
  <c r="S52" i="23" s="1"/>
  <c r="AA92" i="9"/>
  <c r="AI91" i="9"/>
  <c r="P48" i="23"/>
  <c r="N91" i="26"/>
  <c r="AE92" i="26"/>
  <c r="AD92" i="26"/>
  <c r="AC92" i="26"/>
  <c r="AN83" i="9"/>
  <c r="AG92" i="26"/>
  <c r="AF92" i="26"/>
  <c r="I47" i="2"/>
  <c r="G49" i="4" s="1"/>
  <c r="AA47" i="16" s="1"/>
  <c r="AB47" i="16" s="1"/>
  <c r="AD45" i="16"/>
  <c r="AE45" i="16" s="1"/>
  <c r="N49" i="23"/>
  <c r="O49" i="23" s="1"/>
  <c r="E51" i="4"/>
  <c r="F49" i="2"/>
  <c r="K54" i="23" s="1"/>
  <c r="H48" i="2"/>
  <c r="E54" i="1" s="1"/>
  <c r="U54" i="1" s="1"/>
  <c r="T54" i="1" s="1"/>
  <c r="S54" i="1" s="1"/>
  <c r="I34" i="4"/>
  <c r="O32" i="2" s="1"/>
  <c r="T46" i="16"/>
  <c r="AC46" i="16" s="1"/>
  <c r="R47" i="16"/>
  <c r="Y75" i="16"/>
  <c r="Z74" i="16"/>
  <c r="W77" i="16"/>
  <c r="X76" i="16"/>
  <c r="O75" i="16"/>
  <c r="M75" i="16"/>
  <c r="S76" i="16"/>
  <c r="C75" i="16"/>
  <c r="D74" i="16"/>
  <c r="H75" i="16"/>
  <c r="G76" i="16"/>
  <c r="Q74" i="16"/>
  <c r="F75" i="16"/>
  <c r="E76" i="16"/>
  <c r="U74" i="16"/>
  <c r="V73" i="16"/>
  <c r="P47" i="16"/>
  <c r="N49" i="16"/>
  <c r="K56" i="1"/>
  <c r="D50" i="2" s="1"/>
  <c r="C73" i="2"/>
  <c r="J73" i="2" s="1"/>
  <c r="E84" i="9"/>
  <c r="M80" i="1"/>
  <c r="AK83" i="9"/>
  <c r="J46" i="1"/>
  <c r="AL62" i="9"/>
  <c r="D72" i="9"/>
  <c r="K33" i="2"/>
  <c r="Q33" i="2" s="1"/>
  <c r="P65" i="26" l="1"/>
  <c r="P49" i="2"/>
  <c r="F54" i="1"/>
  <c r="AH66" i="26" s="1"/>
  <c r="O66" i="26" s="1"/>
  <c r="D76" i="26" s="1"/>
  <c r="J53" i="23" s="1"/>
  <c r="S53" i="23" s="1"/>
  <c r="AA93" i="9"/>
  <c r="AI92" i="9"/>
  <c r="P49" i="23"/>
  <c r="N92" i="26"/>
  <c r="AE93" i="26"/>
  <c r="AD93" i="26"/>
  <c r="AC93" i="26"/>
  <c r="AN84" i="9"/>
  <c r="AG93" i="26"/>
  <c r="AF93" i="26"/>
  <c r="I48" i="2"/>
  <c r="G50" i="4" s="1"/>
  <c r="AA48" i="16" s="1"/>
  <c r="AB48" i="16" s="1"/>
  <c r="AD46" i="16"/>
  <c r="AE46" i="16" s="1"/>
  <c r="N50" i="23"/>
  <c r="H49" i="2"/>
  <c r="E55" i="1" s="1"/>
  <c r="U55" i="1" s="1"/>
  <c r="T55" i="1" s="1"/>
  <c r="S55" i="1" s="1"/>
  <c r="E52" i="4"/>
  <c r="F50" i="2"/>
  <c r="K55" i="23" s="1"/>
  <c r="I35" i="4"/>
  <c r="O33" i="2" s="1"/>
  <c r="R48" i="16"/>
  <c r="T47" i="16"/>
  <c r="AC47" i="16" s="1"/>
  <c r="Z75" i="16"/>
  <c r="Y76" i="16"/>
  <c r="X77" i="16"/>
  <c r="W78" i="16"/>
  <c r="G77" i="16"/>
  <c r="H76" i="16"/>
  <c r="Q75" i="16"/>
  <c r="S77" i="16"/>
  <c r="M76" i="16"/>
  <c r="E77" i="16"/>
  <c r="F76" i="16"/>
  <c r="D75" i="16"/>
  <c r="C76" i="16"/>
  <c r="O76" i="16"/>
  <c r="U75" i="16"/>
  <c r="V74" i="16"/>
  <c r="P48" i="16"/>
  <c r="K57" i="1"/>
  <c r="D51" i="2" s="1"/>
  <c r="N50" i="16"/>
  <c r="C74" i="2"/>
  <c r="J74" i="2" s="1"/>
  <c r="E85" i="9"/>
  <c r="M81" i="1"/>
  <c r="AK84" i="9"/>
  <c r="AL63" i="9"/>
  <c r="J47" i="1"/>
  <c r="D73" i="9"/>
  <c r="K34" i="2"/>
  <c r="Q34" i="2" s="1"/>
  <c r="P66" i="26" l="1"/>
  <c r="P50" i="2"/>
  <c r="F55" i="1"/>
  <c r="AH67" i="26" s="1"/>
  <c r="O67" i="26" s="1"/>
  <c r="D77" i="26" s="1"/>
  <c r="J54" i="23" s="1"/>
  <c r="S54" i="23" s="1"/>
  <c r="AA94" i="9"/>
  <c r="AI93" i="9"/>
  <c r="N93" i="26"/>
  <c r="AD94" i="26"/>
  <c r="AE94" i="26"/>
  <c r="AC94" i="26"/>
  <c r="AN85" i="9"/>
  <c r="AG94" i="26"/>
  <c r="AF94" i="26"/>
  <c r="I49" i="2"/>
  <c r="G51" i="4" s="1"/>
  <c r="AA49" i="16" s="1"/>
  <c r="AB49" i="16" s="1"/>
  <c r="AC48" i="16"/>
  <c r="AD47" i="16"/>
  <c r="AE47" i="16" s="1"/>
  <c r="O50" i="23"/>
  <c r="N51" i="23"/>
  <c r="O51" i="23" s="1"/>
  <c r="E53" i="4"/>
  <c r="F51" i="2"/>
  <c r="K56" i="23" s="1"/>
  <c r="H50" i="2"/>
  <c r="E56" i="1" s="1"/>
  <c r="U56" i="1" s="1"/>
  <c r="T56" i="1" s="1"/>
  <c r="S56" i="1" s="1"/>
  <c r="I36" i="4"/>
  <c r="O34" i="2" s="1"/>
  <c r="R49" i="16"/>
  <c r="T48" i="16"/>
  <c r="Z76" i="16"/>
  <c r="Y77" i="16"/>
  <c r="X78" i="16"/>
  <c r="W79" i="16"/>
  <c r="E78" i="16"/>
  <c r="F77" i="16"/>
  <c r="M77" i="16"/>
  <c r="S78" i="16"/>
  <c r="Q76" i="16"/>
  <c r="O77" i="16"/>
  <c r="C77" i="16"/>
  <c r="D76" i="16"/>
  <c r="G78" i="16"/>
  <c r="H77" i="16"/>
  <c r="U76" i="16"/>
  <c r="V75" i="16"/>
  <c r="K58" i="1"/>
  <c r="D52" i="2" s="1"/>
  <c r="N51" i="16"/>
  <c r="P49" i="16"/>
  <c r="C75" i="2"/>
  <c r="J75" i="2" s="1"/>
  <c r="E86" i="9"/>
  <c r="M82" i="1"/>
  <c r="AK85" i="9"/>
  <c r="J48" i="1"/>
  <c r="AL64" i="9"/>
  <c r="D74" i="9"/>
  <c r="K35" i="2"/>
  <c r="Q35" i="2" s="1"/>
  <c r="P67" i="26" l="1"/>
  <c r="P51" i="2"/>
  <c r="F56" i="1"/>
  <c r="AH68" i="26" s="1"/>
  <c r="O68" i="26" s="1"/>
  <c r="D78" i="26" s="1"/>
  <c r="J55" i="23" s="1"/>
  <c r="S55" i="23" s="1"/>
  <c r="AA95" i="9"/>
  <c r="AI94" i="9"/>
  <c r="P51" i="23"/>
  <c r="P50" i="23"/>
  <c r="N94" i="26"/>
  <c r="AC95" i="26"/>
  <c r="AD95" i="26"/>
  <c r="AE95" i="26"/>
  <c r="AN86" i="9"/>
  <c r="AG95" i="26"/>
  <c r="AF95" i="26"/>
  <c r="I50" i="2"/>
  <c r="G52" i="4" s="1"/>
  <c r="AA50" i="16" s="1"/>
  <c r="AB50" i="16" s="1"/>
  <c r="N52" i="23"/>
  <c r="O52" i="23" s="1"/>
  <c r="AD48" i="16"/>
  <c r="AE48" i="16" s="1"/>
  <c r="E54" i="4"/>
  <c r="F52" i="2"/>
  <c r="K57" i="23" s="1"/>
  <c r="H51" i="2"/>
  <c r="E57" i="1" s="1"/>
  <c r="U57" i="1" s="1"/>
  <c r="T57" i="1" s="1"/>
  <c r="S57" i="1" s="1"/>
  <c r="I37" i="4"/>
  <c r="O35" i="2" s="1"/>
  <c r="T49" i="16"/>
  <c r="AC49" i="16" s="1"/>
  <c r="R50" i="16"/>
  <c r="Y78" i="16"/>
  <c r="Z77" i="16"/>
  <c r="W80" i="16"/>
  <c r="X79" i="16"/>
  <c r="O78" i="16"/>
  <c r="M78" i="16"/>
  <c r="U77" i="16"/>
  <c r="V76" i="16"/>
  <c r="G79" i="16"/>
  <c r="H78" i="16"/>
  <c r="C78" i="16"/>
  <c r="D77" i="16"/>
  <c r="Q77" i="16"/>
  <c r="S79" i="16"/>
  <c r="F78" i="16"/>
  <c r="E79" i="16"/>
  <c r="P50" i="16"/>
  <c r="K59" i="1"/>
  <c r="D53" i="2" s="1"/>
  <c r="N52" i="16"/>
  <c r="C76" i="2"/>
  <c r="J76" i="2" s="1"/>
  <c r="E87" i="9"/>
  <c r="M83" i="1"/>
  <c r="AK86" i="9"/>
  <c r="AL65" i="9"/>
  <c r="J49" i="1"/>
  <c r="D75" i="9"/>
  <c r="K36" i="2"/>
  <c r="Q36" i="2" s="1"/>
  <c r="P68" i="26" l="1"/>
  <c r="P52" i="2"/>
  <c r="F57" i="1"/>
  <c r="AH69" i="26" s="1"/>
  <c r="O69" i="26" s="1"/>
  <c r="D79" i="26" s="1"/>
  <c r="J56" i="23" s="1"/>
  <c r="S56" i="23" s="1"/>
  <c r="AA96" i="9"/>
  <c r="AI95" i="9"/>
  <c r="P52" i="23"/>
  <c r="AC96" i="26"/>
  <c r="AD96" i="26"/>
  <c r="AE96" i="26"/>
  <c r="AN87" i="9"/>
  <c r="AG96" i="26"/>
  <c r="AF96" i="26"/>
  <c r="N95" i="26"/>
  <c r="I51" i="2"/>
  <c r="N53" i="23"/>
  <c r="O53" i="23" s="1"/>
  <c r="AD49" i="16"/>
  <c r="AE49" i="16" s="1"/>
  <c r="E55" i="4"/>
  <c r="F53" i="2"/>
  <c r="K58" i="23" s="1"/>
  <c r="H52" i="2"/>
  <c r="E58" i="1" s="1"/>
  <c r="U58" i="1" s="1"/>
  <c r="T58" i="1" s="1"/>
  <c r="S58" i="1" s="1"/>
  <c r="I38" i="4"/>
  <c r="O36" i="2" s="1"/>
  <c r="T50" i="16"/>
  <c r="AC50" i="16" s="1"/>
  <c r="R51" i="16"/>
  <c r="Y79" i="16"/>
  <c r="Z78" i="16"/>
  <c r="X80" i="16"/>
  <c r="W81" i="16"/>
  <c r="Q78" i="16"/>
  <c r="M79" i="16"/>
  <c r="D78" i="16"/>
  <c r="C79" i="16"/>
  <c r="U78" i="16"/>
  <c r="V77" i="16"/>
  <c r="O79" i="16"/>
  <c r="H79" i="16"/>
  <c r="G80" i="16"/>
  <c r="E80" i="16"/>
  <c r="F79" i="16"/>
  <c r="S80" i="16"/>
  <c r="K60" i="1"/>
  <c r="D54" i="2" s="1"/>
  <c r="N53" i="16"/>
  <c r="P51" i="16"/>
  <c r="C77" i="2"/>
  <c r="J77" i="2" s="1"/>
  <c r="E88" i="9"/>
  <c r="M84" i="1"/>
  <c r="AK87" i="9"/>
  <c r="J50" i="1"/>
  <c r="AL66" i="9"/>
  <c r="D76" i="9"/>
  <c r="K37" i="2"/>
  <c r="Q37" i="2" s="1"/>
  <c r="P69" i="26" l="1"/>
  <c r="G53" i="4"/>
  <c r="AA51" i="16" s="1"/>
  <c r="AB51" i="16" s="1"/>
  <c r="P53" i="2"/>
  <c r="F58" i="1"/>
  <c r="AH70" i="26" s="1"/>
  <c r="O70" i="26" s="1"/>
  <c r="D80" i="26" s="1"/>
  <c r="J57" i="23" s="1"/>
  <c r="S57" i="23" s="1"/>
  <c r="AA97" i="9"/>
  <c r="AI96" i="9"/>
  <c r="P53" i="23"/>
  <c r="AC97" i="26"/>
  <c r="AD97" i="26"/>
  <c r="AE97" i="26"/>
  <c r="AN88" i="9"/>
  <c r="AG97" i="26"/>
  <c r="AF97" i="26"/>
  <c r="N96" i="26"/>
  <c r="I52" i="2"/>
  <c r="G54" i="4" s="1"/>
  <c r="AA52" i="16" s="1"/>
  <c r="AB52" i="16" s="1"/>
  <c r="N54" i="23"/>
  <c r="O54" i="23" s="1"/>
  <c r="H53" i="2"/>
  <c r="E59" i="1" s="1"/>
  <c r="U59" i="1" s="1"/>
  <c r="T59" i="1" s="1"/>
  <c r="S59" i="1" s="1"/>
  <c r="AD50" i="16"/>
  <c r="AE50" i="16" s="1"/>
  <c r="E56" i="4"/>
  <c r="F54" i="2"/>
  <c r="K59" i="23" s="1"/>
  <c r="I39" i="4"/>
  <c r="O37" i="2" s="1"/>
  <c r="R52" i="16"/>
  <c r="T51" i="16"/>
  <c r="Z79" i="16"/>
  <c r="Y80" i="16"/>
  <c r="X81" i="16"/>
  <c r="W82" i="16"/>
  <c r="C80" i="16"/>
  <c r="D79" i="16"/>
  <c r="M80" i="16"/>
  <c r="S81" i="16"/>
  <c r="G81" i="16"/>
  <c r="H80" i="16"/>
  <c r="Q79" i="16"/>
  <c r="O80" i="16"/>
  <c r="V78" i="16"/>
  <c r="U79" i="16"/>
  <c r="E81" i="16"/>
  <c r="F80" i="16"/>
  <c r="N54" i="16"/>
  <c r="K61" i="1"/>
  <c r="D55" i="2" s="1"/>
  <c r="P52" i="16"/>
  <c r="C78" i="2"/>
  <c r="J78" i="2" s="1"/>
  <c r="E89" i="9"/>
  <c r="M85" i="1"/>
  <c r="AK88" i="9"/>
  <c r="AL67" i="9"/>
  <c r="J51" i="1"/>
  <c r="D77" i="9"/>
  <c r="K38" i="2"/>
  <c r="Q38" i="2" s="1"/>
  <c r="AC51" i="16" l="1"/>
  <c r="P54" i="2"/>
  <c r="P70" i="26"/>
  <c r="F59" i="1"/>
  <c r="AH71" i="26" s="1"/>
  <c r="O71" i="26" s="1"/>
  <c r="D81" i="26" s="1"/>
  <c r="J58" i="23" s="1"/>
  <c r="S58" i="23" s="1"/>
  <c r="AA98" i="9"/>
  <c r="AI97" i="9"/>
  <c r="P54" i="23"/>
  <c r="AC98" i="26"/>
  <c r="AE98" i="26"/>
  <c r="AD98" i="26"/>
  <c r="AN89" i="9"/>
  <c r="AG98" i="26"/>
  <c r="AF98" i="26"/>
  <c r="N97" i="26"/>
  <c r="I53" i="2"/>
  <c r="G55" i="4" s="1"/>
  <c r="AA53" i="16" s="1"/>
  <c r="AB53" i="16" s="1"/>
  <c r="N55" i="23"/>
  <c r="O55" i="23" s="1"/>
  <c r="E57" i="4"/>
  <c r="F55" i="2"/>
  <c r="K60" i="23" s="1"/>
  <c r="AD51" i="16"/>
  <c r="AE51" i="16" s="1"/>
  <c r="H54" i="2"/>
  <c r="E60" i="1" s="1"/>
  <c r="U60" i="1" s="1"/>
  <c r="T60" i="1" s="1"/>
  <c r="S60" i="1" s="1"/>
  <c r="I40" i="4"/>
  <c r="O38" i="2" s="1"/>
  <c r="T52" i="16"/>
  <c r="AC52" i="16" s="1"/>
  <c r="R53" i="16"/>
  <c r="Z80" i="16"/>
  <c r="Y81" i="16"/>
  <c r="W83" i="16"/>
  <c r="X82" i="16"/>
  <c r="O81" i="16"/>
  <c r="S82" i="16"/>
  <c r="V79" i="16"/>
  <c r="U80" i="16"/>
  <c r="Q80" i="16"/>
  <c r="H81" i="16"/>
  <c r="G82" i="16"/>
  <c r="E82" i="16"/>
  <c r="F81" i="16"/>
  <c r="M81" i="16"/>
  <c r="D80" i="16"/>
  <c r="C81" i="16"/>
  <c r="K62" i="1"/>
  <c r="D56" i="2" s="1"/>
  <c r="P53" i="16"/>
  <c r="N55" i="16"/>
  <c r="C79" i="2"/>
  <c r="J79" i="2" s="1"/>
  <c r="E90" i="9"/>
  <c r="M86" i="1"/>
  <c r="AK89" i="9"/>
  <c r="J52" i="1"/>
  <c r="AL68" i="9"/>
  <c r="D78" i="9"/>
  <c r="K39" i="2"/>
  <c r="Q39" i="2" s="1"/>
  <c r="P55" i="2" l="1"/>
  <c r="P71" i="26"/>
  <c r="F60" i="1"/>
  <c r="AH72" i="26" s="1"/>
  <c r="O72" i="26" s="1"/>
  <c r="D82" i="26" s="1"/>
  <c r="J59" i="23" s="1"/>
  <c r="S59" i="23" s="1"/>
  <c r="AA99" i="9"/>
  <c r="AI98" i="9"/>
  <c r="P55" i="23"/>
  <c r="AC99" i="26"/>
  <c r="AE99" i="26"/>
  <c r="AD99" i="26"/>
  <c r="AN90" i="9"/>
  <c r="AG99" i="26"/>
  <c r="AF99" i="26"/>
  <c r="N98" i="26"/>
  <c r="I54" i="2"/>
  <c r="G56" i="4" s="1"/>
  <c r="AA54" i="16" s="1"/>
  <c r="AB54" i="16" s="1"/>
  <c r="AD52" i="16"/>
  <c r="AE52" i="16" s="1"/>
  <c r="N56" i="23"/>
  <c r="E58" i="4"/>
  <c r="F56" i="2"/>
  <c r="K61" i="23" s="1"/>
  <c r="H55" i="2"/>
  <c r="E61" i="1" s="1"/>
  <c r="U61" i="1" s="1"/>
  <c r="T61" i="1" s="1"/>
  <c r="S61" i="1" s="1"/>
  <c r="I41" i="4"/>
  <c r="O39" i="2" s="1"/>
  <c r="R54" i="16"/>
  <c r="T53" i="16"/>
  <c r="AC53" i="16" s="1"/>
  <c r="Y82" i="16"/>
  <c r="Z81" i="16"/>
  <c r="W84" i="16"/>
  <c r="X83" i="16"/>
  <c r="U81" i="16"/>
  <c r="V80" i="16"/>
  <c r="C82" i="16"/>
  <c r="D81" i="16"/>
  <c r="E83" i="16"/>
  <c r="F82" i="16"/>
  <c r="Q81" i="16"/>
  <c r="O82" i="16"/>
  <c r="H82" i="16"/>
  <c r="G83" i="16"/>
  <c r="S83" i="16"/>
  <c r="M82" i="16"/>
  <c r="N56" i="16"/>
  <c r="P54" i="16"/>
  <c r="K63" i="1"/>
  <c r="D57" i="2" s="1"/>
  <c r="E91" i="9"/>
  <c r="M87" i="1"/>
  <c r="AK90" i="9"/>
  <c r="C80" i="2"/>
  <c r="J80" i="2" s="1"/>
  <c r="J53" i="1"/>
  <c r="AL69" i="9"/>
  <c r="D79" i="9"/>
  <c r="K40" i="2"/>
  <c r="Q40" i="2" s="1"/>
  <c r="P72" i="26" l="1"/>
  <c r="P56" i="2"/>
  <c r="F61" i="1"/>
  <c r="AH73" i="26" s="1"/>
  <c r="O73" i="26" s="1"/>
  <c r="D83" i="26" s="1"/>
  <c r="J60" i="23" s="1"/>
  <c r="S60" i="23" s="1"/>
  <c r="AA100" i="9"/>
  <c r="AI99" i="9"/>
  <c r="N99" i="26"/>
  <c r="AE100" i="26"/>
  <c r="AD100" i="26"/>
  <c r="AC100" i="26"/>
  <c r="AN91" i="9"/>
  <c r="AG100" i="26"/>
  <c r="AF100" i="26"/>
  <c r="I55" i="2"/>
  <c r="G57" i="4" s="1"/>
  <c r="AA55" i="16" s="1"/>
  <c r="AB55" i="16" s="1"/>
  <c r="AD53" i="16"/>
  <c r="AE53" i="16" s="1"/>
  <c r="O56" i="23"/>
  <c r="N57" i="23"/>
  <c r="O57" i="23" s="1"/>
  <c r="E59" i="4"/>
  <c r="F57" i="2"/>
  <c r="K62" i="23" s="1"/>
  <c r="H56" i="2"/>
  <c r="E62" i="1" s="1"/>
  <c r="U62" i="1" s="1"/>
  <c r="T62" i="1" s="1"/>
  <c r="S62" i="1" s="1"/>
  <c r="I42" i="4"/>
  <c r="O40" i="2" s="1"/>
  <c r="T54" i="16"/>
  <c r="AC54" i="16" s="1"/>
  <c r="R55" i="16"/>
  <c r="Y83" i="16"/>
  <c r="Z82" i="16"/>
  <c r="X84" i="16"/>
  <c r="W85" i="16"/>
  <c r="O83" i="16"/>
  <c r="E84" i="16"/>
  <c r="F83" i="16"/>
  <c r="G84" i="16"/>
  <c r="H83" i="16"/>
  <c r="S84" i="16"/>
  <c r="Q82" i="16"/>
  <c r="D82" i="16"/>
  <c r="C83" i="16"/>
  <c r="M83" i="16"/>
  <c r="U82" i="16"/>
  <c r="V81" i="16"/>
  <c r="K64" i="1"/>
  <c r="D58" i="2" s="1"/>
  <c r="P55" i="16"/>
  <c r="N57" i="16"/>
  <c r="C81" i="2"/>
  <c r="J81" i="2" s="1"/>
  <c r="E92" i="9"/>
  <c r="M88" i="1"/>
  <c r="AK91" i="9"/>
  <c r="J54" i="1"/>
  <c r="AL70" i="9"/>
  <c r="D80" i="9"/>
  <c r="K41" i="2"/>
  <c r="Q41" i="2" s="1"/>
  <c r="P57" i="2" l="1"/>
  <c r="P73" i="26"/>
  <c r="F62" i="1"/>
  <c r="AH74" i="26" s="1"/>
  <c r="O74" i="26" s="1"/>
  <c r="D84" i="26" s="1"/>
  <c r="J61" i="23" s="1"/>
  <c r="S61" i="23" s="1"/>
  <c r="AA101" i="9"/>
  <c r="AI100" i="9"/>
  <c r="P56" i="23"/>
  <c r="P57" i="23"/>
  <c r="N100" i="26"/>
  <c r="AC101" i="26"/>
  <c r="AE101" i="26"/>
  <c r="AD101" i="26"/>
  <c r="AN92" i="9"/>
  <c r="AG101" i="26"/>
  <c r="AF101" i="26"/>
  <c r="I56" i="2"/>
  <c r="G58" i="4" s="1"/>
  <c r="AA56" i="16" s="1"/>
  <c r="AB56" i="16" s="1"/>
  <c r="N58" i="23"/>
  <c r="O58" i="23" s="1"/>
  <c r="AD54" i="16"/>
  <c r="AE54" i="16" s="1"/>
  <c r="E60" i="4"/>
  <c r="F58" i="2"/>
  <c r="K63" i="23" s="1"/>
  <c r="H57" i="2"/>
  <c r="E63" i="1" s="1"/>
  <c r="U63" i="1" s="1"/>
  <c r="T63" i="1" s="1"/>
  <c r="S63" i="1" s="1"/>
  <c r="I43" i="4"/>
  <c r="O41" i="2" s="1"/>
  <c r="R56" i="16"/>
  <c r="T55" i="16"/>
  <c r="AC55" i="16" s="1"/>
  <c r="Z83" i="16"/>
  <c r="Y84" i="16"/>
  <c r="X85" i="16"/>
  <c r="W86" i="16"/>
  <c r="Q83" i="16"/>
  <c r="C84" i="16"/>
  <c r="D83" i="16"/>
  <c r="S85" i="16"/>
  <c r="G85" i="16"/>
  <c r="H84" i="16"/>
  <c r="M84" i="16"/>
  <c r="O84" i="16"/>
  <c r="F84" i="16"/>
  <c r="E85" i="16"/>
  <c r="V82" i="16"/>
  <c r="U83" i="16"/>
  <c r="K65" i="1"/>
  <c r="D59" i="2" s="1"/>
  <c r="N58" i="16"/>
  <c r="P56" i="16"/>
  <c r="E93" i="9"/>
  <c r="M89" i="1"/>
  <c r="AK92" i="9"/>
  <c r="C82" i="2"/>
  <c r="J82" i="2" s="1"/>
  <c r="J55" i="1"/>
  <c r="AL71" i="9"/>
  <c r="D81" i="9"/>
  <c r="K42" i="2"/>
  <c r="Q42" i="2" s="1"/>
  <c r="P74" i="26" l="1"/>
  <c r="P58" i="2"/>
  <c r="F63" i="1"/>
  <c r="AH75" i="26" s="1"/>
  <c r="O75" i="26" s="1"/>
  <c r="D85" i="26" s="1"/>
  <c r="J62" i="23" s="1"/>
  <c r="S62" i="23" s="1"/>
  <c r="AA102" i="9"/>
  <c r="AI101" i="9"/>
  <c r="AE102" i="26"/>
  <c r="AD102" i="26"/>
  <c r="AC102" i="26"/>
  <c r="AN93" i="9"/>
  <c r="AF102" i="26"/>
  <c r="AG102" i="26"/>
  <c r="N101" i="26"/>
  <c r="I57" i="2"/>
  <c r="G59" i="4" s="1"/>
  <c r="AA57" i="16" s="1"/>
  <c r="AB57" i="16" s="1"/>
  <c r="AC56" i="16"/>
  <c r="AD55" i="16"/>
  <c r="AE55" i="16" s="1"/>
  <c r="P58" i="23"/>
  <c r="N59" i="23"/>
  <c r="O59" i="23" s="1"/>
  <c r="H58" i="2"/>
  <c r="E64" i="1" s="1"/>
  <c r="U64" i="1" s="1"/>
  <c r="T64" i="1" s="1"/>
  <c r="S64" i="1" s="1"/>
  <c r="E61" i="4"/>
  <c r="F59" i="2"/>
  <c r="K64" i="23" s="1"/>
  <c r="I44" i="4"/>
  <c r="O42" i="2" s="1"/>
  <c r="R57" i="16"/>
  <c r="T56" i="16"/>
  <c r="Z84" i="16"/>
  <c r="Y85" i="16"/>
  <c r="W87" i="16"/>
  <c r="X86" i="16"/>
  <c r="F85" i="16"/>
  <c r="E86" i="16"/>
  <c r="M85" i="16"/>
  <c r="C85" i="16"/>
  <c r="D84" i="16"/>
  <c r="U84" i="16"/>
  <c r="V83" i="16"/>
  <c r="O85" i="16"/>
  <c r="H85" i="16"/>
  <c r="G86" i="16"/>
  <c r="S86" i="16"/>
  <c r="Q84" i="16"/>
  <c r="P57" i="16"/>
  <c r="N59" i="16"/>
  <c r="K66" i="1"/>
  <c r="D60" i="2" s="1"/>
  <c r="C83" i="2"/>
  <c r="J83" i="2" s="1"/>
  <c r="E94" i="9"/>
  <c r="M90" i="1"/>
  <c r="AK93" i="9"/>
  <c r="AL72" i="9"/>
  <c r="J56" i="1"/>
  <c r="D82" i="9"/>
  <c r="K43" i="2"/>
  <c r="Q43" i="2" s="1"/>
  <c r="P75" i="26" l="1"/>
  <c r="P59" i="2"/>
  <c r="F64" i="1"/>
  <c r="AH76" i="26" s="1"/>
  <c r="O76" i="26" s="1"/>
  <c r="D86" i="26" s="1"/>
  <c r="J63" i="23" s="1"/>
  <c r="S63" i="23" s="1"/>
  <c r="AA103" i="9"/>
  <c r="AI102" i="9"/>
  <c r="P59" i="23"/>
  <c r="AC103" i="26"/>
  <c r="AE103" i="26"/>
  <c r="AD103" i="26"/>
  <c r="AN94" i="9"/>
  <c r="AG103" i="26"/>
  <c r="AF103" i="26"/>
  <c r="N102" i="26"/>
  <c r="I58" i="2"/>
  <c r="G60" i="4" s="1"/>
  <c r="AA58" i="16" s="1"/>
  <c r="AB58" i="16" s="1"/>
  <c r="N60" i="23"/>
  <c r="O60" i="23" s="1"/>
  <c r="AD56" i="16"/>
  <c r="AE56" i="16" s="1"/>
  <c r="E62" i="4"/>
  <c r="F60" i="2"/>
  <c r="K65" i="23" s="1"/>
  <c r="H59" i="2"/>
  <c r="E65" i="1" s="1"/>
  <c r="U65" i="1" s="1"/>
  <c r="T65" i="1" s="1"/>
  <c r="S65" i="1" s="1"/>
  <c r="I45" i="4"/>
  <c r="O43" i="2" s="1"/>
  <c r="T57" i="16"/>
  <c r="AC57" i="16" s="1"/>
  <c r="R58" i="16"/>
  <c r="Z85" i="16"/>
  <c r="Y86" i="16"/>
  <c r="W88" i="16"/>
  <c r="X87" i="16"/>
  <c r="H86" i="16"/>
  <c r="G87" i="16"/>
  <c r="V84" i="16"/>
  <c r="U85" i="16"/>
  <c r="C86" i="16"/>
  <c r="D85" i="16"/>
  <c r="M86" i="16"/>
  <c r="Q85" i="16"/>
  <c r="E87" i="16"/>
  <c r="F86" i="16"/>
  <c r="S87" i="16"/>
  <c r="O86" i="16"/>
  <c r="K67" i="1"/>
  <c r="D61" i="2" s="1"/>
  <c r="N60" i="16"/>
  <c r="K45" i="2"/>
  <c r="Q45" i="2" s="1"/>
  <c r="P58" i="16"/>
  <c r="C84" i="2"/>
  <c r="J84" i="2" s="1"/>
  <c r="E95" i="9"/>
  <c r="M91" i="1"/>
  <c r="AK94" i="9"/>
  <c r="J57" i="1"/>
  <c r="AL73" i="9"/>
  <c r="D83" i="9"/>
  <c r="K44" i="2"/>
  <c r="Q44" i="2" s="1"/>
  <c r="P76" i="26" l="1"/>
  <c r="P60" i="2"/>
  <c r="F65" i="1"/>
  <c r="AH77" i="26" s="1"/>
  <c r="O77" i="26" s="1"/>
  <c r="D87" i="26" s="1"/>
  <c r="J64" i="23" s="1"/>
  <c r="S64" i="23" s="1"/>
  <c r="AA104" i="9"/>
  <c r="AI103" i="9"/>
  <c r="P60" i="23"/>
  <c r="AC104" i="26"/>
  <c r="AE104" i="26"/>
  <c r="AD104" i="26"/>
  <c r="AN95" i="9"/>
  <c r="AF104" i="26"/>
  <c r="AG104" i="26"/>
  <c r="N103" i="26"/>
  <c r="I59" i="2"/>
  <c r="N61" i="23"/>
  <c r="O61" i="23" s="1"/>
  <c r="E63" i="4"/>
  <c r="F61" i="2"/>
  <c r="K66" i="23" s="1"/>
  <c r="H60" i="2"/>
  <c r="E66" i="1" s="1"/>
  <c r="U66" i="1" s="1"/>
  <c r="T66" i="1" s="1"/>
  <c r="S66" i="1" s="1"/>
  <c r="AD57" i="16"/>
  <c r="AE57" i="16" s="1"/>
  <c r="I46" i="4"/>
  <c r="O44" i="2" s="1"/>
  <c r="I47" i="4"/>
  <c r="O45" i="2" s="1"/>
  <c r="R59" i="16"/>
  <c r="T58" i="16"/>
  <c r="AC58" i="16" s="1"/>
  <c r="Y87" i="16"/>
  <c r="Z86" i="16"/>
  <c r="W89" i="16"/>
  <c r="X88" i="16"/>
  <c r="F87" i="16"/>
  <c r="E88" i="16"/>
  <c r="M87" i="16"/>
  <c r="V85" i="16"/>
  <c r="U86" i="16"/>
  <c r="O87" i="16"/>
  <c r="S88" i="16"/>
  <c r="Q86" i="16"/>
  <c r="D86" i="16"/>
  <c r="C87" i="16"/>
  <c r="H87" i="16"/>
  <c r="G88" i="16"/>
  <c r="P59" i="16"/>
  <c r="N61" i="16"/>
  <c r="K68" i="1"/>
  <c r="D62" i="2" s="1"/>
  <c r="K46" i="2"/>
  <c r="Q46" i="2" s="1"/>
  <c r="E96" i="9"/>
  <c r="M92" i="1"/>
  <c r="AK95" i="9"/>
  <c r="C85" i="2"/>
  <c r="J85" i="2" s="1"/>
  <c r="AL74" i="9"/>
  <c r="J58" i="1"/>
  <c r="D84" i="9"/>
  <c r="P61" i="2" l="1"/>
  <c r="G61" i="4"/>
  <c r="AA59" i="16" s="1"/>
  <c r="AB59" i="16" s="1"/>
  <c r="P77" i="26"/>
  <c r="F66" i="1"/>
  <c r="AH78" i="26" s="1"/>
  <c r="O78" i="26" s="1"/>
  <c r="D88" i="26" s="1"/>
  <c r="J65" i="23" s="1"/>
  <c r="S65" i="23" s="1"/>
  <c r="AI104" i="9"/>
  <c r="AA105" i="9"/>
  <c r="P61" i="23"/>
  <c r="AD105" i="26"/>
  <c r="AC105" i="26"/>
  <c r="AE105" i="26"/>
  <c r="AN96" i="9"/>
  <c r="AG105" i="26"/>
  <c r="AF105" i="26"/>
  <c r="N104" i="26"/>
  <c r="I60" i="2"/>
  <c r="G62" i="4" s="1"/>
  <c r="AA60" i="16" s="1"/>
  <c r="AB60" i="16" s="1"/>
  <c r="AC59" i="16"/>
  <c r="AD58" i="16"/>
  <c r="AE58" i="16" s="1"/>
  <c r="N62" i="23"/>
  <c r="O62" i="23" s="1"/>
  <c r="E64" i="4"/>
  <c r="F62" i="2"/>
  <c r="K67" i="23" s="1"/>
  <c r="H61" i="2"/>
  <c r="E67" i="1" s="1"/>
  <c r="U67" i="1" s="1"/>
  <c r="T67" i="1" s="1"/>
  <c r="S67" i="1" s="1"/>
  <c r="I48" i="4"/>
  <c r="O46" i="2" s="1"/>
  <c r="R60" i="16"/>
  <c r="T59" i="16"/>
  <c r="Y88" i="16"/>
  <c r="Z87" i="16"/>
  <c r="X89" i="16"/>
  <c r="W90" i="16"/>
  <c r="Q87" i="16"/>
  <c r="S89" i="16"/>
  <c r="M88" i="16"/>
  <c r="G89" i="16"/>
  <c r="H88" i="16"/>
  <c r="D87" i="16"/>
  <c r="C88" i="16"/>
  <c r="O88" i="16"/>
  <c r="V86" i="16"/>
  <c r="U87" i="16"/>
  <c r="F88" i="16"/>
  <c r="E89" i="16"/>
  <c r="K69" i="1"/>
  <c r="D63" i="2" s="1"/>
  <c r="N62" i="16"/>
  <c r="P60" i="16"/>
  <c r="E97" i="9"/>
  <c r="M93" i="1"/>
  <c r="AK96" i="9"/>
  <c r="C86" i="2"/>
  <c r="J86" i="2" s="1"/>
  <c r="J59" i="1"/>
  <c r="AL75" i="9"/>
  <c r="D85" i="9"/>
  <c r="P62" i="2" l="1"/>
  <c r="F63" i="2"/>
  <c r="K68" i="23" s="1"/>
  <c r="P78" i="26"/>
  <c r="F67" i="1"/>
  <c r="AH79" i="26" s="1"/>
  <c r="O79" i="26" s="1"/>
  <c r="D89" i="26" s="1"/>
  <c r="J66" i="23" s="1"/>
  <c r="S66" i="23" s="1"/>
  <c r="P79" i="26"/>
  <c r="AI105" i="9"/>
  <c r="AA106" i="9"/>
  <c r="P62" i="23"/>
  <c r="AC106" i="26"/>
  <c r="AE106" i="26"/>
  <c r="AD106" i="26"/>
  <c r="AN97" i="9"/>
  <c r="AF106" i="26"/>
  <c r="AG106" i="26"/>
  <c r="N105" i="26"/>
  <c r="I61" i="2"/>
  <c r="G63" i="4" s="1"/>
  <c r="AA61" i="16" s="1"/>
  <c r="AB61" i="16" s="1"/>
  <c r="N63" i="23"/>
  <c r="O63" i="23" s="1"/>
  <c r="E65" i="4"/>
  <c r="H62" i="2"/>
  <c r="E68" i="1" s="1"/>
  <c r="U68" i="1" s="1"/>
  <c r="T68" i="1" s="1"/>
  <c r="S68" i="1" s="1"/>
  <c r="AD59" i="16"/>
  <c r="AE59" i="16" s="1"/>
  <c r="T60" i="16"/>
  <c r="AC60" i="16" s="1"/>
  <c r="R61" i="16"/>
  <c r="K47" i="2"/>
  <c r="Q47" i="2" s="1"/>
  <c r="Y89" i="16"/>
  <c r="Z88" i="16"/>
  <c r="W91" i="16"/>
  <c r="X90" i="16"/>
  <c r="O89" i="16"/>
  <c r="D88" i="16"/>
  <c r="C89" i="16"/>
  <c r="M89" i="16"/>
  <c r="G90" i="16"/>
  <c r="H89" i="16"/>
  <c r="E90" i="16"/>
  <c r="F89" i="16"/>
  <c r="S90" i="16"/>
  <c r="U88" i="16"/>
  <c r="V87" i="16"/>
  <c r="Q88" i="16"/>
  <c r="K70" i="1"/>
  <c r="D64" i="2" s="1"/>
  <c r="P61" i="16"/>
  <c r="N63" i="16"/>
  <c r="K48" i="2"/>
  <c r="Q48" i="2" s="1"/>
  <c r="C87" i="2"/>
  <c r="J87" i="2" s="1"/>
  <c r="E98" i="9"/>
  <c r="M94" i="1"/>
  <c r="AK97" i="9"/>
  <c r="AL76" i="9"/>
  <c r="J60" i="1"/>
  <c r="D86" i="9"/>
  <c r="P63" i="2" l="1"/>
  <c r="F68" i="1"/>
  <c r="AH80" i="26" s="1"/>
  <c r="AI106" i="9"/>
  <c r="AA107" i="9"/>
  <c r="P63" i="23"/>
  <c r="AE107" i="26"/>
  <c r="AD107" i="26"/>
  <c r="AC107" i="26"/>
  <c r="AN98" i="9"/>
  <c r="AF107" i="26"/>
  <c r="AG107" i="26"/>
  <c r="N106" i="26"/>
  <c r="I62" i="2"/>
  <c r="G64" i="4" s="1"/>
  <c r="AA62" i="16" s="1"/>
  <c r="AB62" i="16" s="1"/>
  <c r="N64" i="23"/>
  <c r="O64" i="23" s="1"/>
  <c r="AD60" i="16"/>
  <c r="AE60" i="16" s="1"/>
  <c r="E66" i="4"/>
  <c r="F64" i="2"/>
  <c r="K69" i="23" s="1"/>
  <c r="H63" i="2"/>
  <c r="E69" i="1" s="1"/>
  <c r="U69" i="1" s="1"/>
  <c r="T69" i="1" s="1"/>
  <c r="S69" i="1" s="1"/>
  <c r="I50" i="4"/>
  <c r="O48" i="2" s="1"/>
  <c r="I49" i="4"/>
  <c r="O47" i="2" s="1"/>
  <c r="T61" i="16"/>
  <c r="AC61" i="16" s="1"/>
  <c r="R62" i="16"/>
  <c r="Z89" i="16"/>
  <c r="Y90" i="16"/>
  <c r="X91" i="16"/>
  <c r="W92" i="16"/>
  <c r="C90" i="16"/>
  <c r="D89" i="16"/>
  <c r="V88" i="16"/>
  <c r="U89" i="16"/>
  <c r="E91" i="16"/>
  <c r="F90" i="16"/>
  <c r="H90" i="16"/>
  <c r="G91" i="16"/>
  <c r="M90" i="16"/>
  <c r="Q89" i="16"/>
  <c r="S91" i="16"/>
  <c r="O90" i="16"/>
  <c r="N64" i="16"/>
  <c r="P62" i="16"/>
  <c r="K71" i="1"/>
  <c r="D65" i="2" s="1"/>
  <c r="K49" i="2"/>
  <c r="Q49" i="2" s="1"/>
  <c r="C88" i="2"/>
  <c r="J88" i="2" s="1"/>
  <c r="E99" i="9"/>
  <c r="M95" i="1"/>
  <c r="AK98" i="9"/>
  <c r="AL77" i="9"/>
  <c r="J61" i="1"/>
  <c r="D87" i="9"/>
  <c r="P64" i="2" l="1"/>
  <c r="O80" i="26"/>
  <c r="D90" i="26" s="1"/>
  <c r="J67" i="23" s="1"/>
  <c r="N67" i="23" s="1"/>
  <c r="P80" i="26"/>
  <c r="AA108" i="9"/>
  <c r="AI107" i="9"/>
  <c r="N107" i="26"/>
  <c r="AD108" i="26"/>
  <c r="AE108" i="26"/>
  <c r="AC108" i="26"/>
  <c r="AN99" i="9"/>
  <c r="AG108" i="26"/>
  <c r="AF108" i="26"/>
  <c r="F69" i="1"/>
  <c r="AH81" i="26" s="1"/>
  <c r="I63" i="2"/>
  <c r="AD61" i="16"/>
  <c r="AE61" i="16" s="1"/>
  <c r="P64" i="23"/>
  <c r="N65" i="23"/>
  <c r="O65" i="23" s="1"/>
  <c r="E67" i="4"/>
  <c r="F65" i="2"/>
  <c r="K70" i="23" s="1"/>
  <c r="H64" i="2"/>
  <c r="E70" i="1" s="1"/>
  <c r="U70" i="1" s="1"/>
  <c r="T70" i="1" s="1"/>
  <c r="S70" i="1" s="1"/>
  <c r="I51" i="4"/>
  <c r="O49" i="2" s="1"/>
  <c r="R63" i="16"/>
  <c r="T62" i="16"/>
  <c r="AC62" i="16" s="1"/>
  <c r="Y91" i="16"/>
  <c r="Z90" i="16"/>
  <c r="X92" i="16"/>
  <c r="W93" i="16"/>
  <c r="F91" i="16"/>
  <c r="E92" i="16"/>
  <c r="Q90" i="16"/>
  <c r="M91" i="16"/>
  <c r="G92" i="16"/>
  <c r="H91" i="16"/>
  <c r="U90" i="16"/>
  <c r="V89" i="16"/>
  <c r="O91" i="16"/>
  <c r="S92" i="16"/>
  <c r="D90" i="16"/>
  <c r="C91" i="16"/>
  <c r="K72" i="1"/>
  <c r="D66" i="2" s="1"/>
  <c r="P63" i="16"/>
  <c r="N65" i="16"/>
  <c r="E100" i="9"/>
  <c r="M96" i="1"/>
  <c r="AK99" i="9"/>
  <c r="C89" i="2"/>
  <c r="J89" i="2" s="1"/>
  <c r="J62" i="1"/>
  <c r="AL78" i="9"/>
  <c r="D88" i="9"/>
  <c r="P65" i="2" l="1"/>
  <c r="G65" i="4"/>
  <c r="AA63" i="16" s="1"/>
  <c r="AB63" i="16" s="1"/>
  <c r="S67" i="23"/>
  <c r="J68" i="23"/>
  <c r="AI108" i="9"/>
  <c r="P65" i="23"/>
  <c r="N108" i="26"/>
  <c r="AE109" i="26"/>
  <c r="AD109" i="26"/>
  <c r="AC109" i="26"/>
  <c r="AN100" i="9"/>
  <c r="AF109" i="26"/>
  <c r="AG109" i="26"/>
  <c r="F70" i="1"/>
  <c r="AH82" i="26" s="1"/>
  <c r="O81" i="26"/>
  <c r="P81" i="26"/>
  <c r="I64" i="2"/>
  <c r="G66" i="4" s="1"/>
  <c r="AA64" i="16" s="1"/>
  <c r="AB64" i="16" s="1"/>
  <c r="N66" i="23"/>
  <c r="O66" i="23" s="1"/>
  <c r="AD62" i="16"/>
  <c r="AE62" i="16" s="1"/>
  <c r="E68" i="4"/>
  <c r="F66" i="2"/>
  <c r="K71" i="23" s="1"/>
  <c r="H65" i="2"/>
  <c r="E71" i="1" s="1"/>
  <c r="U71" i="1" s="1"/>
  <c r="T71" i="1" s="1"/>
  <c r="S71" i="1" s="1"/>
  <c r="T63" i="16"/>
  <c r="R64" i="16"/>
  <c r="Y92" i="16"/>
  <c r="Z91" i="16"/>
  <c r="X93" i="16"/>
  <c r="W94" i="16"/>
  <c r="O92" i="16"/>
  <c r="U91" i="16"/>
  <c r="V90" i="16"/>
  <c r="G93" i="16"/>
  <c r="H92" i="16"/>
  <c r="C92" i="16"/>
  <c r="D91" i="16"/>
  <c r="S93" i="16"/>
  <c r="M92" i="16"/>
  <c r="Q91" i="16"/>
  <c r="F92" i="16"/>
  <c r="E93" i="16"/>
  <c r="N66" i="16"/>
  <c r="P64" i="16"/>
  <c r="K51" i="2"/>
  <c r="Q51" i="2" s="1"/>
  <c r="K50" i="2"/>
  <c r="Q50" i="2" s="1"/>
  <c r="K73" i="1"/>
  <c r="D67" i="2" s="1"/>
  <c r="C90" i="2"/>
  <c r="J90" i="2" s="1"/>
  <c r="E101" i="9"/>
  <c r="M97" i="1"/>
  <c r="AK100" i="9"/>
  <c r="AL79" i="9"/>
  <c r="J63" i="1"/>
  <c r="D89" i="9"/>
  <c r="P66" i="2" l="1"/>
  <c r="AC63" i="16"/>
  <c r="AD63" i="16" s="1"/>
  <c r="AE63" i="16" s="1"/>
  <c r="J69" i="23"/>
  <c r="S68" i="23"/>
  <c r="P66" i="23"/>
  <c r="AE110" i="26"/>
  <c r="AD110" i="26"/>
  <c r="AC110" i="26"/>
  <c r="AN101" i="9"/>
  <c r="AG110" i="26"/>
  <c r="AF110" i="26"/>
  <c r="N109" i="26"/>
  <c r="F71" i="1"/>
  <c r="AH83" i="26" s="1"/>
  <c r="O82" i="26"/>
  <c r="P82" i="26"/>
  <c r="I65" i="2"/>
  <c r="E69" i="4"/>
  <c r="F67" i="2"/>
  <c r="K72" i="23" s="1"/>
  <c r="H66" i="2"/>
  <c r="E72" i="1" s="1"/>
  <c r="U72" i="1" s="1"/>
  <c r="T72" i="1" s="1"/>
  <c r="S72" i="1" s="1"/>
  <c r="I53" i="4"/>
  <c r="O51" i="2" s="1"/>
  <c r="I52" i="4"/>
  <c r="O50" i="2" s="1"/>
  <c r="T64" i="16"/>
  <c r="AC64" i="16" s="1"/>
  <c r="R65" i="16"/>
  <c r="Y93" i="16"/>
  <c r="Z92" i="16"/>
  <c r="W95" i="16"/>
  <c r="X94" i="16"/>
  <c r="M93" i="16"/>
  <c r="Q92" i="16"/>
  <c r="S94" i="16"/>
  <c r="D92" i="16"/>
  <c r="C93" i="16"/>
  <c r="F93" i="16"/>
  <c r="E94" i="16"/>
  <c r="H93" i="16"/>
  <c r="G94" i="16"/>
  <c r="V91" i="16"/>
  <c r="U92" i="16"/>
  <c r="O93" i="16"/>
  <c r="K74" i="1"/>
  <c r="D68" i="2" s="1"/>
  <c r="P65" i="16"/>
  <c r="N67" i="16"/>
  <c r="C91" i="2"/>
  <c r="J91" i="2" s="1"/>
  <c r="E102" i="9"/>
  <c r="M98" i="1"/>
  <c r="AK101" i="9"/>
  <c r="J64" i="1"/>
  <c r="AL80" i="9"/>
  <c r="D90" i="9"/>
  <c r="G67" i="4" l="1"/>
  <c r="AA65" i="16" s="1"/>
  <c r="AB65" i="16" s="1"/>
  <c r="P67" i="2"/>
  <c r="J70" i="23"/>
  <c r="S69" i="23"/>
  <c r="O67" i="23"/>
  <c r="P67" i="23" s="1"/>
  <c r="AD111" i="26"/>
  <c r="AE111" i="26"/>
  <c r="AC111" i="26"/>
  <c r="AN102" i="9"/>
  <c r="AG111" i="26"/>
  <c r="AF111" i="26"/>
  <c r="N110" i="26"/>
  <c r="F72" i="1"/>
  <c r="AH84" i="26" s="1"/>
  <c r="O83" i="26"/>
  <c r="P83" i="26"/>
  <c r="I66" i="2"/>
  <c r="G68" i="4" s="1"/>
  <c r="AA66" i="16" s="1"/>
  <c r="AB66" i="16" s="1"/>
  <c r="N68" i="23"/>
  <c r="AD64" i="16"/>
  <c r="AE64" i="16" s="1"/>
  <c r="H67" i="2"/>
  <c r="E73" i="1" s="1"/>
  <c r="U73" i="1" s="1"/>
  <c r="T73" i="1" s="1"/>
  <c r="S73" i="1" s="1"/>
  <c r="E70" i="4"/>
  <c r="F68" i="2"/>
  <c r="K73" i="23" s="1"/>
  <c r="R66" i="16"/>
  <c r="T65" i="16"/>
  <c r="Z93" i="16"/>
  <c r="Y94" i="16"/>
  <c r="X95" i="16"/>
  <c r="W96" i="16"/>
  <c r="O94" i="16"/>
  <c r="S95" i="16"/>
  <c r="H94" i="16"/>
  <c r="G95" i="16"/>
  <c r="E95" i="16"/>
  <c r="F94" i="16"/>
  <c r="D93" i="16"/>
  <c r="C94" i="16"/>
  <c r="Q93" i="16"/>
  <c r="U93" i="16"/>
  <c r="V92" i="16"/>
  <c r="M94" i="16"/>
  <c r="K52" i="2"/>
  <c r="Q52" i="2" s="1"/>
  <c r="K53" i="2"/>
  <c r="Q53" i="2" s="1"/>
  <c r="P66" i="16"/>
  <c r="K75" i="1"/>
  <c r="D69" i="2" s="1"/>
  <c r="N68" i="16"/>
  <c r="E103" i="9"/>
  <c r="M99" i="1"/>
  <c r="AK102" i="9"/>
  <c r="C92" i="2"/>
  <c r="J92" i="2" s="1"/>
  <c r="AL81" i="9"/>
  <c r="J65" i="1"/>
  <c r="D91" i="9"/>
  <c r="AC65" i="16" l="1"/>
  <c r="AD65" i="16" s="1"/>
  <c r="AE65" i="16" s="1"/>
  <c r="P68" i="2"/>
  <c r="J71" i="23"/>
  <c r="S70" i="23"/>
  <c r="AE112" i="26"/>
  <c r="AD112" i="26"/>
  <c r="AC112" i="26"/>
  <c r="AN103" i="9"/>
  <c r="AF112" i="26"/>
  <c r="AG112" i="26"/>
  <c r="N111" i="26"/>
  <c r="F73" i="1"/>
  <c r="AH85" i="26" s="1"/>
  <c r="P84" i="26"/>
  <c r="O84" i="26"/>
  <c r="O68" i="23"/>
  <c r="P68" i="23" s="1"/>
  <c r="I67" i="2"/>
  <c r="G69" i="4" s="1"/>
  <c r="AA67" i="16" s="1"/>
  <c r="AB67" i="16" s="1"/>
  <c r="N69" i="23"/>
  <c r="O69" i="23" s="1"/>
  <c r="P69" i="23" s="1"/>
  <c r="H68" i="2"/>
  <c r="E74" i="1" s="1"/>
  <c r="U74" i="1" s="1"/>
  <c r="T74" i="1" s="1"/>
  <c r="S74" i="1" s="1"/>
  <c r="E71" i="4"/>
  <c r="F69" i="2"/>
  <c r="K74" i="23" s="1"/>
  <c r="I55" i="4"/>
  <c r="O53" i="2" s="1"/>
  <c r="I54" i="4"/>
  <c r="O52" i="2" s="1"/>
  <c r="T66" i="16"/>
  <c r="AC66" i="16" s="1"/>
  <c r="R67" i="16"/>
  <c r="Y95" i="16"/>
  <c r="Z94" i="16"/>
  <c r="X96" i="16"/>
  <c r="W97" i="16"/>
  <c r="M95" i="16"/>
  <c r="V93" i="16"/>
  <c r="U94" i="16"/>
  <c r="E96" i="16"/>
  <c r="F95" i="16"/>
  <c r="H95" i="16"/>
  <c r="G96" i="16"/>
  <c r="S96" i="16"/>
  <c r="Q94" i="16"/>
  <c r="D94" i="16"/>
  <c r="C95" i="16"/>
  <c r="O95" i="16"/>
  <c r="P67" i="16"/>
  <c r="K76" i="1"/>
  <c r="D70" i="2" s="1"/>
  <c r="N69" i="16"/>
  <c r="E104" i="9"/>
  <c r="M100" i="1"/>
  <c r="AK103" i="9"/>
  <c r="C93" i="2"/>
  <c r="J93" i="2" s="1"/>
  <c r="J66" i="1"/>
  <c r="AL82" i="9"/>
  <c r="D92" i="9"/>
  <c r="P69" i="2" l="1"/>
  <c r="J72" i="23"/>
  <c r="S71" i="23"/>
  <c r="AC113" i="26"/>
  <c r="AE113" i="26"/>
  <c r="AD113" i="26"/>
  <c r="AN104" i="9"/>
  <c r="AG113" i="26"/>
  <c r="AF113" i="26"/>
  <c r="N112" i="26"/>
  <c r="F74" i="1"/>
  <c r="AH86" i="26" s="1"/>
  <c r="O85" i="26"/>
  <c r="P85" i="26"/>
  <c r="I68" i="2"/>
  <c r="G70" i="4" s="1"/>
  <c r="AA68" i="16" s="1"/>
  <c r="AB68" i="16" s="1"/>
  <c r="AD66" i="16"/>
  <c r="AE66" i="16" s="1"/>
  <c r="N70" i="23"/>
  <c r="O70" i="23" s="1"/>
  <c r="P70" i="23" s="1"/>
  <c r="E72" i="4"/>
  <c r="F70" i="2"/>
  <c r="K75" i="23" s="1"/>
  <c r="H69" i="2"/>
  <c r="E75" i="1" s="1"/>
  <c r="U75" i="1" s="1"/>
  <c r="T75" i="1" s="1"/>
  <c r="S75" i="1" s="1"/>
  <c r="T67" i="16"/>
  <c r="AC67" i="16" s="1"/>
  <c r="R68" i="16"/>
  <c r="K54" i="2"/>
  <c r="Q54" i="2" s="1"/>
  <c r="Y96" i="16"/>
  <c r="Z95" i="16"/>
  <c r="W98" i="16"/>
  <c r="X97" i="16"/>
  <c r="Q95" i="16"/>
  <c r="S97" i="16"/>
  <c r="H96" i="16"/>
  <c r="G97" i="16"/>
  <c r="V94" i="16"/>
  <c r="U95" i="16"/>
  <c r="O96" i="16"/>
  <c r="C96" i="16"/>
  <c r="D95" i="16"/>
  <c r="E97" i="16"/>
  <c r="F96" i="16"/>
  <c r="M96" i="16"/>
  <c r="N70" i="16"/>
  <c r="K77" i="1"/>
  <c r="D71" i="2" s="1"/>
  <c r="K55" i="2"/>
  <c r="Q55" i="2" s="1"/>
  <c r="P68" i="16"/>
  <c r="C94" i="2"/>
  <c r="J94" i="2" s="1"/>
  <c r="E105" i="9"/>
  <c r="M101" i="1"/>
  <c r="AK104" i="9"/>
  <c r="AL83" i="9"/>
  <c r="J67" i="1"/>
  <c r="D93" i="9"/>
  <c r="P70" i="2" l="1"/>
  <c r="J73" i="23"/>
  <c r="S72" i="23"/>
  <c r="AE114" i="26"/>
  <c r="AD114" i="26"/>
  <c r="AC114" i="26"/>
  <c r="AN105" i="9"/>
  <c r="AF114" i="26"/>
  <c r="AG114" i="26"/>
  <c r="N113" i="26"/>
  <c r="F75" i="1"/>
  <c r="AH87" i="26" s="1"/>
  <c r="P86" i="26"/>
  <c r="O86" i="26"/>
  <c r="I69" i="2"/>
  <c r="G71" i="4" s="1"/>
  <c r="AA69" i="16" s="1"/>
  <c r="AB69" i="16" s="1"/>
  <c r="N71" i="23"/>
  <c r="O71" i="23" s="1"/>
  <c r="P71" i="23" s="1"/>
  <c r="E73" i="4"/>
  <c r="F71" i="2"/>
  <c r="K76" i="23" s="1"/>
  <c r="H70" i="2"/>
  <c r="E76" i="1" s="1"/>
  <c r="U76" i="1" s="1"/>
  <c r="T76" i="1" s="1"/>
  <c r="S76" i="1" s="1"/>
  <c r="AD67" i="16"/>
  <c r="AE67" i="16" s="1"/>
  <c r="I57" i="4"/>
  <c r="O55" i="2" s="1"/>
  <c r="I56" i="4"/>
  <c r="O54" i="2" s="1"/>
  <c r="T68" i="16"/>
  <c r="AC68" i="16" s="1"/>
  <c r="R69" i="16"/>
  <c r="Z96" i="16"/>
  <c r="Y97" i="16"/>
  <c r="X98" i="16"/>
  <c r="W99" i="16"/>
  <c r="X99" i="16" s="1"/>
  <c r="M97" i="16"/>
  <c r="C97" i="16"/>
  <c r="D96" i="16"/>
  <c r="O97" i="16"/>
  <c r="Q96" i="16"/>
  <c r="F97" i="16"/>
  <c r="E98" i="16"/>
  <c r="V95" i="16"/>
  <c r="U96" i="16"/>
  <c r="G98" i="16"/>
  <c r="H97" i="16"/>
  <c r="S98" i="16"/>
  <c r="K56" i="2"/>
  <c r="Q56" i="2" s="1"/>
  <c r="K78" i="1"/>
  <c r="D72" i="2" s="1"/>
  <c r="P69" i="16"/>
  <c r="N71" i="16"/>
  <c r="C95" i="2"/>
  <c r="J95" i="2" s="1"/>
  <c r="E106" i="9"/>
  <c r="M102" i="1"/>
  <c r="AK105" i="9"/>
  <c r="J68" i="1"/>
  <c r="AL84" i="9"/>
  <c r="D94" i="9"/>
  <c r="P71" i="2" l="1"/>
  <c r="J74" i="23"/>
  <c r="S73" i="23"/>
  <c r="AC115" i="26"/>
  <c r="AE115" i="26"/>
  <c r="AD115" i="26"/>
  <c r="AN106" i="9"/>
  <c r="AG115" i="26"/>
  <c r="AF115" i="26"/>
  <c r="N114" i="26"/>
  <c r="F76" i="1"/>
  <c r="AH88" i="26" s="1"/>
  <c r="O87" i="26"/>
  <c r="P87" i="26"/>
  <c r="I70" i="2"/>
  <c r="G72" i="4" s="1"/>
  <c r="AA70" i="16" s="1"/>
  <c r="AB70" i="16" s="1"/>
  <c r="N72" i="23"/>
  <c r="O72" i="23" s="1"/>
  <c r="P72" i="23" s="1"/>
  <c r="E74" i="4"/>
  <c r="F72" i="2"/>
  <c r="K77" i="23" s="1"/>
  <c r="AD68" i="16"/>
  <c r="AE68" i="16" s="1"/>
  <c r="H71" i="2"/>
  <c r="E77" i="1" s="1"/>
  <c r="U77" i="1" s="1"/>
  <c r="T77" i="1" s="1"/>
  <c r="S77" i="1" s="1"/>
  <c r="I58" i="4"/>
  <c r="O56" i="2" s="1"/>
  <c r="T69" i="16"/>
  <c r="AC69" i="16" s="1"/>
  <c r="R70" i="16"/>
  <c r="Y98" i="16"/>
  <c r="Z97" i="16"/>
  <c r="S99" i="16"/>
  <c r="H98" i="16"/>
  <c r="G99" i="16"/>
  <c r="H99" i="16" s="1"/>
  <c r="U97" i="16"/>
  <c r="V96" i="16"/>
  <c r="Q97" i="16"/>
  <c r="C98" i="16"/>
  <c r="D97" i="16"/>
  <c r="O98" i="16"/>
  <c r="M98" i="16"/>
  <c r="F98" i="16"/>
  <c r="E99" i="16"/>
  <c r="F99" i="16" s="1"/>
  <c r="P70" i="16"/>
  <c r="K79" i="1"/>
  <c r="D73" i="2" s="1"/>
  <c r="N72" i="16"/>
  <c r="C96" i="2"/>
  <c r="J96" i="2" s="1"/>
  <c r="E107" i="9"/>
  <c r="M103" i="1"/>
  <c r="AK106" i="9"/>
  <c r="AL85" i="9"/>
  <c r="J69" i="1"/>
  <c r="D95" i="9"/>
  <c r="P72" i="2" l="1"/>
  <c r="J75" i="23"/>
  <c r="S74" i="23"/>
  <c r="AE116" i="26"/>
  <c r="AD116" i="26"/>
  <c r="AC116" i="26"/>
  <c r="AN107" i="9"/>
  <c r="AG116" i="26"/>
  <c r="AF116" i="26"/>
  <c r="N115" i="26"/>
  <c r="F77" i="1"/>
  <c r="AH89" i="26" s="1"/>
  <c r="P88" i="26"/>
  <c r="O88" i="26"/>
  <c r="I71" i="2"/>
  <c r="G73" i="4" s="1"/>
  <c r="AA71" i="16" s="1"/>
  <c r="AB71" i="16" s="1"/>
  <c r="AD69" i="16"/>
  <c r="AE69" i="16" s="1"/>
  <c r="N73" i="23"/>
  <c r="O73" i="23" s="1"/>
  <c r="P73" i="23" s="1"/>
  <c r="H72" i="2"/>
  <c r="E78" i="1" s="1"/>
  <c r="U78" i="1" s="1"/>
  <c r="T78" i="1" s="1"/>
  <c r="S78" i="1" s="1"/>
  <c r="E75" i="4"/>
  <c r="F73" i="2"/>
  <c r="K78" i="23" s="1"/>
  <c r="T70" i="16"/>
  <c r="AC70" i="16" s="1"/>
  <c r="R71" i="16"/>
  <c r="Z98" i="16"/>
  <c r="Y99" i="16"/>
  <c r="C99" i="16"/>
  <c r="D98" i="16"/>
  <c r="U98" i="16"/>
  <c r="V97" i="16"/>
  <c r="O99" i="16"/>
  <c r="M99" i="16"/>
  <c r="Q98" i="16"/>
  <c r="K57" i="2"/>
  <c r="Q57" i="2" s="1"/>
  <c r="K80" i="1"/>
  <c r="D74" i="2" s="1"/>
  <c r="N73" i="16"/>
  <c r="P71" i="16"/>
  <c r="C97" i="2"/>
  <c r="J97" i="2" s="1"/>
  <c r="E108" i="9"/>
  <c r="M104" i="1"/>
  <c r="AK107" i="9"/>
  <c r="J70" i="1"/>
  <c r="AL86" i="9"/>
  <c r="D96" i="9"/>
  <c r="P73" i="2" l="1"/>
  <c r="S75" i="23"/>
  <c r="J76" i="23"/>
  <c r="AD117" i="26"/>
  <c r="AE117" i="26"/>
  <c r="AC117" i="26"/>
  <c r="AN108" i="9"/>
  <c r="AG117" i="26"/>
  <c r="AF117" i="26"/>
  <c r="N116" i="26"/>
  <c r="F78" i="1"/>
  <c r="AH90" i="26" s="1"/>
  <c r="O89" i="26"/>
  <c r="P89" i="26"/>
  <c r="I72" i="2"/>
  <c r="G74" i="4" s="1"/>
  <c r="AA72" i="16" s="1"/>
  <c r="AB72" i="16" s="1"/>
  <c r="AD70" i="16"/>
  <c r="AE70" i="16" s="1"/>
  <c r="N74" i="23"/>
  <c r="O74" i="23" s="1"/>
  <c r="P74" i="23" s="1"/>
  <c r="H73" i="2"/>
  <c r="E79" i="1" s="1"/>
  <c r="U79" i="1" s="1"/>
  <c r="T79" i="1" s="1"/>
  <c r="S79" i="1" s="1"/>
  <c r="E76" i="4"/>
  <c r="F74" i="2"/>
  <c r="K79" i="23" s="1"/>
  <c r="Z99" i="16"/>
  <c r="I59" i="4"/>
  <c r="O57" i="2" s="1"/>
  <c r="T71" i="16"/>
  <c r="AC71" i="16" s="1"/>
  <c r="R72" i="16"/>
  <c r="D99" i="16"/>
  <c r="Q99" i="16"/>
  <c r="V98" i="16"/>
  <c r="U99" i="16"/>
  <c r="V99" i="16" s="1"/>
  <c r="P72" i="16"/>
  <c r="K59" i="2"/>
  <c r="Q59" i="2" s="1"/>
  <c r="K81" i="1"/>
  <c r="D75" i="2" s="1"/>
  <c r="N74" i="16"/>
  <c r="M105" i="1"/>
  <c r="AK108" i="9"/>
  <c r="C98" i="2"/>
  <c r="J98" i="2" s="1"/>
  <c r="J71" i="1"/>
  <c r="AL87" i="9"/>
  <c r="D97" i="9"/>
  <c r="K58" i="2"/>
  <c r="Q58" i="2" s="1"/>
  <c r="P74" i="2" l="1"/>
  <c r="J77" i="23"/>
  <c r="S76" i="23"/>
  <c r="N117" i="26"/>
  <c r="F79" i="1"/>
  <c r="AH91" i="26" s="1"/>
  <c r="P90" i="26"/>
  <c r="O90" i="26"/>
  <c r="I73" i="2"/>
  <c r="G75" i="4" s="1"/>
  <c r="AA73" i="16" s="1"/>
  <c r="AB73" i="16" s="1"/>
  <c r="N75" i="23"/>
  <c r="O75" i="23" s="1"/>
  <c r="P75" i="23" s="1"/>
  <c r="AD71" i="16"/>
  <c r="AE71" i="16" s="1"/>
  <c r="H74" i="2"/>
  <c r="E80" i="1" s="1"/>
  <c r="U80" i="1" s="1"/>
  <c r="T80" i="1" s="1"/>
  <c r="S80" i="1" s="1"/>
  <c r="E77" i="4"/>
  <c r="F75" i="2"/>
  <c r="K80" i="23" s="1"/>
  <c r="I60" i="4"/>
  <c r="O58" i="2" s="1"/>
  <c r="I61" i="4"/>
  <c r="O59" i="2" s="1"/>
  <c r="R73" i="16"/>
  <c r="T72" i="16"/>
  <c r="AC72" i="16" s="1"/>
  <c r="N75" i="16"/>
  <c r="K82" i="1"/>
  <c r="D76" i="2" s="1"/>
  <c r="P73" i="16"/>
  <c r="C99" i="2"/>
  <c r="J99" i="2" s="1"/>
  <c r="AL88" i="9"/>
  <c r="J72" i="1"/>
  <c r="D98" i="9"/>
  <c r="P75" i="2" l="1"/>
  <c r="J78" i="23"/>
  <c r="S77" i="23"/>
  <c r="F80" i="1"/>
  <c r="AH92" i="26" s="1"/>
  <c r="O91" i="26"/>
  <c r="P91" i="26"/>
  <c r="I74" i="2"/>
  <c r="G76" i="4" s="1"/>
  <c r="AA74" i="16" s="1"/>
  <c r="AB74" i="16" s="1"/>
  <c r="AD72" i="16"/>
  <c r="AE72" i="16" s="1"/>
  <c r="N76" i="23"/>
  <c r="O76" i="23" s="1"/>
  <c r="P76" i="23" s="1"/>
  <c r="H75" i="2"/>
  <c r="E81" i="1" s="1"/>
  <c r="U81" i="1" s="1"/>
  <c r="T81" i="1" s="1"/>
  <c r="S81" i="1" s="1"/>
  <c r="E78" i="4"/>
  <c r="F76" i="2"/>
  <c r="K81" i="23" s="1"/>
  <c r="R74" i="16"/>
  <c r="T73" i="16"/>
  <c r="AC73" i="16" s="1"/>
  <c r="P74" i="16"/>
  <c r="K61" i="2"/>
  <c r="Q61" i="2" s="1"/>
  <c r="K83" i="1"/>
  <c r="D77" i="2" s="1"/>
  <c r="N76" i="16"/>
  <c r="J73" i="1"/>
  <c r="AL89" i="9"/>
  <c r="D99" i="9"/>
  <c r="K60" i="2"/>
  <c r="Q60" i="2" s="1"/>
  <c r="P76" i="2" l="1"/>
  <c r="J79" i="23"/>
  <c r="S78" i="23"/>
  <c r="F81" i="1"/>
  <c r="AH93" i="26" s="1"/>
  <c r="P92" i="26"/>
  <c r="O92" i="26"/>
  <c r="I75" i="2"/>
  <c r="G77" i="4" s="1"/>
  <c r="AA75" i="16" s="1"/>
  <c r="AB75" i="16" s="1"/>
  <c r="N77" i="23"/>
  <c r="O77" i="23" s="1"/>
  <c r="P77" i="23" s="1"/>
  <c r="H76" i="2"/>
  <c r="E82" i="1" s="1"/>
  <c r="U82" i="1" s="1"/>
  <c r="T82" i="1" s="1"/>
  <c r="S82" i="1" s="1"/>
  <c r="AD73" i="16"/>
  <c r="AE73" i="16" s="1"/>
  <c r="E79" i="4"/>
  <c r="F77" i="2"/>
  <c r="K82" i="23" s="1"/>
  <c r="I63" i="4"/>
  <c r="O61" i="2" s="1"/>
  <c r="I62" i="4"/>
  <c r="O60" i="2" s="1"/>
  <c r="R75" i="16"/>
  <c r="T74" i="16"/>
  <c r="AC74" i="16" s="1"/>
  <c r="K84" i="1"/>
  <c r="D78" i="2" s="1"/>
  <c r="K62" i="2"/>
  <c r="Q62" i="2" s="1"/>
  <c r="N77" i="16"/>
  <c r="P75" i="16"/>
  <c r="AL90" i="9"/>
  <c r="J74" i="1"/>
  <c r="D100" i="9"/>
  <c r="P77" i="2" l="1"/>
  <c r="J80" i="23"/>
  <c r="S79" i="23"/>
  <c r="F82" i="1"/>
  <c r="AH94" i="26" s="1"/>
  <c r="P93" i="26"/>
  <c r="O93" i="26"/>
  <c r="I76" i="2"/>
  <c r="G78" i="4" s="1"/>
  <c r="AA76" i="16" s="1"/>
  <c r="AB76" i="16" s="1"/>
  <c r="AD74" i="16"/>
  <c r="AE74" i="16" s="1"/>
  <c r="N78" i="23"/>
  <c r="O78" i="23" s="1"/>
  <c r="P78" i="23" s="1"/>
  <c r="H77" i="2"/>
  <c r="E83" i="1" s="1"/>
  <c r="U83" i="1" s="1"/>
  <c r="T83" i="1" s="1"/>
  <c r="S83" i="1" s="1"/>
  <c r="E80" i="4"/>
  <c r="F78" i="2"/>
  <c r="K83" i="23" s="1"/>
  <c r="I64" i="4"/>
  <c r="O62" i="2" s="1"/>
  <c r="R76" i="16"/>
  <c r="T75" i="16"/>
  <c r="AC75" i="16" s="1"/>
  <c r="P76" i="16"/>
  <c r="N78" i="16"/>
  <c r="K63" i="2"/>
  <c r="Q63" i="2" s="1"/>
  <c r="K85" i="1"/>
  <c r="D79" i="2" s="1"/>
  <c r="J75" i="1"/>
  <c r="AL91" i="9"/>
  <c r="D101" i="9"/>
  <c r="P78" i="2" l="1"/>
  <c r="J81" i="23"/>
  <c r="S80" i="23"/>
  <c r="F83" i="1"/>
  <c r="AH95" i="26" s="1"/>
  <c r="O94" i="26"/>
  <c r="P94" i="26"/>
  <c r="I77" i="2"/>
  <c r="G79" i="4" s="1"/>
  <c r="AA77" i="16" s="1"/>
  <c r="AB77" i="16" s="1"/>
  <c r="N79" i="23"/>
  <c r="O79" i="23" s="1"/>
  <c r="P79" i="23" s="1"/>
  <c r="E81" i="4"/>
  <c r="F79" i="2"/>
  <c r="K84" i="23" s="1"/>
  <c r="AD75" i="16"/>
  <c r="AE75" i="16" s="1"/>
  <c r="H78" i="2"/>
  <c r="E84" i="1" s="1"/>
  <c r="U84" i="1" s="1"/>
  <c r="T84" i="1" s="1"/>
  <c r="S84" i="1" s="1"/>
  <c r="I65" i="4"/>
  <c r="O63" i="2" s="1"/>
  <c r="R77" i="16"/>
  <c r="T76" i="16"/>
  <c r="AC76" i="16" s="1"/>
  <c r="P77" i="16"/>
  <c r="K86" i="1"/>
  <c r="D80" i="2" s="1"/>
  <c r="K64" i="2"/>
  <c r="Q64" i="2" s="1"/>
  <c r="N79" i="16"/>
  <c r="J76" i="1"/>
  <c r="AL92" i="9"/>
  <c r="D102" i="9"/>
  <c r="P79" i="2" l="1"/>
  <c r="J82" i="23"/>
  <c r="S81" i="23"/>
  <c r="F84" i="1"/>
  <c r="AH96" i="26" s="1"/>
  <c r="O95" i="26"/>
  <c r="P95" i="26"/>
  <c r="I78" i="2"/>
  <c r="G80" i="4" s="1"/>
  <c r="AA78" i="16" s="1"/>
  <c r="AB78" i="16" s="1"/>
  <c r="N80" i="23"/>
  <c r="O80" i="23" s="1"/>
  <c r="P80" i="23" s="1"/>
  <c r="AD76" i="16"/>
  <c r="AE76" i="16" s="1"/>
  <c r="H79" i="2"/>
  <c r="E85" i="1" s="1"/>
  <c r="U85" i="1" s="1"/>
  <c r="T85" i="1" s="1"/>
  <c r="S85" i="1" s="1"/>
  <c r="E82" i="4"/>
  <c r="F80" i="2"/>
  <c r="K85" i="23" s="1"/>
  <c r="I66" i="4"/>
  <c r="O64" i="2" s="1"/>
  <c r="R78" i="16"/>
  <c r="T77" i="16"/>
  <c r="AC77" i="16" s="1"/>
  <c r="N80" i="16"/>
  <c r="K65" i="2"/>
  <c r="Q65" i="2" s="1"/>
  <c r="P78" i="16"/>
  <c r="K87" i="1"/>
  <c r="D81" i="2" s="1"/>
  <c r="AL93" i="9"/>
  <c r="J77" i="1"/>
  <c r="D103" i="9"/>
  <c r="P80" i="2" l="1"/>
  <c r="S82" i="23"/>
  <c r="J83" i="23"/>
  <c r="F85" i="1"/>
  <c r="AH97" i="26" s="1"/>
  <c r="P96" i="26"/>
  <c r="O96" i="26"/>
  <c r="I79" i="2"/>
  <c r="G81" i="4" s="1"/>
  <c r="AA79" i="16" s="1"/>
  <c r="AB79" i="16" s="1"/>
  <c r="N81" i="23"/>
  <c r="O81" i="23" s="1"/>
  <c r="P81" i="23" s="1"/>
  <c r="AD77" i="16"/>
  <c r="AE77" i="16" s="1"/>
  <c r="E83" i="4"/>
  <c r="F81" i="2"/>
  <c r="K86" i="23" s="1"/>
  <c r="H80" i="2"/>
  <c r="E86" i="1" s="1"/>
  <c r="U86" i="1" s="1"/>
  <c r="T86" i="1" s="1"/>
  <c r="S86" i="1" s="1"/>
  <c r="I67" i="4"/>
  <c r="O65" i="2" s="1"/>
  <c r="R79" i="16"/>
  <c r="T78" i="16"/>
  <c r="AC78" i="16" s="1"/>
  <c r="P79" i="16"/>
  <c r="K88" i="1"/>
  <c r="D82" i="2" s="1"/>
  <c r="N81" i="16"/>
  <c r="J78" i="1"/>
  <c r="AL94" i="9"/>
  <c r="D104" i="9"/>
  <c r="P81" i="2" l="1"/>
  <c r="J84" i="23"/>
  <c r="S83" i="23"/>
  <c r="F86" i="1"/>
  <c r="AH98" i="26" s="1"/>
  <c r="P97" i="26"/>
  <c r="O97" i="26"/>
  <c r="I80" i="2"/>
  <c r="N82" i="23"/>
  <c r="O82" i="23" s="1"/>
  <c r="P82" i="23" s="1"/>
  <c r="AD78" i="16"/>
  <c r="AE78" i="16" s="1"/>
  <c r="E84" i="4"/>
  <c r="F82" i="2"/>
  <c r="K87" i="23" s="1"/>
  <c r="H81" i="2"/>
  <c r="E87" i="1" s="1"/>
  <c r="U87" i="1" s="1"/>
  <c r="T87" i="1" s="1"/>
  <c r="S87" i="1" s="1"/>
  <c r="T79" i="16"/>
  <c r="AC79" i="16" s="1"/>
  <c r="R80" i="16"/>
  <c r="K67" i="2"/>
  <c r="Q67" i="2" s="1"/>
  <c r="K89" i="1"/>
  <c r="D83" i="2" s="1"/>
  <c r="P80" i="16"/>
  <c r="N82" i="16"/>
  <c r="J79" i="1"/>
  <c r="AL95" i="9"/>
  <c r="D105" i="9"/>
  <c r="K66" i="2"/>
  <c r="Q66" i="2" s="1"/>
  <c r="G82" i="4" l="1"/>
  <c r="AA80" i="16" s="1"/>
  <c r="AB80" i="16" s="1"/>
  <c r="P82" i="2"/>
  <c r="S84" i="23"/>
  <c r="J85" i="23"/>
  <c r="F87" i="1"/>
  <c r="AH99" i="26" s="1"/>
  <c r="P98" i="26"/>
  <c r="O98" i="26"/>
  <c r="I81" i="2"/>
  <c r="N83" i="23"/>
  <c r="O83" i="23" s="1"/>
  <c r="P83" i="23" s="1"/>
  <c r="AD79" i="16"/>
  <c r="AE79" i="16" s="1"/>
  <c r="E85" i="4"/>
  <c r="F83" i="2"/>
  <c r="K88" i="23" s="1"/>
  <c r="H82" i="2"/>
  <c r="E88" i="1" s="1"/>
  <c r="U88" i="1" s="1"/>
  <c r="T88" i="1" s="1"/>
  <c r="S88" i="1" s="1"/>
  <c r="I68" i="4"/>
  <c r="O66" i="2" s="1"/>
  <c r="I69" i="4"/>
  <c r="O67" i="2" s="1"/>
  <c r="T80" i="16"/>
  <c r="AC80" i="16" s="1"/>
  <c r="R81" i="16"/>
  <c r="N83" i="16"/>
  <c r="P81" i="16"/>
  <c r="K90" i="1"/>
  <c r="D84" i="2" s="1"/>
  <c r="AL96" i="9"/>
  <c r="J80" i="1"/>
  <c r="D106" i="9"/>
  <c r="P83" i="2" l="1"/>
  <c r="G83" i="4"/>
  <c r="AA81" i="16" s="1"/>
  <c r="AB81" i="16" s="1"/>
  <c r="S85" i="23"/>
  <c r="J86" i="23"/>
  <c r="F88" i="1"/>
  <c r="AH100" i="26" s="1"/>
  <c r="P99" i="26"/>
  <c r="O99" i="26"/>
  <c r="I82" i="2"/>
  <c r="G84" i="4" s="1"/>
  <c r="AA82" i="16" s="1"/>
  <c r="AB82" i="16" s="1"/>
  <c r="N84" i="23"/>
  <c r="O84" i="23" s="1"/>
  <c r="P84" i="23" s="1"/>
  <c r="H83" i="2"/>
  <c r="E89" i="1" s="1"/>
  <c r="U89" i="1" s="1"/>
  <c r="T89" i="1" s="1"/>
  <c r="S89" i="1" s="1"/>
  <c r="AD80" i="16"/>
  <c r="AE80" i="16" s="1"/>
  <c r="E86" i="4"/>
  <c r="F84" i="2"/>
  <c r="K89" i="23" s="1"/>
  <c r="R82" i="16"/>
  <c r="T81" i="16"/>
  <c r="K68" i="2"/>
  <c r="Q68" i="2" s="1"/>
  <c r="K69" i="2"/>
  <c r="Q69" i="2" s="1"/>
  <c r="P82" i="16"/>
  <c r="K91" i="1"/>
  <c r="D85" i="2" s="1"/>
  <c r="N84" i="16"/>
  <c r="J81" i="1"/>
  <c r="AL97" i="9"/>
  <c r="D107" i="9"/>
  <c r="P84" i="2" l="1"/>
  <c r="AC81" i="16"/>
  <c r="S86" i="23"/>
  <c r="J87" i="23"/>
  <c r="F89" i="1"/>
  <c r="AH101" i="26" s="1"/>
  <c r="O100" i="26"/>
  <c r="P100" i="26"/>
  <c r="I83" i="2"/>
  <c r="N85" i="23"/>
  <c r="O85" i="23" s="1"/>
  <c r="P85" i="23" s="1"/>
  <c r="AD81" i="16"/>
  <c r="AE81" i="16" s="1"/>
  <c r="E87" i="4"/>
  <c r="F85" i="2"/>
  <c r="K90" i="23" s="1"/>
  <c r="H84" i="2"/>
  <c r="E90" i="1" s="1"/>
  <c r="U90" i="1" s="1"/>
  <c r="T90" i="1" s="1"/>
  <c r="S90" i="1" s="1"/>
  <c r="I70" i="4"/>
  <c r="O68" i="2" s="1"/>
  <c r="I71" i="4"/>
  <c r="O69" i="2" s="1"/>
  <c r="T82" i="16"/>
  <c r="AC82" i="16" s="1"/>
  <c r="R83" i="16"/>
  <c r="N85" i="16"/>
  <c r="K92" i="1"/>
  <c r="D86" i="2" s="1"/>
  <c r="P83" i="16"/>
  <c r="J82" i="1"/>
  <c r="AL98" i="9"/>
  <c r="D108" i="9"/>
  <c r="P85" i="2" l="1"/>
  <c r="G85" i="4"/>
  <c r="AA83" i="16" s="1"/>
  <c r="AB83" i="16" s="1"/>
  <c r="J88" i="23"/>
  <c r="S87" i="23"/>
  <c r="F90" i="1"/>
  <c r="AH102" i="26" s="1"/>
  <c r="P101" i="26"/>
  <c r="O101" i="26"/>
  <c r="I84" i="2"/>
  <c r="G86" i="4" s="1"/>
  <c r="AA84" i="16" s="1"/>
  <c r="AB84" i="16" s="1"/>
  <c r="N86" i="23"/>
  <c r="O86" i="23" s="1"/>
  <c r="P86" i="23" s="1"/>
  <c r="AD82" i="16"/>
  <c r="AE82" i="16" s="1"/>
  <c r="E88" i="4"/>
  <c r="F86" i="2"/>
  <c r="K91" i="23" s="1"/>
  <c r="H85" i="2"/>
  <c r="E91" i="1" s="1"/>
  <c r="U91" i="1" s="1"/>
  <c r="T91" i="1" s="1"/>
  <c r="S91" i="1" s="1"/>
  <c r="T83" i="16"/>
  <c r="AC83" i="16" s="1"/>
  <c r="R84" i="16"/>
  <c r="K70" i="2"/>
  <c r="Q70" i="2" s="1"/>
  <c r="P84" i="16"/>
  <c r="N86" i="16"/>
  <c r="K93" i="1"/>
  <c r="D87" i="2" s="1"/>
  <c r="K71" i="2"/>
  <c r="Q71" i="2" s="1"/>
  <c r="AL99" i="9"/>
  <c r="J83" i="1"/>
  <c r="P86" i="2" l="1"/>
  <c r="S88" i="23"/>
  <c r="J89" i="23"/>
  <c r="F91" i="1"/>
  <c r="AH103" i="26" s="1"/>
  <c r="P102" i="26"/>
  <c r="O102" i="26"/>
  <c r="I85" i="2"/>
  <c r="N87" i="23"/>
  <c r="O87" i="23" s="1"/>
  <c r="P87" i="23" s="1"/>
  <c r="AD83" i="16"/>
  <c r="AE83" i="16" s="1"/>
  <c r="H86" i="2"/>
  <c r="E92" i="1" s="1"/>
  <c r="U92" i="1" s="1"/>
  <c r="T92" i="1" s="1"/>
  <c r="S92" i="1" s="1"/>
  <c r="E89" i="4"/>
  <c r="F87" i="2"/>
  <c r="K92" i="23" s="1"/>
  <c r="I73" i="4"/>
  <c r="O71" i="2" s="1"/>
  <c r="I72" i="4"/>
  <c r="O70" i="2" s="1"/>
  <c r="R85" i="16"/>
  <c r="T84" i="16"/>
  <c r="AC84" i="16" s="1"/>
  <c r="K94" i="1"/>
  <c r="D88" i="2" s="1"/>
  <c r="N87" i="16"/>
  <c r="P85" i="16"/>
  <c r="J84" i="1"/>
  <c r="AL100" i="9"/>
  <c r="P87" i="2" l="1"/>
  <c r="G87" i="4"/>
  <c r="AA85" i="16" s="1"/>
  <c r="AB85" i="16" s="1"/>
  <c r="J90" i="23"/>
  <c r="S89" i="23"/>
  <c r="F92" i="1"/>
  <c r="AH104" i="26" s="1"/>
  <c r="P103" i="26"/>
  <c r="O103" i="26"/>
  <c r="I86" i="2"/>
  <c r="G88" i="4" s="1"/>
  <c r="AA86" i="16" s="1"/>
  <c r="AB86" i="16" s="1"/>
  <c r="N88" i="23"/>
  <c r="O88" i="23" s="1"/>
  <c r="P88" i="23" s="1"/>
  <c r="AD84" i="16"/>
  <c r="AE84" i="16" s="1"/>
  <c r="E90" i="4"/>
  <c r="F88" i="2"/>
  <c r="K93" i="23" s="1"/>
  <c r="H87" i="2"/>
  <c r="E93" i="1" s="1"/>
  <c r="U93" i="1" s="1"/>
  <c r="T93" i="1" s="1"/>
  <c r="S93" i="1" s="1"/>
  <c r="T85" i="16"/>
  <c r="AC85" i="16" s="1"/>
  <c r="R86" i="16"/>
  <c r="P86" i="16"/>
  <c r="N88" i="16"/>
  <c r="K95" i="1"/>
  <c r="D89" i="2" s="1"/>
  <c r="J85" i="1"/>
  <c r="AL101" i="9"/>
  <c r="K72" i="2"/>
  <c r="Q72" i="2" s="1"/>
  <c r="P88" i="2" l="1"/>
  <c r="J91" i="23"/>
  <c r="S90" i="23"/>
  <c r="F93" i="1"/>
  <c r="AH105" i="26" s="1"/>
  <c r="O104" i="26"/>
  <c r="P104" i="26"/>
  <c r="I87" i="2"/>
  <c r="G89" i="4" s="1"/>
  <c r="AA87" i="16" s="1"/>
  <c r="AB87" i="16" s="1"/>
  <c r="N89" i="23"/>
  <c r="O89" i="23" s="1"/>
  <c r="P89" i="23" s="1"/>
  <c r="AD85" i="16"/>
  <c r="AE85" i="16" s="1"/>
  <c r="E91" i="4"/>
  <c r="F89" i="2"/>
  <c r="K94" i="23" s="1"/>
  <c r="H88" i="2"/>
  <c r="E94" i="1" s="1"/>
  <c r="U94" i="1" s="1"/>
  <c r="T94" i="1" s="1"/>
  <c r="S94" i="1" s="1"/>
  <c r="I74" i="4"/>
  <c r="O72" i="2" s="1"/>
  <c r="R87" i="16"/>
  <c r="T86" i="16"/>
  <c r="AC86" i="16" s="1"/>
  <c r="K96" i="1"/>
  <c r="D90" i="2" s="1"/>
  <c r="P87" i="16"/>
  <c r="N89" i="16"/>
  <c r="K74" i="2"/>
  <c r="Q74" i="2" s="1"/>
  <c r="AL102" i="9"/>
  <c r="J86" i="1"/>
  <c r="K73" i="2"/>
  <c r="Q73" i="2" s="1"/>
  <c r="P89" i="2" l="1"/>
  <c r="J92" i="23"/>
  <c r="S91" i="23"/>
  <c r="F94" i="1"/>
  <c r="AH106" i="26" s="1"/>
  <c r="O105" i="26"/>
  <c r="P105" i="26"/>
  <c r="I88" i="2"/>
  <c r="N90" i="23"/>
  <c r="O90" i="23" s="1"/>
  <c r="P90" i="23" s="1"/>
  <c r="H89" i="2"/>
  <c r="E95" i="1" s="1"/>
  <c r="U95" i="1" s="1"/>
  <c r="T95" i="1" s="1"/>
  <c r="S95" i="1" s="1"/>
  <c r="E92" i="4"/>
  <c r="F90" i="2"/>
  <c r="K95" i="23" s="1"/>
  <c r="AD86" i="16"/>
  <c r="AE86" i="16" s="1"/>
  <c r="I76" i="4"/>
  <c r="O74" i="2" s="1"/>
  <c r="I75" i="4"/>
  <c r="O73" i="2" s="1"/>
  <c r="T87" i="16"/>
  <c r="AC87" i="16" s="1"/>
  <c r="R88" i="16"/>
  <c r="P88" i="16"/>
  <c r="K97" i="1"/>
  <c r="D91" i="2" s="1"/>
  <c r="N90" i="16"/>
  <c r="K75" i="2"/>
  <c r="Q75" i="2" s="1"/>
  <c r="AL103" i="9"/>
  <c r="J87" i="1"/>
  <c r="P90" i="2" l="1"/>
  <c r="G90" i="4"/>
  <c r="AA88" i="16" s="1"/>
  <c r="AB88" i="16" s="1"/>
  <c r="J93" i="23"/>
  <c r="S92" i="23"/>
  <c r="F95" i="1"/>
  <c r="AH107" i="26" s="1"/>
  <c r="O106" i="26"/>
  <c r="P106" i="26"/>
  <c r="I89" i="2"/>
  <c r="G91" i="4" s="1"/>
  <c r="AA89" i="16" s="1"/>
  <c r="AB89" i="16" s="1"/>
  <c r="N91" i="23"/>
  <c r="O91" i="23" s="1"/>
  <c r="P91" i="23" s="1"/>
  <c r="E93" i="4"/>
  <c r="F91" i="2"/>
  <c r="K96" i="23" s="1"/>
  <c r="H90" i="2"/>
  <c r="E96" i="1" s="1"/>
  <c r="U96" i="1" s="1"/>
  <c r="T96" i="1" s="1"/>
  <c r="S96" i="1" s="1"/>
  <c r="AD87" i="16"/>
  <c r="AE87" i="16" s="1"/>
  <c r="I77" i="4"/>
  <c r="O75" i="2" s="1"/>
  <c r="R89" i="16"/>
  <c r="T88" i="16"/>
  <c r="AC88" i="16" s="1"/>
  <c r="N91" i="16"/>
  <c r="K76" i="2"/>
  <c r="Q76" i="2" s="1"/>
  <c r="P89" i="16"/>
  <c r="K98" i="1"/>
  <c r="D92" i="2" s="1"/>
  <c r="J88" i="1"/>
  <c r="AL104" i="9"/>
  <c r="P91" i="2" l="1"/>
  <c r="J94" i="23"/>
  <c r="S93" i="23"/>
  <c r="F96" i="1"/>
  <c r="AH108" i="26" s="1"/>
  <c r="O107" i="26"/>
  <c r="P107" i="26"/>
  <c r="I90" i="2"/>
  <c r="N92" i="23"/>
  <c r="O92" i="23" s="1"/>
  <c r="P92" i="23" s="1"/>
  <c r="AD88" i="16"/>
  <c r="AE88" i="16" s="1"/>
  <c r="H91" i="2"/>
  <c r="E97" i="1" s="1"/>
  <c r="U97" i="1" s="1"/>
  <c r="T97" i="1" s="1"/>
  <c r="S97" i="1" s="1"/>
  <c r="E94" i="4"/>
  <c r="F92" i="2"/>
  <c r="K97" i="23" s="1"/>
  <c r="I78" i="4"/>
  <c r="O76" i="2" s="1"/>
  <c r="T89" i="16"/>
  <c r="AC89" i="16" s="1"/>
  <c r="R90" i="16"/>
  <c r="K99" i="1"/>
  <c r="D93" i="2" s="1"/>
  <c r="P90" i="16"/>
  <c r="N92" i="16"/>
  <c r="J89" i="1"/>
  <c r="AL105" i="9"/>
  <c r="G92" i="4" l="1"/>
  <c r="AA90" i="16" s="1"/>
  <c r="AB90" i="16" s="1"/>
  <c r="P92" i="2"/>
  <c r="J95" i="23"/>
  <c r="S94" i="23"/>
  <c r="F97" i="1"/>
  <c r="AH109" i="26" s="1"/>
  <c r="P108" i="26"/>
  <c r="O108" i="26"/>
  <c r="I91" i="2"/>
  <c r="N93" i="23"/>
  <c r="O93" i="23" s="1"/>
  <c r="P93" i="23" s="1"/>
  <c r="E95" i="4"/>
  <c r="F93" i="2"/>
  <c r="K98" i="23" s="1"/>
  <c r="AD89" i="16"/>
  <c r="AE89" i="16" s="1"/>
  <c r="H92" i="2"/>
  <c r="E98" i="1" s="1"/>
  <c r="U98" i="1" s="1"/>
  <c r="T98" i="1" s="1"/>
  <c r="S98" i="1" s="1"/>
  <c r="R91" i="16"/>
  <c r="T90" i="16"/>
  <c r="K77" i="2"/>
  <c r="Q77" i="2" s="1"/>
  <c r="K100" i="1"/>
  <c r="D94" i="2" s="1"/>
  <c r="P91" i="16"/>
  <c r="N93" i="16"/>
  <c r="AL106" i="9"/>
  <c r="J90" i="1"/>
  <c r="AC90" i="16" l="1"/>
  <c r="P93" i="2"/>
  <c r="G93" i="4"/>
  <c r="AA91" i="16" s="1"/>
  <c r="AB91" i="16" s="1"/>
  <c r="J96" i="23"/>
  <c r="S95" i="23"/>
  <c r="F98" i="1"/>
  <c r="AH110" i="26" s="1"/>
  <c r="O109" i="26"/>
  <c r="P109" i="26"/>
  <c r="I92" i="2"/>
  <c r="G94" i="4" s="1"/>
  <c r="AA92" i="16" s="1"/>
  <c r="AB92" i="16" s="1"/>
  <c r="N94" i="23"/>
  <c r="O94" i="23" s="1"/>
  <c r="P94" i="23" s="1"/>
  <c r="AD90" i="16"/>
  <c r="AE90" i="16" s="1"/>
  <c r="H93" i="2"/>
  <c r="E99" i="1" s="1"/>
  <c r="U99" i="1" s="1"/>
  <c r="T99" i="1" s="1"/>
  <c r="S99" i="1" s="1"/>
  <c r="E96" i="4"/>
  <c r="F94" i="2"/>
  <c r="K99" i="23" s="1"/>
  <c r="I79" i="4"/>
  <c r="O77" i="2" s="1"/>
  <c r="T91" i="16"/>
  <c r="R92" i="16"/>
  <c r="K78" i="2"/>
  <c r="Q78" i="2" s="1"/>
  <c r="K79" i="2"/>
  <c r="Q79" i="2" s="1"/>
  <c r="N94" i="16"/>
  <c r="P92" i="16"/>
  <c r="K101" i="1"/>
  <c r="D95" i="2" s="1"/>
  <c r="AL108" i="9"/>
  <c r="AL107" i="9"/>
  <c r="J91" i="1"/>
  <c r="P94" i="2" l="1"/>
  <c r="AC91" i="16"/>
  <c r="S96" i="23"/>
  <c r="J97" i="23"/>
  <c r="F99" i="1"/>
  <c r="AH111" i="26" s="1"/>
  <c r="P110" i="26"/>
  <c r="O110" i="26"/>
  <c r="I93" i="2"/>
  <c r="G95" i="4" s="1"/>
  <c r="AA93" i="16" s="1"/>
  <c r="AB93" i="16" s="1"/>
  <c r="AD91" i="16"/>
  <c r="AE91" i="16" s="1"/>
  <c r="N95" i="23"/>
  <c r="O95" i="23" s="1"/>
  <c r="P95" i="23" s="1"/>
  <c r="E97" i="4"/>
  <c r="F95" i="2"/>
  <c r="K100" i="23" s="1"/>
  <c r="H94" i="2"/>
  <c r="E100" i="1" s="1"/>
  <c r="U100" i="1" s="1"/>
  <c r="T100" i="1" s="1"/>
  <c r="S100" i="1" s="1"/>
  <c r="I81" i="4"/>
  <c r="O79" i="2" s="1"/>
  <c r="I80" i="4"/>
  <c r="O78" i="2" s="1"/>
  <c r="T92" i="16"/>
  <c r="AC92" i="16" s="1"/>
  <c r="R93" i="16"/>
  <c r="N95" i="16"/>
  <c r="P93" i="16"/>
  <c r="K102" i="1"/>
  <c r="D96" i="2" s="1"/>
  <c r="J92" i="1"/>
  <c r="P95" i="2" l="1"/>
  <c r="J98" i="23"/>
  <c r="S97" i="23"/>
  <c r="F100" i="1"/>
  <c r="AH112" i="26" s="1"/>
  <c r="P111" i="26"/>
  <c r="O111" i="26"/>
  <c r="I94" i="2"/>
  <c r="AD92" i="16"/>
  <c r="AE92" i="16" s="1"/>
  <c r="N96" i="23"/>
  <c r="O96" i="23" s="1"/>
  <c r="P96" i="23" s="1"/>
  <c r="E98" i="4"/>
  <c r="F96" i="2"/>
  <c r="K101" i="23" s="1"/>
  <c r="H95" i="2"/>
  <c r="E101" i="1" s="1"/>
  <c r="U101" i="1" s="1"/>
  <c r="T101" i="1" s="1"/>
  <c r="S101" i="1" s="1"/>
  <c r="R94" i="16"/>
  <c r="T93" i="16"/>
  <c r="AC93" i="16" s="1"/>
  <c r="K81" i="2"/>
  <c r="Q81" i="2" s="1"/>
  <c r="K103" i="1"/>
  <c r="D97" i="2" s="1"/>
  <c r="P94" i="16"/>
  <c r="N96" i="16"/>
  <c r="K80" i="2"/>
  <c r="Q80" i="2" s="1"/>
  <c r="J93" i="1"/>
  <c r="P96" i="2" l="1"/>
  <c r="G96" i="4"/>
  <c r="AA94" i="16" s="1"/>
  <c r="AB94" i="16" s="1"/>
  <c r="S98" i="23"/>
  <c r="J99" i="23"/>
  <c r="F101" i="1"/>
  <c r="AH113" i="26" s="1"/>
  <c r="O112" i="26"/>
  <c r="P112" i="26"/>
  <c r="I95" i="2"/>
  <c r="G97" i="4" s="1"/>
  <c r="AA95" i="16" s="1"/>
  <c r="AB95" i="16" s="1"/>
  <c r="N97" i="23"/>
  <c r="O97" i="23" s="1"/>
  <c r="P97" i="23" s="1"/>
  <c r="E99" i="4"/>
  <c r="F97" i="2"/>
  <c r="K102" i="23" s="1"/>
  <c r="H96" i="2"/>
  <c r="E102" i="1" s="1"/>
  <c r="U102" i="1" s="1"/>
  <c r="T102" i="1" s="1"/>
  <c r="S102" i="1" s="1"/>
  <c r="AD93" i="16"/>
  <c r="AE93" i="16" s="1"/>
  <c r="I83" i="4"/>
  <c r="O81" i="2" s="1"/>
  <c r="I82" i="4"/>
  <c r="O80" i="2" s="1"/>
  <c r="R95" i="16"/>
  <c r="T94" i="16"/>
  <c r="N97" i="16"/>
  <c r="P95" i="16"/>
  <c r="K104" i="1"/>
  <c r="D98" i="2" s="1"/>
  <c r="J94" i="1"/>
  <c r="AC94" i="16" l="1"/>
  <c r="P97" i="2"/>
  <c r="S99" i="23"/>
  <c r="J100" i="23"/>
  <c r="F102" i="1"/>
  <c r="AH114" i="26" s="1"/>
  <c r="P113" i="26"/>
  <c r="O113" i="26"/>
  <c r="I96" i="2"/>
  <c r="G98" i="4" s="1"/>
  <c r="AA96" i="16" s="1"/>
  <c r="AB96" i="16" s="1"/>
  <c r="N98" i="23"/>
  <c r="H97" i="2"/>
  <c r="E103" i="1" s="1"/>
  <c r="U103" i="1" s="1"/>
  <c r="T103" i="1" s="1"/>
  <c r="S103" i="1" s="1"/>
  <c r="AD94" i="16"/>
  <c r="AE94" i="16" s="1"/>
  <c r="E100" i="4"/>
  <c r="F98" i="2"/>
  <c r="K103" i="23" s="1"/>
  <c r="T95" i="16"/>
  <c r="AC95" i="16" s="1"/>
  <c r="R96" i="16"/>
  <c r="K82" i="2"/>
  <c r="Q82" i="2" s="1"/>
  <c r="K105" i="1"/>
  <c r="D99" i="2" s="1"/>
  <c r="K83" i="2"/>
  <c r="Q83" i="2" s="1"/>
  <c r="P96" i="16"/>
  <c r="N98" i="16"/>
  <c r="J95" i="1"/>
  <c r="P98" i="2" l="1"/>
  <c r="S100" i="23"/>
  <c r="J101" i="23"/>
  <c r="F103" i="1"/>
  <c r="AH115" i="26" s="1"/>
  <c r="P114" i="26"/>
  <c r="O114" i="26"/>
  <c r="I97" i="2"/>
  <c r="O98" i="23"/>
  <c r="P98" i="23" s="1"/>
  <c r="N99" i="23"/>
  <c r="E101" i="4"/>
  <c r="F99" i="2"/>
  <c r="K104" i="23" s="1"/>
  <c r="AD95" i="16"/>
  <c r="AE95" i="16" s="1"/>
  <c r="H98" i="2"/>
  <c r="E104" i="1" s="1"/>
  <c r="U104" i="1" s="1"/>
  <c r="T104" i="1" s="1"/>
  <c r="S104" i="1" s="1"/>
  <c r="I85" i="4"/>
  <c r="O83" i="2" s="1"/>
  <c r="I84" i="4"/>
  <c r="O82" i="2" s="1"/>
  <c r="R97" i="16"/>
  <c r="T96" i="16"/>
  <c r="AC96" i="16" s="1"/>
  <c r="K84" i="2"/>
  <c r="Q84" i="2" s="1"/>
  <c r="N99" i="16"/>
  <c r="P97" i="16"/>
  <c r="J96" i="1"/>
  <c r="P99" i="2" l="1"/>
  <c r="G99" i="4"/>
  <c r="AA97" i="16" s="1"/>
  <c r="AB97" i="16" s="1"/>
  <c r="J102" i="23"/>
  <c r="S101" i="23"/>
  <c r="F104" i="1"/>
  <c r="AH116" i="26" s="1"/>
  <c r="O115" i="26"/>
  <c r="P115" i="26"/>
  <c r="I98" i="2"/>
  <c r="G100" i="4" s="1"/>
  <c r="AA98" i="16" s="1"/>
  <c r="AB98" i="16" s="1"/>
  <c r="AD96" i="16"/>
  <c r="AE96" i="16" s="1"/>
  <c r="O99" i="23"/>
  <c r="P99" i="23" s="1"/>
  <c r="N100" i="23"/>
  <c r="O100" i="23" s="1"/>
  <c r="P100" i="23" s="1"/>
  <c r="H99" i="2"/>
  <c r="E105" i="1" s="1"/>
  <c r="U105" i="1" s="1"/>
  <c r="T105" i="1" s="1"/>
  <c r="S105" i="1" s="1"/>
  <c r="I86" i="4"/>
  <c r="O84" i="2" s="1"/>
  <c r="R98" i="16"/>
  <c r="T97" i="16"/>
  <c r="AC97" i="16" s="1"/>
  <c r="K85" i="2"/>
  <c r="Q85" i="2" s="1"/>
  <c r="P98" i="16"/>
  <c r="J97" i="1"/>
  <c r="S102" i="23" l="1"/>
  <c r="J103" i="23"/>
  <c r="F105" i="1"/>
  <c r="AH117" i="26" s="1"/>
  <c r="P116" i="26"/>
  <c r="O116" i="26"/>
  <c r="I99" i="2"/>
  <c r="G101" i="4" s="1"/>
  <c r="AA99" i="16" s="1"/>
  <c r="AB99" i="16" s="1"/>
  <c r="AD97" i="16"/>
  <c r="AE97" i="16" s="1"/>
  <c r="N101" i="23"/>
  <c r="O101" i="23" s="1"/>
  <c r="P101" i="23" s="1"/>
  <c r="I87" i="4"/>
  <c r="O85" i="2" s="1"/>
  <c r="T98" i="16"/>
  <c r="AC98" i="16" s="1"/>
  <c r="R99" i="16"/>
  <c r="P99" i="16"/>
  <c r="K86" i="2"/>
  <c r="Q86" i="2" s="1"/>
  <c r="J98" i="1"/>
  <c r="S103" i="23" l="1"/>
  <c r="J104" i="23"/>
  <c r="S104" i="23" s="1"/>
  <c r="O117" i="26"/>
  <c r="P117" i="26"/>
  <c r="N102" i="23"/>
  <c r="O102" i="23" s="1"/>
  <c r="P102" i="23" s="1"/>
  <c r="K105" i="23"/>
  <c r="AD98" i="16"/>
  <c r="AE98" i="16" s="1"/>
  <c r="I88" i="4"/>
  <c r="O86" i="2" s="1"/>
  <c r="T99" i="16"/>
  <c r="AC99" i="16" s="1"/>
  <c r="J99" i="1"/>
  <c r="N103" i="23" l="1"/>
  <c r="O103" i="23" s="1"/>
  <c r="P103" i="23" s="1"/>
  <c r="J105" i="23"/>
  <c r="AD99" i="16"/>
  <c r="AE99" i="16" s="1"/>
  <c r="AJ9" i="16" s="1"/>
  <c r="AJ13" i="16" s="1"/>
  <c r="K87" i="2"/>
  <c r="Q87" i="2" s="1"/>
  <c r="K88" i="2"/>
  <c r="Q88" i="2" s="1"/>
  <c r="J100" i="1"/>
  <c r="AJ20" i="16" l="1"/>
  <c r="AJ21" i="16" s="1"/>
  <c r="AE100" i="16"/>
  <c r="H105" i="23"/>
  <c r="N104" i="23"/>
  <c r="I90" i="4"/>
  <c r="O88" i="2" s="1"/>
  <c r="I89" i="4"/>
  <c r="O87" i="2" s="1"/>
  <c r="J101" i="1"/>
  <c r="AJ23" i="16" l="1"/>
  <c r="AJ22" i="16"/>
  <c r="AJ10" i="16"/>
  <c r="AJ11" i="16" s="1"/>
  <c r="O104" i="23"/>
  <c r="J102" i="1"/>
  <c r="K89" i="2"/>
  <c r="Q89" i="2" s="1"/>
  <c r="P104" i="23" l="1"/>
  <c r="I91" i="4"/>
  <c r="O89" i="2" s="1"/>
  <c r="K90" i="2"/>
  <c r="Q90" i="2" s="1"/>
  <c r="K91" i="2"/>
  <c r="Q91" i="2" s="1"/>
  <c r="J103" i="1"/>
  <c r="I93" i="4" l="1"/>
  <c r="O91" i="2" s="1"/>
  <c r="I92" i="4"/>
  <c r="O90" i="2" s="1"/>
  <c r="J104" i="1"/>
  <c r="K92" i="2" l="1"/>
  <c r="Q92" i="2" s="1"/>
  <c r="K93" i="2"/>
  <c r="Q93" i="2" s="1"/>
  <c r="J105" i="1"/>
  <c r="I95" i="4" l="1"/>
  <c r="O93" i="2" s="1"/>
  <c r="I94" i="4"/>
  <c r="O92" i="2" s="1"/>
  <c r="K94" i="2" l="1"/>
  <c r="Q94" i="2" s="1"/>
  <c r="I96" i="4" l="1"/>
  <c r="O94" i="2" s="1"/>
  <c r="K96" i="2"/>
  <c r="Q96" i="2" s="1"/>
  <c r="K95" i="2"/>
  <c r="Q95" i="2" s="1"/>
  <c r="I98" i="4" l="1"/>
  <c r="O96" i="2" s="1"/>
  <c r="I97" i="4"/>
  <c r="O95" i="2" s="1"/>
  <c r="K97" i="2" l="1"/>
  <c r="Q97" i="2" s="1"/>
  <c r="K98" i="2"/>
  <c r="Q98" i="2" s="1"/>
  <c r="I100" i="4" l="1"/>
  <c r="O98" i="2" s="1"/>
  <c r="I99" i="4"/>
  <c r="O97" i="2" s="1"/>
  <c r="K99" i="2"/>
  <c r="Q99" i="2" s="1"/>
  <c r="B7" i="1" l="1"/>
  <c r="B8" i="1" s="1"/>
  <c r="B9" i="1" s="1"/>
  <c r="B10" i="1" s="1"/>
  <c r="B11" i="1" s="1"/>
  <c r="B12" i="1" s="1"/>
  <c r="B13" i="1" s="1"/>
  <c r="B14" i="1" s="1"/>
  <c r="B15" i="1" l="1"/>
  <c r="B10" i="4"/>
  <c r="B8" i="2"/>
  <c r="B7" i="2"/>
  <c r="B9" i="4"/>
  <c r="B6" i="2"/>
  <c r="B7" i="4"/>
  <c r="B5" i="2"/>
  <c r="B8" i="4"/>
  <c r="B11" i="4" l="1"/>
  <c r="B16" i="1"/>
  <c r="B9" i="2"/>
  <c r="B10" i="2" l="1"/>
  <c r="B12" i="4"/>
  <c r="B17" i="1"/>
  <c r="B13" i="4" l="1"/>
  <c r="B11" i="2"/>
  <c r="B18" i="1"/>
  <c r="B12" i="2" l="1"/>
  <c r="B14" i="4"/>
  <c r="B19" i="1"/>
  <c r="B15" i="4" l="1"/>
  <c r="B20" i="1"/>
  <c r="B13" i="2"/>
  <c r="B14" i="2" l="1"/>
  <c r="B21" i="1"/>
  <c r="B16" i="4"/>
  <c r="B22" i="1" l="1"/>
  <c r="B15" i="2"/>
  <c r="B17" i="4"/>
  <c r="B23" i="1" l="1"/>
  <c r="B18" i="4"/>
  <c r="B16" i="2"/>
  <c r="B19" i="4" l="1"/>
  <c r="B24" i="1"/>
  <c r="B17" i="2"/>
  <c r="B25" i="1" l="1"/>
  <c r="B18" i="2"/>
  <c r="B20" i="4"/>
  <c r="B21" i="4" l="1"/>
  <c r="B26" i="1"/>
  <c r="B19" i="2"/>
  <c r="B20" i="2" l="1"/>
  <c r="B22" i="4"/>
  <c r="B27" i="1"/>
  <c r="B23" i="4" l="1"/>
  <c r="B28" i="1"/>
  <c r="B21" i="2"/>
  <c r="B22" i="2" l="1"/>
  <c r="B24" i="4"/>
  <c r="B29" i="1"/>
  <c r="B25" i="4" l="1"/>
  <c r="B30" i="1"/>
  <c r="B23" i="2"/>
  <c r="B31" i="1" l="1"/>
  <c r="B24" i="2"/>
  <c r="B26" i="4"/>
  <c r="B32" i="1" l="1"/>
  <c r="B25" i="2"/>
  <c r="B27" i="4"/>
  <c r="B33" i="1" l="1"/>
  <c r="B28" i="4"/>
  <c r="B26" i="2"/>
  <c r="B29" i="4" l="1"/>
  <c r="B34" i="1"/>
  <c r="B27" i="2"/>
  <c r="B35" i="1" l="1"/>
  <c r="B28" i="2"/>
  <c r="B30" i="4"/>
  <c r="B36" i="1" l="1"/>
  <c r="B31" i="4"/>
  <c r="B29" i="2"/>
  <c r="B37" i="1" l="1"/>
  <c r="B32" i="4"/>
  <c r="B30" i="2"/>
  <c r="B38" i="1" l="1"/>
  <c r="B33" i="4"/>
  <c r="B31" i="2"/>
  <c r="B39" i="1" l="1"/>
  <c r="B34" i="4"/>
  <c r="B32" i="2"/>
  <c r="B40" i="1" l="1"/>
  <c r="B33" i="2"/>
  <c r="B35" i="4"/>
  <c r="B36" i="4" l="1"/>
  <c r="B34" i="2"/>
  <c r="B41" i="1"/>
  <c r="B35" i="2" l="1"/>
  <c r="B37" i="4"/>
  <c r="B42" i="1"/>
  <c r="B36" i="2" l="1"/>
  <c r="B38" i="4"/>
  <c r="B43" i="1"/>
  <c r="B44" i="1" l="1"/>
  <c r="B39" i="4"/>
  <c r="B37" i="2"/>
  <c r="B38" i="2" l="1"/>
  <c r="B45" i="1"/>
  <c r="B40" i="4"/>
  <c r="B46" i="1" l="1"/>
  <c r="B39" i="2"/>
  <c r="B41" i="4"/>
  <c r="B42" i="4" l="1"/>
  <c r="B40" i="2"/>
  <c r="B47" i="1"/>
  <c r="B48" i="1" l="1"/>
  <c r="B43" i="4"/>
  <c r="B41" i="2"/>
  <c r="B49" i="1" l="1"/>
  <c r="B42" i="2"/>
  <c r="B44" i="4"/>
  <c r="B43" i="2" l="1"/>
  <c r="B45" i="4"/>
  <c r="B50" i="1"/>
  <c r="B51" i="1" l="1"/>
  <c r="B44" i="2"/>
  <c r="B46" i="4"/>
  <c r="B45" i="2" l="1"/>
  <c r="B47" i="4"/>
  <c r="B52" i="1"/>
  <c r="B46" i="2" l="1"/>
  <c r="B48" i="4"/>
  <c r="B53" i="1"/>
  <c r="B49" i="4" l="1"/>
  <c r="B47" i="2"/>
  <c r="B54" i="1"/>
  <c r="B48" i="2" l="1"/>
  <c r="B50" i="4"/>
  <c r="B55" i="1"/>
  <c r="B51" i="4" l="1"/>
  <c r="B49" i="2"/>
  <c r="B56" i="1"/>
  <c r="B52" i="4" l="1"/>
  <c r="B50" i="2"/>
  <c r="B57" i="1"/>
  <c r="B53" i="4" l="1"/>
  <c r="B51" i="2"/>
  <c r="B58" i="1"/>
  <c r="B59" i="1" l="1"/>
  <c r="B52" i="2"/>
  <c r="B54" i="4"/>
  <c r="B55" i="4" l="1"/>
  <c r="B53" i="2"/>
  <c r="B60" i="1"/>
  <c r="B54" i="2" l="1"/>
  <c r="B56" i="4"/>
  <c r="B61" i="1"/>
  <c r="B62" i="1" l="1"/>
  <c r="B57" i="4"/>
  <c r="B55" i="2"/>
  <c r="B63" i="1" l="1"/>
  <c r="B58" i="4"/>
  <c r="B56" i="2"/>
  <c r="B64" i="1" l="1"/>
  <c r="B57" i="2"/>
  <c r="B59" i="4"/>
  <c r="B58" i="2" l="1"/>
  <c r="B60" i="4"/>
  <c r="B65" i="1"/>
  <c r="B66" i="1" l="1"/>
  <c r="B61" i="4"/>
  <c r="B59" i="2"/>
  <c r="B67" i="1" l="1"/>
  <c r="B69" i="1" s="1"/>
  <c r="B62" i="4"/>
  <c r="B60" i="2"/>
  <c r="B63" i="4" l="1"/>
  <c r="B61" i="2"/>
  <c r="B62" i="2" l="1"/>
  <c r="B64" i="4"/>
  <c r="B65" i="4" l="1"/>
  <c r="B63" i="2"/>
  <c r="B70" i="1"/>
  <c r="B71" i="1" l="1"/>
  <c r="B66" i="4"/>
  <c r="B64" i="2"/>
  <c r="B72" i="1" l="1"/>
  <c r="B65" i="2"/>
  <c r="B67" i="4"/>
  <c r="B73" i="1" l="1"/>
  <c r="B66" i="2"/>
  <c r="B68" i="4"/>
  <c r="B69" i="4" l="1"/>
  <c r="B74" i="1"/>
  <c r="B67" i="2"/>
  <c r="B75" i="1" l="1"/>
  <c r="B70" i="4"/>
  <c r="B68" i="2"/>
  <c r="B69" i="2" l="1"/>
  <c r="B76" i="1"/>
  <c r="B71" i="4"/>
  <c r="B77" i="1" l="1"/>
  <c r="B70" i="2"/>
  <c r="B72" i="4"/>
  <c r="B73" i="4" l="1"/>
  <c r="B71" i="2"/>
  <c r="B78" i="1"/>
  <c r="B79" i="1" l="1"/>
  <c r="B74" i="4"/>
  <c r="B72" i="2"/>
  <c r="B75" i="4" l="1"/>
  <c r="B80" i="1"/>
  <c r="B73" i="2"/>
  <c r="B76" i="4" l="1"/>
  <c r="B81" i="1"/>
  <c r="B74" i="2"/>
  <c r="B77" i="4" l="1"/>
  <c r="B75" i="2"/>
  <c r="B82" i="1"/>
  <c r="B76" i="2" l="1"/>
  <c r="B78" i="4"/>
  <c r="B83" i="1"/>
  <c r="B77" i="2" l="1"/>
  <c r="B79" i="4"/>
  <c r="B84" i="1"/>
  <c r="B80" i="4" l="1"/>
  <c r="B78" i="2"/>
  <c r="B85" i="1"/>
  <c r="B81" i="4" l="1"/>
  <c r="B79" i="2"/>
  <c r="B86" i="1"/>
  <c r="B87" i="1" l="1"/>
  <c r="B80" i="2"/>
  <c r="B82" i="4"/>
  <c r="B83" i="4" l="1"/>
  <c r="B88" i="1"/>
  <c r="B81" i="2"/>
  <c r="B82" i="2" l="1"/>
  <c r="B84" i="4"/>
  <c r="B89" i="1"/>
  <c r="B83" i="2" l="1"/>
  <c r="B85" i="4"/>
  <c r="B90" i="1"/>
  <c r="B86" i="4" l="1"/>
  <c r="B84" i="2"/>
  <c r="B91" i="1"/>
  <c r="B92" i="1" l="1"/>
  <c r="B87" i="4"/>
  <c r="B85" i="2"/>
  <c r="B93" i="1" l="1"/>
  <c r="B88" i="4"/>
  <c r="B86" i="2"/>
  <c r="B94" i="1" l="1"/>
  <c r="B87" i="2"/>
  <c r="B89" i="4"/>
  <c r="B95" i="1" l="1"/>
  <c r="B90" i="4"/>
  <c r="B88" i="2"/>
  <c r="B96" i="1" l="1"/>
  <c r="B91" i="4"/>
  <c r="B89" i="2"/>
  <c r="B97" i="1" l="1"/>
  <c r="B90" i="2"/>
  <c r="B92" i="4"/>
  <c r="B93" i="4" l="1"/>
  <c r="B98" i="1"/>
  <c r="B91" i="2"/>
  <c r="B94" i="4" l="1"/>
  <c r="B99" i="1"/>
  <c r="B92" i="2"/>
  <c r="B93" i="2" l="1"/>
  <c r="B100" i="1"/>
  <c r="B95" i="4"/>
  <c r="B101" i="1" l="1"/>
  <c r="B94" i="2"/>
  <c r="B96" i="4"/>
  <c r="B97" i="4" l="1"/>
  <c r="B102" i="1"/>
  <c r="B95" i="2"/>
  <c r="B103" i="1" l="1"/>
  <c r="B98" i="4"/>
  <c r="B96" i="2"/>
  <c r="B104" i="1" l="1"/>
  <c r="B99" i="4"/>
  <c r="B97" i="2"/>
  <c r="B105" i="1" l="1"/>
  <c r="B98" i="2"/>
  <c r="B100" i="4"/>
  <c r="B101" i="4" l="1"/>
  <c r="B99" i="2"/>
  <c r="G22" i="25"/>
  <c r="G33" i="25" s="1"/>
  <c r="F33" i="25"/>
  <c r="E33" i="25"/>
  <c r="C7" i="1" l="1"/>
  <c r="C6" i="1"/>
  <c r="S11" i="26" s="1"/>
  <c r="D5" i="26" s="1"/>
  <c r="C9" i="1"/>
  <c r="C8" i="1"/>
  <c r="S12" i="26" l="1"/>
  <c r="S13" i="26" s="1"/>
  <c r="S14" i="26" s="1"/>
  <c r="S16" i="26" s="1"/>
  <c r="F5" i="26" s="1"/>
  <c r="H5" i="26" s="1"/>
  <c r="I5" i="26" s="1"/>
  <c r="I14" i="26" s="1"/>
  <c r="S10" i="26"/>
  <c r="S22" i="26" l="1"/>
  <c r="P22" i="26" s="1"/>
  <c r="S18" i="26"/>
  <c r="S20" i="26"/>
  <c r="P20" i="26" s="1"/>
  <c r="S21" i="26"/>
  <c r="S19" i="26"/>
  <c r="P19" i="26" s="1"/>
  <c r="N22" i="26" l="1"/>
  <c r="N18" i="26"/>
  <c r="C28" i="26" s="1"/>
  <c r="C44" i="26"/>
  <c r="E44" i="26" s="1"/>
  <c r="C86" i="26"/>
  <c r="E86" i="26" s="1"/>
  <c r="C87" i="26"/>
  <c r="E87" i="26" s="1"/>
  <c r="C47" i="26"/>
  <c r="E47" i="26" s="1"/>
  <c r="C56" i="26"/>
  <c r="E56" i="26" s="1"/>
  <c r="C68" i="26"/>
  <c r="E68" i="26" s="1"/>
  <c r="C74" i="26"/>
  <c r="E74" i="26" s="1"/>
  <c r="C50" i="26"/>
  <c r="E50" i="26" s="1"/>
  <c r="C34" i="26"/>
  <c r="E34" i="26" s="1"/>
  <c r="C51" i="26"/>
  <c r="E51" i="26" s="1"/>
  <c r="C48" i="26"/>
  <c r="E48" i="26" s="1"/>
  <c r="C88" i="26"/>
  <c r="E88" i="26" s="1"/>
  <c r="C84" i="26"/>
  <c r="E84" i="26" s="1"/>
  <c r="C77" i="26"/>
  <c r="E77" i="26" s="1"/>
  <c r="C45" i="26"/>
  <c r="E45" i="26" s="1"/>
  <c r="C69" i="26"/>
  <c r="E69" i="26" s="1"/>
  <c r="C39" i="26"/>
  <c r="E39" i="26" s="1"/>
  <c r="C90" i="26"/>
  <c r="E90" i="26" s="1"/>
  <c r="C52" i="26"/>
  <c r="E52" i="26" s="1"/>
  <c r="C58" i="26"/>
  <c r="E58" i="26" s="1"/>
  <c r="C64" i="26"/>
  <c r="E64" i="26" s="1"/>
  <c r="C61" i="26"/>
  <c r="E61" i="26" s="1"/>
  <c r="C38" i="26"/>
  <c r="E38" i="26" s="1"/>
  <c r="C72" i="26"/>
  <c r="E72" i="26" s="1"/>
  <c r="C46" i="26"/>
  <c r="E46" i="26" s="1"/>
  <c r="C82" i="26"/>
  <c r="E82" i="26" s="1"/>
  <c r="C79" i="26"/>
  <c r="E79" i="26" s="1"/>
  <c r="C53" i="26"/>
  <c r="E53" i="26" s="1"/>
  <c r="C78" i="26"/>
  <c r="E78" i="26" s="1"/>
  <c r="C83" i="26"/>
  <c r="E83" i="26" s="1"/>
  <c r="C75" i="26"/>
  <c r="E75" i="26" s="1"/>
  <c r="C89" i="26"/>
  <c r="E89" i="26" s="1"/>
  <c r="C63" i="26"/>
  <c r="E63" i="26" s="1"/>
  <c r="C60" i="26"/>
  <c r="E60" i="26" s="1"/>
  <c r="C62" i="26"/>
  <c r="E62" i="26" s="1"/>
  <c r="C67" i="26"/>
  <c r="E67" i="26" s="1"/>
  <c r="N21" i="26"/>
  <c r="P21" i="26"/>
  <c r="C65" i="26"/>
  <c r="E65" i="26" s="1"/>
  <c r="C33" i="26"/>
  <c r="E33" i="26" s="1"/>
  <c r="C36" i="26"/>
  <c r="E36" i="26" s="1"/>
  <c r="C41" i="26"/>
  <c r="E41" i="26" s="1"/>
  <c r="C37" i="26"/>
  <c r="E37" i="26" s="1"/>
  <c r="C35" i="26"/>
  <c r="E35" i="26" s="1"/>
  <c r="C73" i="26"/>
  <c r="E73" i="26" s="1"/>
  <c r="N20" i="26"/>
  <c r="C30" i="26" s="1"/>
  <c r="N19" i="26"/>
  <c r="C29" i="26" s="1"/>
  <c r="C32" i="26"/>
  <c r="C80" i="26"/>
  <c r="E80" i="26" s="1"/>
  <c r="C42" i="26"/>
  <c r="E42" i="26" s="1"/>
  <c r="C49" i="26"/>
  <c r="E49" i="26" s="1"/>
  <c r="C40" i="26"/>
  <c r="E40" i="26" s="1"/>
  <c r="C57" i="26"/>
  <c r="E57" i="26" s="1"/>
  <c r="C31" i="26"/>
  <c r="E31" i="26" s="1"/>
  <c r="C71" i="26"/>
  <c r="E71" i="26" s="1"/>
  <c r="C43" i="26"/>
  <c r="E43" i="26" s="1"/>
  <c r="C70" i="26"/>
  <c r="E70" i="26" s="1"/>
  <c r="C81" i="26"/>
  <c r="E81" i="26" s="1"/>
  <c r="C55" i="26"/>
  <c r="E55" i="26" s="1"/>
  <c r="P18" i="26"/>
  <c r="C76" i="26"/>
  <c r="E76" i="26" s="1"/>
  <c r="C59" i="26"/>
  <c r="E59" i="26" s="1"/>
  <c r="C54" i="26"/>
  <c r="E54" i="26" s="1"/>
  <c r="C85" i="26"/>
  <c r="E85" i="26" s="1"/>
  <c r="C66" i="26"/>
  <c r="E66" i="26" s="1"/>
  <c r="E28" i="26" l="1"/>
  <c r="F5" i="23"/>
  <c r="E30" i="26"/>
  <c r="F7" i="23"/>
  <c r="F6" i="23"/>
  <c r="E29" i="26"/>
  <c r="F9" i="23"/>
  <c r="E32" i="26"/>
  <c r="F8" i="23"/>
  <c r="S5" i="23" l="1"/>
  <c r="N5" i="23"/>
  <c r="O5" i="23" s="1"/>
  <c r="N9" i="23"/>
  <c r="O9" i="23" s="1"/>
  <c r="P9" i="23" s="1"/>
  <c r="S9" i="23"/>
  <c r="N7" i="23"/>
  <c r="O7" i="23" s="1"/>
  <c r="P7" i="23" s="1"/>
  <c r="S7" i="23"/>
  <c r="S6" i="23"/>
  <c r="N6" i="23"/>
  <c r="F105" i="23"/>
  <c r="N8" i="23"/>
  <c r="O8" i="23" s="1"/>
  <c r="P8" i="23" s="1"/>
  <c r="S8" i="23"/>
  <c r="N105" i="23" l="1"/>
  <c r="O6" i="23"/>
  <c r="P5" i="23"/>
  <c r="P6" i="23" l="1"/>
  <c r="P105" i="23" s="1"/>
  <c r="O105" i="23"/>
  <c r="AD5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tc={A158027B-6691-4ECD-B903-CEACE449A64E}</author>
    <author>tc={EA7FCB0B-2C83-40BB-A3B6-2FF5A8D0BEE6}</author>
  </authors>
  <commentList>
    <comment ref="Q4" authorId="0" shapeId="0" xr:uid="{A158027B-6691-4ECD-B903-CEACE449A64E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in 4 shallow wells at 200’ deep with a total flow of 68 gpm</t>
      </text>
    </comment>
    <comment ref="R4" authorId="1" shapeId="0" xr:uid="{EA7FCB0B-2C83-40BB-A3B6-2FF5A8D0BEE6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in 4 shallow wells at 200’ deep with a total flow of 68 gpm</t>
      </text>
    </comment>
  </commentList>
</comments>
</file>

<file path=xl/sharedStrings.xml><?xml version="1.0" encoding="utf-8"?>
<sst xmlns="http://schemas.openxmlformats.org/spreadsheetml/2006/main" count="2201" uniqueCount="551">
  <si>
    <t>Water in North Mine Area</t>
  </si>
  <si>
    <t>Location</t>
  </si>
  <si>
    <t>Estimated Volume at EOY 2030
(gallons)</t>
  </si>
  <si>
    <t>East Pit</t>
  </si>
  <si>
    <t>Estrella Pit</t>
  </si>
  <si>
    <t>Lee Hill Pit</t>
  </si>
  <si>
    <t>Reservoir 9</t>
  </si>
  <si>
    <t>Reservoir 4a (Overflow Pond)</t>
  </si>
  <si>
    <t>Reservoir 2 (Overflow Pond)</t>
  </si>
  <si>
    <t>Reservoir 17</t>
  </si>
  <si>
    <t>Fleming Pond 2</t>
  </si>
  <si>
    <t>Frog Pond</t>
  </si>
  <si>
    <t>PLS Tank at Ivanhoe Concentrator</t>
  </si>
  <si>
    <t>5900 PLS Sump</t>
  </si>
  <si>
    <t>Lee Hill Sump #1</t>
  </si>
  <si>
    <t>5400 Sump</t>
  </si>
  <si>
    <t>Tailings Thickener</t>
  </si>
  <si>
    <t>6525 Raffinate Tank</t>
  </si>
  <si>
    <t xml:space="preserve">South Stockpile </t>
  </si>
  <si>
    <t>Reservoir 6</t>
  </si>
  <si>
    <t>Reservoir 7</t>
  </si>
  <si>
    <t>Reservoir 8</t>
  </si>
  <si>
    <t>SX/EW PLS Feed Pond</t>
  </si>
  <si>
    <t>SX/EW Raffinate Pond</t>
  </si>
  <si>
    <t>SX/EW Raffinate Tank</t>
  </si>
  <si>
    <t>East Headwall Impoundment</t>
  </si>
  <si>
    <t>East Lampbright Sumps</t>
  </si>
  <si>
    <t>LFES SS PLS Tank</t>
  </si>
  <si>
    <t>Lampbright Stockpile</t>
  </si>
  <si>
    <t>Total</t>
  </si>
  <si>
    <t>Rounded Total</t>
  </si>
  <si>
    <t>Water in South Mine Area</t>
  </si>
  <si>
    <t>Tailings Pond 7, Axiflo Lake, Elmo's Pond, and Lower Lined Pond</t>
  </si>
  <si>
    <t>Volume estimates provided by Chino from GoldSim model</t>
  </si>
  <si>
    <t>South Mine Area Flows</t>
  </si>
  <si>
    <t>Interceptor Wells, Pit and Groundwater</t>
  </si>
  <si>
    <t>Facilities Runoff</t>
  </si>
  <si>
    <t>Waste Rock Stockpile Runoff/Seepage</t>
  </si>
  <si>
    <t>Leach Stockpile Runoff/Seepage</t>
  </si>
  <si>
    <t>Additional Information</t>
  </si>
  <si>
    <t>Continental Mine Inflows</t>
  </si>
  <si>
    <t>Tailings Pond 7 Interceptor Wells</t>
  </si>
  <si>
    <t>NMA Groundwater Interceptor Wells
Princess Shaft Oswaldo Shaft and 6 Other Wells TBD Inflow</t>
  </si>
  <si>
    <t>Groundwater Inflows to Santa Rita Pit
(5% not Captured)</t>
  </si>
  <si>
    <t xml:space="preserve">West Stockpile, Lambright, and Kessel Groundwater </t>
  </si>
  <si>
    <t>Sant Rita Open Pit Area Storm Water Run-Off</t>
  </si>
  <si>
    <t>Ivanhoe Concentrator Area</t>
  </si>
  <si>
    <t>Chino Offices and Shops Area</t>
  </si>
  <si>
    <t>SX/EW Area</t>
  </si>
  <si>
    <t xml:space="preserve">West Side of West Stockpile </t>
  </si>
  <si>
    <t>3A, Reservoir 9, and Rustler Canyon Waste Rock Stockpiles</t>
  </si>
  <si>
    <t>Northeast Waste Rock Pile and Reservoir 5 South</t>
  </si>
  <si>
    <t>Southwest Lampbright Waste Rock Pile</t>
  </si>
  <si>
    <t>Kessel Stockpile</t>
  </si>
  <si>
    <t xml:space="preserve">East Side of West Leach Stockpile </t>
  </si>
  <si>
    <t>North, Main, and South Lampbright Leach  Stockpiles</t>
  </si>
  <si>
    <t>Destination of Water</t>
  </si>
  <si>
    <t xml:space="preserve">South Circuit Flowrate </t>
  </si>
  <si>
    <t xml:space="preserve">Lampbright Circuit Flowrate </t>
  </si>
  <si>
    <t>Tailing Pond 7 Flowrate</t>
  </si>
  <si>
    <t>Acreage Remediated</t>
  </si>
  <si>
    <t>Total Flow to Evaporation on Stockpiles then Estrella</t>
  </si>
  <si>
    <t>Total Flow to WTP</t>
  </si>
  <si>
    <t>Surface Area (acres)</t>
  </si>
  <si>
    <t>Pre Closure Average Runoff (inches)</t>
  </si>
  <si>
    <t>Pre Closure Average Seepage (inches)</t>
  </si>
  <si>
    <t>Post Closure Average Seepage (inches)</t>
  </si>
  <si>
    <t>Year</t>
  </si>
  <si>
    <t>(gpm)</t>
  </si>
  <si>
    <t>(acres)</t>
  </si>
  <si>
    <t>gpm</t>
  </si>
  <si>
    <t>acres</t>
  </si>
  <si>
    <t>Evaporation</t>
  </si>
  <si>
    <t>-</t>
  </si>
  <si>
    <t>UF/RO Treatment</t>
  </si>
  <si>
    <t>63-100</t>
  </si>
  <si>
    <t>Light Blue reflect the reclamation schedule</t>
  </si>
  <si>
    <t>Light Purple is the drawdown curve</t>
  </si>
  <si>
    <t>Mine Area</t>
  </si>
  <si>
    <t>Source</t>
  </si>
  <si>
    <t>Sulfate</t>
  </si>
  <si>
    <t>Total Dissolved Solids</t>
  </si>
  <si>
    <t>(mg/L)</t>
  </si>
  <si>
    <t>Data</t>
  </si>
  <si>
    <t>SMA Flows</t>
  </si>
  <si>
    <t>Continental Mine</t>
  </si>
  <si>
    <t>2023 sampling, average of 9 wells and pond</t>
  </si>
  <si>
    <t xml:space="preserve">Tailings Pond 7 Interceptor Wells </t>
  </si>
  <si>
    <t>NMA Facilities</t>
  </si>
  <si>
    <t>Ivanhoe Concentrator Runoff</t>
  </si>
  <si>
    <t>Estimated based of gypsum equilibrium</t>
  </si>
  <si>
    <t>Chino Main Office Buildings Runoff</t>
  </si>
  <si>
    <t>SX/EW Runoff</t>
  </si>
  <si>
    <t>NMA Interceptor Wells and Pit</t>
  </si>
  <si>
    <t>Princess, Oswaldo, and Interceptor Wells</t>
  </si>
  <si>
    <t xml:space="preserve">2006 and 2019 sampling respectively, average  </t>
  </si>
  <si>
    <t>West Stockpile Interceptor Wells</t>
  </si>
  <si>
    <t>Used Princess and Oswaldo intercept water quality</t>
  </si>
  <si>
    <t>Kessel Interceptor Wells</t>
  </si>
  <si>
    <t>2025 Sampling, Average of Wells located around Kessel Area</t>
  </si>
  <si>
    <t>Santa Rita Pit Groundwater Inflow</t>
  </si>
  <si>
    <t>Santa Rita Pit Runoff</t>
  </si>
  <si>
    <t>2023 sampling, average of Res 2A and 4A</t>
  </si>
  <si>
    <t>NMA Waste Rock Stockpile Runoff</t>
  </si>
  <si>
    <t>West Side of West Stockpile Runoff</t>
  </si>
  <si>
    <t>3A Waste Rock Stockpile Runoff</t>
  </si>
  <si>
    <t>Northeast Waste Rock Pile Runoff</t>
  </si>
  <si>
    <t>Southwest Lampbright Waste Rock Pile Runoff</t>
  </si>
  <si>
    <t>Kessel Stockpile Runoff</t>
  </si>
  <si>
    <t>NMA Stockpile Seepage</t>
  </si>
  <si>
    <t>East Side of West Leach Stockpile Seepage</t>
  </si>
  <si>
    <t>2023 sampling, average of 526 Raff and PLS tanks, and Res 8</t>
  </si>
  <si>
    <t>South Leach Stockpile Seepage</t>
  </si>
  <si>
    <t>North, Main, and South Lampbright Leach Stockpile Seepage</t>
  </si>
  <si>
    <t>Yearly Evaporation (inches/year)</t>
  </si>
  <si>
    <t>EOY 0</t>
  </si>
  <si>
    <t>Year 1</t>
  </si>
  <si>
    <t>Year 2</t>
  </si>
  <si>
    <t>Year 3</t>
  </si>
  <si>
    <t>Year 4</t>
  </si>
  <si>
    <t>Year 5</t>
  </si>
  <si>
    <t>Max. Surface Area for Evaporation</t>
  </si>
  <si>
    <t>Starting Volumes</t>
  </si>
  <si>
    <t>Volumes Remaining After Year 1</t>
  </si>
  <si>
    <t>Volumes Remaining After Year 2</t>
  </si>
  <si>
    <t>Volumes Remaining After Year 3</t>
  </si>
  <si>
    <t>Volumes Remaining After Year 4</t>
  </si>
  <si>
    <t>Volumes Remaining After Year 5</t>
  </si>
  <si>
    <t>(gallons)</t>
  </si>
  <si>
    <t xml:space="preserve">Evaporation Stockpiles (South and Lampbright Stockpiles) </t>
  </si>
  <si>
    <t xml:space="preserve">Volume Added From Stormwater and Interceptor Pits/Wells </t>
  </si>
  <si>
    <t>Stockpile Acreage Modifier</t>
  </si>
  <si>
    <t>Evaporation Potential in Stockpiles w/ Acreage Modifier</t>
  </si>
  <si>
    <t>Tailings Pond 7</t>
  </si>
  <si>
    <t>Volume Added From Continental Mine &amp; Tailings 7 Interceptor Wells</t>
  </si>
  <si>
    <t>Pond 7 Acreage Modifier</t>
  </si>
  <si>
    <t>Evaporation Potential on Tailings Pond 7 with Acreage Modifier</t>
  </si>
  <si>
    <t>North Mine Area</t>
  </si>
  <si>
    <t xml:space="preserve">South Mine Area </t>
  </si>
  <si>
    <t xml:space="preserve">Evaporation System Water Loss </t>
  </si>
  <si>
    <t>Interceptor Wells, Runoff and Seepage Flow Rates</t>
  </si>
  <si>
    <t>Water Treatment Plant Influent</t>
  </si>
  <si>
    <t>Evaporation Water Loss</t>
  </si>
  <si>
    <t>Interceptor Wells and Continental Mine Flow Rates</t>
  </si>
  <si>
    <t>Stockpile Evaporation System Water Loss</t>
  </si>
  <si>
    <t xml:space="preserve">Interceptor Wells, Run-off, and Seepage Included in Stockpile Evaporation System Water Loss </t>
  </si>
  <si>
    <t>Santa Rita Pit Enhanced Evaporation System Water Loss (wtih Brine/Backwash)</t>
  </si>
  <si>
    <t>Santa Rita Pit Sprayers Required (Ave/yr)</t>
  </si>
  <si>
    <t>NMA Interceptor Wells Flows (Lampbright, Princess Shaft, Oswaldo Shaft, 6 other Wells TBD)</t>
  </si>
  <si>
    <t>Pit and Facilities  Runoff
Existing Groundwater Interceptors</t>
  </si>
  <si>
    <t xml:space="preserve">Waste Rock Piles Runoff/Seepage </t>
  </si>
  <si>
    <t>Treatment System Flow Rate</t>
  </si>
  <si>
    <t>Tailings Pond 7 Evaporation Water Loss</t>
  </si>
  <si>
    <t>Tailing Pond 7 Interceptor Well Flows</t>
  </si>
  <si>
    <t>Continental Mine Flows</t>
  </si>
  <si>
    <t>(unit)</t>
  </si>
  <si>
    <t>97 gpm in 16 hours</t>
  </si>
  <si>
    <t>53 gpm in 16 hours</t>
  </si>
  <si>
    <t xml:space="preserve">Average  74 gpm for 12 months running for 16 hours per day </t>
  </si>
  <si>
    <t>Sprayer evap per unit (gpd)</t>
  </si>
  <si>
    <t>Sprayer evap per unit (gpm) in 16 hrs</t>
  </si>
  <si>
    <t>Number of units Required</t>
  </si>
  <si>
    <t>Total amount to evaporate per day</t>
  </si>
  <si>
    <t>RO Feed</t>
  </si>
  <si>
    <t>Brine</t>
  </si>
  <si>
    <t>Effluent</t>
  </si>
  <si>
    <t>SMA 
Flowrate</t>
  </si>
  <si>
    <t xml:space="preserve">NMA </t>
  </si>
  <si>
    <t xml:space="preserve">SMA </t>
  </si>
  <si>
    <t>Reject</t>
  </si>
  <si>
    <t>To Evaporation</t>
  </si>
  <si>
    <t xml:space="preserve">RO Permeate
</t>
  </si>
  <si>
    <t xml:space="preserve">SMA Bypass </t>
  </si>
  <si>
    <t>Effluent
Sulfate</t>
  </si>
  <si>
    <t>RO Feed
pH</t>
  </si>
  <si>
    <t>Effluent
pH</t>
  </si>
  <si>
    <t>green sand filter backwash</t>
  </si>
  <si>
    <t>(%)</t>
  </si>
  <si>
    <t>units</t>
  </si>
  <si>
    <t>just over 10 min/unit per week</t>
  </si>
  <si>
    <t>gal per year</t>
  </si>
  <si>
    <t>Average of 134 gpm being evaporated over 100 years</t>
  </si>
  <si>
    <t>Sulfate Sources</t>
  </si>
  <si>
    <t>RO Sulfate</t>
  </si>
  <si>
    <t>Effluent Sulfate</t>
  </si>
  <si>
    <t xml:space="preserve">SMA 
Sulfate </t>
  </si>
  <si>
    <t>NMA Interceptor Well Sulfate</t>
  </si>
  <si>
    <t>Feed</t>
  </si>
  <si>
    <t>Permeate</t>
  </si>
  <si>
    <t>Brine
Sulfate</t>
  </si>
  <si>
    <t>SMA Bypass</t>
  </si>
  <si>
    <t>Facilities</t>
  </si>
  <si>
    <t>Interceptor Systems</t>
  </si>
  <si>
    <t>Waste Rock Stockpile Runoff</t>
  </si>
  <si>
    <t>Stockpile Seepage</t>
  </si>
  <si>
    <t>RO</t>
  </si>
  <si>
    <t>Enhanced Evaporation</t>
  </si>
  <si>
    <t xml:space="preserve">Ivanhoe Concentrator Runoff </t>
  </si>
  <si>
    <t>Chino Main Office Buildings</t>
  </si>
  <si>
    <t>Santa Rita Groundwater Inflow</t>
  </si>
  <si>
    <t>West and Kessel Interceptor wells</t>
  </si>
  <si>
    <t xml:space="preserve">Northeast Waste Rock Pile Runoff </t>
  </si>
  <si>
    <t xml:space="preserve">Southwest Lampbright Waste Rock Pile Runoff </t>
  </si>
  <si>
    <t xml:space="preserve">Kessel Stockpile Runoff </t>
  </si>
  <si>
    <t xml:space="preserve">East Side of West Leach Stockpile Seepage </t>
  </si>
  <si>
    <t xml:space="preserve">South Leach Stockpile Seepage </t>
  </si>
  <si>
    <t>North, Main, and South Lampbright Leach Seepage</t>
  </si>
  <si>
    <t>Total Dissolved Concentration of Feed</t>
  </si>
  <si>
    <t>Mass of Salt</t>
  </si>
  <si>
    <t>Volume of Salt</t>
  </si>
  <si>
    <t>(mg/min)</t>
  </si>
  <si>
    <t>(tons/year)</t>
  </si>
  <si>
    <t>(yds^3/year 
@ 77 lbs/ft^3)</t>
  </si>
  <si>
    <t>Salt Storage</t>
  </si>
  <si>
    <t>acres available</t>
  </si>
  <si>
    <t>yd^3/acft</t>
  </si>
  <si>
    <t>yd^3 needing disposal in 100 years</t>
  </si>
  <si>
    <t>acft needing disposal at 1' depth</t>
  </si>
  <si>
    <t>foot of depth required inacres</t>
  </si>
  <si>
    <t>yd^3/year average</t>
  </si>
  <si>
    <t>485' X 485' X 3' Deep for one year average</t>
  </si>
  <si>
    <t xml:space="preserve">acres remaining after 95 years with no cover </t>
  </si>
  <si>
    <t>with the largest wheel tractor-scraper at 55 yd^3</t>
  </si>
  <si>
    <t>trips per year</t>
  </si>
  <si>
    <t>days at 4 trips per day</t>
  </si>
  <si>
    <t>percent of a year</t>
  </si>
  <si>
    <t>weeks of hauling per year</t>
  </si>
  <si>
    <t>Stockpile Evaporation Costs</t>
  </si>
  <si>
    <t>Water Treatment Plant &amp; Enhanced Evaporation System Costs</t>
  </si>
  <si>
    <t>Capital Cost Subtotal</t>
  </si>
  <si>
    <t>Capital Cost Indirects (30%)</t>
  </si>
  <si>
    <t>O&amp;M Costs Subtotal</t>
  </si>
  <si>
    <t>O&amp;M Indirects (17.5%)</t>
  </si>
  <si>
    <t>Total Cost</t>
  </si>
  <si>
    <t xml:space="preserve"> Capital</t>
  </si>
  <si>
    <t xml:space="preserve">Equipment Replacement </t>
  </si>
  <si>
    <t xml:space="preserve">Labor </t>
  </si>
  <si>
    <t>Power</t>
  </si>
  <si>
    <t>Capital</t>
  </si>
  <si>
    <t>Equipment Replacement</t>
  </si>
  <si>
    <t>Reagents and Analytical</t>
  </si>
  <si>
    <t>Total Capital</t>
  </si>
  <si>
    <t>Total O&amp;M</t>
  </si>
  <si>
    <t>($/year)</t>
  </si>
  <si>
    <t>Labor</t>
  </si>
  <si>
    <t>System</t>
  </si>
  <si>
    <t>Item</t>
  </si>
  <si>
    <t>Material</t>
  </si>
  <si>
    <t>Model</t>
  </si>
  <si>
    <t>Size</t>
  </si>
  <si>
    <t>Company</t>
  </si>
  <si>
    <t>Qty</t>
  </si>
  <si>
    <t>Unit</t>
  </si>
  <si>
    <t>Cost</t>
  </si>
  <si>
    <t>Cost Subtotal</t>
  </si>
  <si>
    <t>Tax</t>
  </si>
  <si>
    <t>Cost if New</t>
  </si>
  <si>
    <t>Expenditure in Years 1-5</t>
  </si>
  <si>
    <t>Commments</t>
  </si>
  <si>
    <t>($)</t>
  </si>
  <si>
    <t>Drip System</t>
  </si>
  <si>
    <t>Main/South Stockpiles</t>
  </si>
  <si>
    <t>Drip system piping expansion/reburbishment</t>
  </si>
  <si>
    <t>HDPE</t>
  </si>
  <si>
    <t>Varied</t>
  </si>
  <si>
    <t>Lump Sum</t>
  </si>
  <si>
    <t>Gathering System for Enhanced Evaporation</t>
  </si>
  <si>
    <t>East Headwall Interceptor Well</t>
  </si>
  <si>
    <t>Well</t>
  </si>
  <si>
    <t>6"</t>
  </si>
  <si>
    <t>.ea</t>
  </si>
  <si>
    <t>shallow</t>
  </si>
  <si>
    <t>Pumps</t>
  </si>
  <si>
    <t>5 gpm @ 100' TDH (45 psi)</t>
  </si>
  <si>
    <t>Internet</t>
  </si>
  <si>
    <t>High end estimated flow</t>
  </si>
  <si>
    <t xml:space="preserve">Pipeline </t>
  </si>
  <si>
    <t>DR 11 HDPE</t>
  </si>
  <si>
    <t>4"</t>
  </si>
  <si>
    <t>Ferguson</t>
  </si>
  <si>
    <t>feet</t>
  </si>
  <si>
    <t>LFES Collection Point</t>
  </si>
  <si>
    <t>Tank</t>
  </si>
  <si>
    <t>316L SS</t>
  </si>
  <si>
    <t xml:space="preserve">10,000 gallons </t>
  </si>
  <si>
    <t xml:space="preserve">Advanced Tank </t>
  </si>
  <si>
    <t>Kessel Waste Rock Stockpile</t>
  </si>
  <si>
    <t>Pump concrete</t>
  </si>
  <si>
    <t>10' square, 6" slab with #5 rebar</t>
  </si>
  <si>
    <t>yd^3</t>
  </si>
  <si>
    <t>$1000/yd^3 with dirt work</t>
  </si>
  <si>
    <t>3.5 gpm @ 100' TDH (45 psi)</t>
  </si>
  <si>
    <t>Use 3.5 gpm for year 11 flows, year 1 flow with existing pumps is 36 gpm</t>
  </si>
  <si>
    <t>15,000 gallons</t>
  </si>
  <si>
    <t>15 gpm @ 800' TDH (350 psi)</t>
  </si>
  <si>
    <t>Use 15 gpm for year 11 flows, year 1 flow with existing pumps is 151 gpm</t>
  </si>
  <si>
    <t>DR 7 HDPE</t>
  </si>
  <si>
    <t>8"</t>
  </si>
  <si>
    <t>NE Waste Rock Stockpile and Reservoir 5</t>
  </si>
  <si>
    <t>Pipeline</t>
  </si>
  <si>
    <t xml:space="preserve">4" </t>
  </si>
  <si>
    <t>5000 gal</t>
  </si>
  <si>
    <t>75k</t>
  </si>
  <si>
    <t>10000 gal</t>
  </si>
  <si>
    <t>125k</t>
  </si>
  <si>
    <t>44 gpm @ 370' TDH (160 psi)</t>
  </si>
  <si>
    <t>Use 44 gpm for year 11 flows, year 1 flow with existing pumps is 190 gpm</t>
  </si>
  <si>
    <t>Pipeline to Mechanical Evaporators</t>
  </si>
  <si>
    <t>Advanced Tank</t>
  </si>
  <si>
    <t>call</t>
  </si>
  <si>
    <t>New Seepage Collection/Interceptor System</t>
  </si>
  <si>
    <t>Trench</t>
  </si>
  <si>
    <t>4' W x 20' D x 100' L</t>
  </si>
  <si>
    <t>Includes excavation, liner, gravel, HDPE pipe, and labor</t>
  </si>
  <si>
    <t>Gravity flow to Dam 16</t>
  </si>
  <si>
    <t>Dam 16</t>
  </si>
  <si>
    <t>5 gpm @ 150' TDH (65 psi)</t>
  </si>
  <si>
    <t>Reservoir 4</t>
  </si>
  <si>
    <t>15000 gal</t>
  </si>
  <si>
    <t>200k</t>
  </si>
  <si>
    <t>82 gpm @ 150' TDH (65 psi)</t>
  </si>
  <si>
    <t>Use 82 gpm for year 11 flows, year 1 flow with existing pumps is 172 gpm</t>
  </si>
  <si>
    <t>Rustler Canyon/Res 9</t>
  </si>
  <si>
    <t>10,000 gallons</t>
  </si>
  <si>
    <t>4 gpm @ 450' TDH (200 psi)</t>
  </si>
  <si>
    <t>This is flow in Table 2 for just the 30% being collected, No 3A</t>
  </si>
  <si>
    <t>Santa Rita Pit</t>
  </si>
  <si>
    <t>Sumps</t>
  </si>
  <si>
    <t>Estrella, East, and Lee Hill</t>
  </si>
  <si>
    <t>98 gpm @ 500' TDH (200 psi)</t>
  </si>
  <si>
    <t>Subtotal</t>
  </si>
  <si>
    <t>Shipping</t>
  </si>
  <si>
    <t>4 tanks, $15k per load, 4 loads</t>
  </si>
  <si>
    <t>Electrical</t>
  </si>
  <si>
    <t>Electrical already exsists at all locations</t>
  </si>
  <si>
    <t>Automation</t>
  </si>
  <si>
    <t>Minor changes to reflect pumping tank to tank</t>
  </si>
  <si>
    <t>Installation</t>
  </si>
  <si>
    <t>25% capital, Mechanical, including labor and fittings</t>
  </si>
  <si>
    <t>Interceptor Wells/Gathering System for RO</t>
  </si>
  <si>
    <t>Oswaldo
Princess
TBD Wells</t>
  </si>
  <si>
    <t>TBD Wells (deep)</t>
  </si>
  <si>
    <t>Installed cost from Bisbee AZ recent deep well costs</t>
  </si>
  <si>
    <t>TBD Wells (shallow)</t>
  </si>
  <si>
    <t>Pumps - 2 TBD Deep Well, 2 Shaft Pumps</t>
  </si>
  <si>
    <t>Price in Wells</t>
  </si>
  <si>
    <t>125 gpm @ 1500' TDH (650 psi)
17 gpm @ 1500" TDH (650 psi)</t>
  </si>
  <si>
    <t>Gravity flow to RO</t>
  </si>
  <si>
    <t>Pumps - shallow wells</t>
  </si>
  <si>
    <t>17 gpm @ 200' TDH (62 psi)</t>
  </si>
  <si>
    <t>pump to rim to get to RO</t>
  </si>
  <si>
    <t>Pipeline to concentrator exists, 50% spend in year 1 for new wells</t>
  </si>
  <si>
    <t>Tailings Pond 7 Intercept Wells</t>
  </si>
  <si>
    <t>Wells</t>
  </si>
  <si>
    <t>ave well depth of 150'</t>
  </si>
  <si>
    <t>42 gpm @ 580' TDH (250 psi)</t>
  </si>
  <si>
    <t>ave flow rate in year 11</t>
  </si>
  <si>
    <t>reuse exsiting pipeline to pond area</t>
  </si>
  <si>
    <t>850 gpm @ 350' TDH (150 psi)</t>
  </si>
  <si>
    <t>ave flow rate in yeat 11</t>
  </si>
  <si>
    <t>10"</t>
  </si>
  <si>
    <t>reuse existing pipeline to 750k tank</t>
  </si>
  <si>
    <t>750K Tank</t>
  </si>
  <si>
    <t>Tank Rehab</t>
  </si>
  <si>
    <t xml:space="preserve">750k </t>
  </si>
  <si>
    <t>912 gpm @ 700' TDH (300 psi)</t>
  </si>
  <si>
    <t xml:space="preserve">ave flow rate in year 11, includes Continental </t>
  </si>
  <si>
    <t>reuse existing pipeline to Ivanhoe Concentrator</t>
  </si>
  <si>
    <t>included in well cost, ship one tank</t>
  </si>
  <si>
    <t>minor changes</t>
  </si>
  <si>
    <t>Included in well cost, tank and pipeline</t>
  </si>
  <si>
    <t>WTP</t>
  </si>
  <si>
    <t>Ivanhoe Concentrator</t>
  </si>
  <si>
    <t>Influent and Effluent Feed Lines</t>
  </si>
  <si>
    <t>Bag Filter Feed Pumps</t>
  </si>
  <si>
    <t>700 gpm @ 100 psi</t>
  </si>
  <si>
    <t>Pure Aqua</t>
  </si>
  <si>
    <t>Bag Filter Housing</t>
  </si>
  <si>
    <t>316 SS</t>
  </si>
  <si>
    <t>20 Bag Housing</t>
  </si>
  <si>
    <t>PRM Filtration</t>
  </si>
  <si>
    <t>Online spare</t>
  </si>
  <si>
    <t>Green Sand Filter</t>
  </si>
  <si>
    <t>GSF72-A</t>
  </si>
  <si>
    <t xml:space="preserve">CIP </t>
  </si>
  <si>
    <t>skids</t>
  </si>
  <si>
    <t>Reverse Osmosis</t>
  </si>
  <si>
    <t>TW-900K-18780</t>
  </si>
  <si>
    <t>780 gpm per unit, 3 units, one unit backwashing</t>
  </si>
  <si>
    <t>Prefilter included, 5 micron</t>
  </si>
  <si>
    <t>Brine and Effluent Tanks</t>
  </si>
  <si>
    <t>Fiberglass</t>
  </si>
  <si>
    <t xml:space="preserve">5,000 gallons </t>
  </si>
  <si>
    <t>Foundation</t>
  </si>
  <si>
    <t>100' square, 6" slab with #5 rebar</t>
  </si>
  <si>
    <t>HWWC</t>
  </si>
  <si>
    <t>Energy Dissipation Structure</t>
  </si>
  <si>
    <t>Skid mounted system, just need power drop</t>
  </si>
  <si>
    <t>minimal</t>
  </si>
  <si>
    <t>Main Pit</t>
  </si>
  <si>
    <t>Sprayers</t>
  </si>
  <si>
    <t>Pole Cats</t>
  </si>
  <si>
    <t>75 gpm of evaporation ave yearly at 16 hours per day</t>
  </si>
  <si>
    <t>SMI</t>
  </si>
  <si>
    <t>Sprayers required during winter months</t>
  </si>
  <si>
    <t>2 loads , $15k per load</t>
  </si>
  <si>
    <t>Electrical including labor and parts, electrical exists in the pit</t>
  </si>
  <si>
    <t>Mechanical, including labor and fittings</t>
  </si>
  <si>
    <t>Expected Life</t>
  </si>
  <si>
    <t>Replacement Costs
(per Year)</t>
  </si>
  <si>
    <t>Replacement Costs per Year 
(Year 1-5)</t>
  </si>
  <si>
    <t>Replacement Costs per Year 
(Years 6-21)</t>
  </si>
  <si>
    <t>Replacement Costs per Year 
(Years 22-100)</t>
  </si>
  <si>
    <t>Gathering System for Evaporation</t>
  </si>
  <si>
    <t>Resevoir 8</t>
  </si>
  <si>
    <t>Resevoir 7</t>
  </si>
  <si>
    <t>Resevoir 4</t>
  </si>
  <si>
    <t>TBD Wells</t>
  </si>
  <si>
    <t>Labor Costs</t>
  </si>
  <si>
    <t>Activities</t>
  </si>
  <si>
    <t>Equipment</t>
  </si>
  <si>
    <t>Number of Units</t>
  </si>
  <si>
    <t>Time Required per Unit (hrs)</t>
  </si>
  <si>
    <r>
      <rPr>
        <b/>
        <sz val="10"/>
        <color rgb="FF000000"/>
        <rFont val="Segoe UI"/>
        <family val="2"/>
      </rPr>
      <t>Cost per Hour (Fuel, Equipment, and Labor</t>
    </r>
    <r>
      <rPr>
        <b/>
        <sz val="10"/>
        <color rgb="FFA83800"/>
        <rFont val="Segoe UI"/>
        <family val="2"/>
      </rPr>
      <t>**</t>
    </r>
    <r>
      <rPr>
        <b/>
        <sz val="10"/>
        <color rgb="FF000000"/>
        <rFont val="Segoe UI"/>
        <family val="2"/>
      </rPr>
      <t>)</t>
    </r>
  </si>
  <si>
    <t>Cost per Year</t>
  </si>
  <si>
    <t>Operator Shifts</t>
  </si>
  <si>
    <t>Operators, 40 hrs/wk per person (1)</t>
  </si>
  <si>
    <t>Load Salt</t>
  </si>
  <si>
    <t>Cat 972</t>
  </si>
  <si>
    <t>Operator Rate</t>
  </si>
  <si>
    <t>/hr (2)</t>
  </si>
  <si>
    <r>
      <rPr>
        <sz val="10"/>
        <color rgb="FF000000"/>
        <rFont val="Segoe UI"/>
        <family val="2"/>
      </rPr>
      <t>Haul Salt</t>
    </r>
    <r>
      <rPr>
        <sz val="10"/>
        <color rgb="FFA83800"/>
        <rFont val="Segoe UI"/>
        <family val="2"/>
      </rPr>
      <t>*</t>
    </r>
  </si>
  <si>
    <t>Cat 770G</t>
  </si>
  <si>
    <t>Operator Hours</t>
  </si>
  <si>
    <t>hrs/year per person</t>
  </si>
  <si>
    <t>Dozer Assist Distribute Salt</t>
  </si>
  <si>
    <t>Cat D6, SU Blade</t>
  </si>
  <si>
    <t>Total cost for all operators</t>
  </si>
  <si>
    <t>/yr</t>
  </si>
  <si>
    <t>Load Local Cover</t>
  </si>
  <si>
    <t>Overtime for operators</t>
  </si>
  <si>
    <t xml:space="preserve">per person at </t>
  </si>
  <si>
    <t>Haul Local Cover</t>
  </si>
  <si>
    <t>Overtime hours for operators</t>
  </si>
  <si>
    <t>/hr per person</t>
  </si>
  <si>
    <t>Dozer Assist Distribute Local Cover</t>
  </si>
  <si>
    <t>Overtime cost for operators</t>
  </si>
  <si>
    <t>Road Maintenance</t>
  </si>
  <si>
    <t>Cat 14M, Off-Hwy Water Tanker Truck,6,000-gal.</t>
  </si>
  <si>
    <t>Supervisor Shift</t>
  </si>
  <si>
    <t xml:space="preserve">40 hrs/wk </t>
  </si>
  <si>
    <t>Sub Total</t>
  </si>
  <si>
    <t>Supervisor Rate</t>
  </si>
  <si>
    <t>/hr (3)</t>
  </si>
  <si>
    <t>Indirect Costs</t>
  </si>
  <si>
    <t>Supervisor Hours</t>
  </si>
  <si>
    <t>hrs/year</t>
  </si>
  <si>
    <t>Total Cost per Year</t>
  </si>
  <si>
    <t>Total cost for supervisor</t>
  </si>
  <si>
    <r>
      <rPr>
        <sz val="8"/>
        <color rgb="FFA83800"/>
        <rFont val="Times New Roman"/>
        <family val="1"/>
      </rPr>
      <t>*</t>
    </r>
    <r>
      <rPr>
        <sz val="8"/>
        <color rgb="FF000000"/>
        <rFont val="Times New Roman"/>
        <family val="1"/>
      </rPr>
      <t>Using the longest possible salt hauling route of 4 miles</t>
    </r>
  </si>
  <si>
    <t>Overtime for supervisor</t>
  </si>
  <si>
    <r>
      <rPr>
        <sz val="8"/>
        <color rgb="FFA83800"/>
        <rFont val="Times New Roman"/>
        <family val="1"/>
      </rPr>
      <t>**</t>
    </r>
    <r>
      <rPr>
        <sz val="8"/>
        <color rgb="FF000000"/>
        <rFont val="Times New Roman"/>
        <family val="1"/>
      </rPr>
      <t>Labor includes Equipment operators, Truck drivers, and Mechanics</t>
    </r>
  </si>
  <si>
    <t>Overtime hours for supervisor</t>
  </si>
  <si>
    <t xml:space="preserve">/hr </t>
  </si>
  <si>
    <t>Overtime cost for supervisor</t>
  </si>
  <si>
    <t>Fringe Rate per Hour</t>
  </si>
  <si>
    <t>Number of employees</t>
  </si>
  <si>
    <t>Benefit Cost</t>
  </si>
  <si>
    <t>Total Operator/Supervisor Cost</t>
  </si>
  <si>
    <t>WTP, Interceptor Wells, and Evaporation</t>
  </si>
  <si>
    <t>1 - Operator numbers are from experience with similar facilities.</t>
  </si>
  <si>
    <t xml:space="preserve">2 - Wages from 2025 New Mexico Type “A” –
Street, Highway, Utility &amp; Light Engineering Prevailing Wages. Operator Group I. </t>
  </si>
  <si>
    <t>https://www.dws.state.nm.us/Portals/0/DM/LaborRelations/Prevailing_Wage_Poster_A_2025.pdf</t>
  </si>
  <si>
    <t xml:space="preserve">3 - Wages from 2025 New Mexico Type “A” –
Street, Highway, Utility &amp; Light Engineering Prevailing Wages. Operator Group X. </t>
  </si>
  <si>
    <t>Power Useage Table</t>
  </si>
  <si>
    <t>Yr6 gravity flow to RO</t>
  </si>
  <si>
    <t>Yr 6 pump to rim</t>
  </si>
  <si>
    <t>1/2 GW</t>
  </si>
  <si>
    <t>Area of stockpile</t>
  </si>
  <si>
    <t>Headwall, Lamp Stockpiles, Kessel</t>
  </si>
  <si>
    <t>West stockpile 1/2 GW</t>
  </si>
  <si>
    <t>added this to stockpile evaporation</t>
  </si>
  <si>
    <t>Flow in Year 1 or 6</t>
  </si>
  <si>
    <t>Head</t>
  </si>
  <si>
    <t>Max Power Useage</t>
  </si>
  <si>
    <t>Run Time</t>
  </si>
  <si>
    <t>Annual Power Consumption</t>
  </si>
  <si>
    <t>Maximum Operation Cost 
($0.045/kWh)</t>
  </si>
  <si>
    <t>Interceptor Wells</t>
  </si>
  <si>
    <t>ave dist and elev gain to top of stockpile</t>
  </si>
  <si>
    <t xml:space="preserve">Collects intercepted water 1st 5 years
 pump to stockpile evaporators. </t>
  </si>
  <si>
    <t>Year 6 it only pumps 5% not intercepted and runoff</t>
  </si>
  <si>
    <t>(ft)</t>
  </si>
  <si>
    <t>(hp)</t>
  </si>
  <si>
    <t>(hr/day)</t>
  </si>
  <si>
    <t>(kWh/year)</t>
  </si>
  <si>
    <t>Gathering
Total</t>
  </si>
  <si>
    <t>Sprayer/RO/Wells</t>
  </si>
  <si>
    <t>4 Total Wells  
(RO Treatment)</t>
  </si>
  <si>
    <t>Both Stockpile Evaporation</t>
  </si>
  <si>
    <t>Rustler Canyon</t>
  </si>
  <si>
    <t>RO Pumps</t>
  </si>
  <si>
    <t>Sprayer Fan Motors</t>
  </si>
  <si>
    <t>Stokpile Evaporation</t>
  </si>
  <si>
    <t>Elevation Head</t>
  </si>
  <si>
    <t>Pipeline Length</t>
  </si>
  <si>
    <t>Efficiency Coefficient</t>
  </si>
  <si>
    <t>Inside Pipe Diameter (in)</t>
  </si>
  <si>
    <t>Hazen Williams Roughness Coefficient</t>
  </si>
  <si>
    <t>Flow Velocity (ft/sec)</t>
  </si>
  <si>
    <t>Volumetric Flow Rate</t>
  </si>
  <si>
    <t>Tailings Pond 7*</t>
  </si>
  <si>
    <t>Friction Head Loss (ft water/ft)</t>
  </si>
  <si>
    <t>750K Tank*</t>
  </si>
  <si>
    <t>Friction Head Loss Total (ft water)</t>
  </si>
  <si>
    <t>Total Dynamic Head (ft)</t>
  </si>
  <si>
    <t>Pumps*</t>
  </si>
  <si>
    <t>Specific Gravity (Water)</t>
  </si>
  <si>
    <t>Bag Filter Feed Pumps*</t>
  </si>
  <si>
    <t>Max Power</t>
  </si>
  <si>
    <t>RO Unit High Pressure Pumps*</t>
  </si>
  <si>
    <t>(HP)</t>
  </si>
  <si>
    <t>Sprayer Fan Motors*</t>
  </si>
  <si>
    <t>NA</t>
  </si>
  <si>
    <t>* Indicates values for year 6 startup</t>
  </si>
  <si>
    <t>Power Cost by Year</t>
  </si>
  <si>
    <t>Gathering System</t>
  </si>
  <si>
    <t>Interceptor Wells/RO/Enhanced Evaporators</t>
  </si>
  <si>
    <t>Reagent</t>
  </si>
  <si>
    <t>Dosing Rate</t>
  </si>
  <si>
    <t xml:space="preserve">Operation Cost </t>
  </si>
  <si>
    <t>Comments</t>
  </si>
  <si>
    <t>(lbs/yr)</t>
  </si>
  <si>
    <t>($/lbs)</t>
  </si>
  <si>
    <t>($/yr)</t>
  </si>
  <si>
    <t xml:space="preserve">Antiscalant </t>
  </si>
  <si>
    <t xml:space="preserve">RO system has a volume of </t>
  </si>
  <si>
    <t>gallons for all 126 membranes</t>
  </si>
  <si>
    <t>Biocide</t>
  </si>
  <si>
    <t>average of 100 years is just one unit</t>
  </si>
  <si>
    <t>RO High pH Cleaning Chemical</t>
  </si>
  <si>
    <t xml:space="preserve">1 cleaning per month </t>
  </si>
  <si>
    <t>one high pH and one low per month</t>
  </si>
  <si>
    <t>RO Low pH Cleaning Chemical</t>
  </si>
  <si>
    <t>gpm additional flow for cleaning</t>
  </si>
  <si>
    <t>Cost (Year 6)</t>
  </si>
  <si>
    <t xml:space="preserve">Discharge Permit </t>
  </si>
  <si>
    <t>Total Number of Samples</t>
  </si>
  <si>
    <t>Cost per Sample</t>
  </si>
  <si>
    <t>Total Cost Estimation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</si>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</sst>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"/>
    <numFmt numFmtId="166" formatCode="&quot;$&quot;#,##0.00"/>
    <numFmt numFmtId="167" formatCode="&quot;$&quot;#,##0"/>
    <numFmt numFmtId="168" formatCode="#,##0.0"/>
    <numFmt numFmtId="169" formatCode="#,##0.000"/>
    <numFmt numFmtId="170" formatCode="0.0000"/>
    <numFmt numFmtId="171" formatCode="0.00000"/>
    <numFmt numFmtId="172" formatCode="_([$$-409]* #,##0.00_);_([$$-409]* \(#,##0.00\);_([$$-409]* &quot;-&quot;??_);_(@_)"/>
    <numFmt numFmtId="173" formatCode="_(&quot;$&quot;* #,##0_);_(&quot;$&quot;* \(#,##0\);_(&quot;$&quot;* &quot;-&quot;??_);_(@_)"/>
  </numFmts>
  <fonts count="5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.5"/>
      <name val="Arial"/>
      <family val="2"/>
    </font>
    <font>
      <sz val="6.5"/>
      <color rgb="FF000000"/>
      <name val="Arial"/>
      <family val="2"/>
    </font>
    <font>
      <sz val="6.5"/>
      <name val="Arial"/>
      <family val="2"/>
    </font>
    <font>
      <sz val="10"/>
      <name val="Times New Roman"/>
      <family val="1"/>
    </font>
    <font>
      <sz val="6.5"/>
      <color rgb="FFFF0000"/>
      <name val="Arial"/>
      <family val="2"/>
    </font>
    <font>
      <sz val="10"/>
      <color rgb="FF000000"/>
      <name val="Times New Roman"/>
      <family val="1"/>
    </font>
    <font>
      <sz val="8"/>
      <name val="Times New Roman"/>
      <family val="1"/>
    </font>
    <font>
      <sz val="6.5"/>
      <color theme="1"/>
      <name val="Arial"/>
      <family val="2"/>
    </font>
    <font>
      <sz val="10"/>
      <color rgb="FFFF0000"/>
      <name val="Times New Roman"/>
      <family val="1"/>
    </font>
    <font>
      <b/>
      <sz val="6.5"/>
      <color rgb="FF000000"/>
      <name val="Arial"/>
      <family val="2"/>
    </font>
    <font>
      <sz val="8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Arial"/>
      <family val="2"/>
    </font>
    <font>
      <sz val="12"/>
      <color rgb="FFFF0000"/>
      <name val="Times New Roman"/>
      <family val="1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b/>
      <sz val="6.5"/>
      <color theme="1"/>
      <name val="Arial"/>
      <family val="2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</font>
    <font>
      <b/>
      <sz val="10"/>
      <name val="Segoe UI"/>
      <family val="2"/>
    </font>
    <font>
      <b/>
      <sz val="10"/>
      <color rgb="FF000000"/>
      <name val="Segoe UI"/>
      <family val="2"/>
    </font>
    <font>
      <sz val="6.5"/>
      <name val="Segoe UI"/>
      <family val="2"/>
    </font>
    <font>
      <sz val="10"/>
      <name val="Segoe UI"/>
      <family val="2"/>
    </font>
    <font>
      <sz val="6.5"/>
      <color rgb="FF000000"/>
      <name val="Segoe UI"/>
      <family val="2"/>
    </font>
    <font>
      <sz val="10"/>
      <color rgb="FF000000"/>
      <name val="Segoe UI"/>
      <family val="2"/>
    </font>
    <font>
      <sz val="8"/>
      <name val="Segoe UI"/>
      <family val="2"/>
    </font>
    <font>
      <sz val="6.5"/>
      <color rgb="FFFF0000"/>
      <name val="Segoe UI"/>
      <family val="2"/>
    </font>
    <font>
      <sz val="10"/>
      <color rgb="FFFF0000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8"/>
      <color rgb="FF000000"/>
      <name val="Segoe UI"/>
      <family val="2"/>
    </font>
    <font>
      <sz val="8"/>
      <color theme="1"/>
      <name val="Segoe UI"/>
      <family val="2"/>
    </font>
    <font>
      <u/>
      <sz val="8"/>
      <color theme="10"/>
      <name val="Segoe UI"/>
      <family val="2"/>
    </font>
    <font>
      <b/>
      <sz val="10"/>
      <color rgb="FFA83800"/>
      <name val="Segoe UI"/>
      <family val="2"/>
    </font>
    <font>
      <sz val="10"/>
      <color rgb="FFA83800"/>
      <name val="Segoe UI"/>
      <family val="2"/>
    </font>
    <font>
      <sz val="8"/>
      <color rgb="FFA83800"/>
      <name val="Times New Roman"/>
      <family val="1"/>
    </font>
    <font>
      <b/>
      <sz val="10"/>
      <name val="Segoe UI Historic"/>
      <family val="2"/>
    </font>
    <font>
      <sz val="10"/>
      <color rgb="FF000000"/>
      <name val="Segoe UI Historic"/>
      <family val="2"/>
    </font>
    <font>
      <sz val="10"/>
      <name val="Segoe UI Historic"/>
      <family val="2"/>
    </font>
    <font>
      <sz val="10"/>
      <color theme="1"/>
      <name val="Segoe UI Historic"/>
      <family val="2"/>
    </font>
    <font>
      <b/>
      <sz val="10"/>
      <color rgb="FF000000"/>
      <name val="Segoe UI Historic"/>
      <family val="2"/>
    </font>
    <font>
      <b/>
      <sz val="10"/>
      <color theme="1"/>
      <name val="Segoe UI Historic"/>
      <family val="2"/>
    </font>
    <font>
      <sz val="8"/>
      <color rgb="FF000000"/>
      <name val="Segoe UI Histor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C7CE"/>
      </patternFill>
    </fill>
  </fills>
  <borders count="16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246978"/>
      </left>
      <right/>
      <top style="double">
        <color rgb="FF246978"/>
      </top>
      <bottom/>
      <diagonal/>
    </border>
    <border>
      <left style="double">
        <color rgb="FF246978"/>
      </left>
      <right style="thin">
        <color rgb="FF246978"/>
      </right>
      <top style="medium">
        <color rgb="FFA83800"/>
      </top>
      <bottom style="thin">
        <color rgb="FF246978"/>
      </bottom>
      <diagonal/>
    </border>
    <border>
      <left style="thin">
        <color rgb="FF246978"/>
      </left>
      <right style="thin">
        <color rgb="FF246978"/>
      </right>
      <top style="medium">
        <color rgb="FFA83800"/>
      </top>
      <bottom style="thin">
        <color rgb="FF246978"/>
      </bottom>
      <diagonal/>
    </border>
    <border>
      <left style="thin">
        <color rgb="FF246978"/>
      </left>
      <right style="thin">
        <color rgb="FF246978"/>
      </right>
      <top/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 style="medium">
        <color rgb="FFA83800"/>
      </top>
      <bottom style="thin">
        <color rgb="FF246978"/>
      </bottom>
      <diagonal/>
    </border>
    <border>
      <left style="double">
        <color rgb="FF246978"/>
      </left>
      <right style="thin">
        <color rgb="FF246978"/>
      </right>
      <top style="thin">
        <color rgb="FF246978"/>
      </top>
      <bottom style="thin">
        <color rgb="FF246978"/>
      </bottom>
      <diagonal/>
    </border>
    <border>
      <left style="thin">
        <color rgb="FF246978"/>
      </left>
      <right style="thin">
        <color rgb="FF246978"/>
      </right>
      <top style="thin">
        <color rgb="FF246978"/>
      </top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 style="thin">
        <color rgb="FF246978"/>
      </top>
      <bottom style="thin">
        <color rgb="FF246978"/>
      </bottom>
      <diagonal/>
    </border>
    <border>
      <left style="double">
        <color rgb="FF246978"/>
      </left>
      <right style="thin">
        <color rgb="FF246978"/>
      </right>
      <top style="thin">
        <color rgb="FF246978"/>
      </top>
      <bottom/>
      <diagonal/>
    </border>
    <border>
      <left/>
      <right style="thin">
        <color rgb="FF246978"/>
      </right>
      <top style="thin">
        <color rgb="FF246978"/>
      </top>
      <bottom style="thin">
        <color rgb="FF246978"/>
      </bottom>
      <diagonal/>
    </border>
    <border>
      <left style="double">
        <color rgb="FF246978"/>
      </left>
      <right style="thin">
        <color rgb="FF246978"/>
      </right>
      <top/>
      <bottom style="thin">
        <color rgb="FF246978"/>
      </bottom>
      <diagonal/>
    </border>
    <border>
      <left style="double">
        <color rgb="FF246978"/>
      </left>
      <right style="thin">
        <color rgb="FF246978"/>
      </right>
      <top style="thin">
        <color rgb="FF246978"/>
      </top>
      <bottom style="double">
        <color rgb="FF246978"/>
      </bottom>
      <diagonal/>
    </border>
    <border>
      <left style="thin">
        <color rgb="FF246978"/>
      </left>
      <right style="thin">
        <color rgb="FF246978"/>
      </right>
      <top style="thin">
        <color rgb="FF246978"/>
      </top>
      <bottom style="double">
        <color rgb="FF246978"/>
      </bottom>
      <diagonal/>
    </border>
    <border>
      <left style="thin">
        <color rgb="FF246978"/>
      </left>
      <right style="double">
        <color rgb="FF246978"/>
      </right>
      <top style="thin">
        <color rgb="FF246978"/>
      </top>
      <bottom style="double">
        <color rgb="FF246978"/>
      </bottom>
      <diagonal/>
    </border>
    <border>
      <left style="double">
        <color rgb="FF246978"/>
      </left>
      <right style="thin">
        <color rgb="FF246978"/>
      </right>
      <top style="thick">
        <color rgb="FFA83800"/>
      </top>
      <bottom style="thin">
        <color rgb="FF246978"/>
      </bottom>
      <diagonal/>
    </border>
    <border>
      <left style="thin">
        <color rgb="FF246978"/>
      </left>
      <right/>
      <top/>
      <bottom style="thin">
        <color rgb="FF246978"/>
      </bottom>
      <diagonal/>
    </border>
    <border>
      <left style="thin">
        <color rgb="FF246978"/>
      </left>
      <right style="thin">
        <color rgb="FF246978"/>
      </right>
      <top style="thick">
        <color rgb="FFA83800"/>
      </top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/>
      <bottom style="thin">
        <color rgb="FF246978"/>
      </bottom>
      <diagonal/>
    </border>
    <border>
      <left/>
      <right style="thin">
        <color rgb="FF246978"/>
      </right>
      <top style="thin">
        <color rgb="FF246978"/>
      </top>
      <bottom/>
      <diagonal/>
    </border>
    <border>
      <left/>
      <right style="thin">
        <color rgb="FF246978"/>
      </right>
      <top/>
      <bottom/>
      <diagonal/>
    </border>
    <border>
      <left/>
      <right style="thin">
        <color rgb="FF246978"/>
      </right>
      <top/>
      <bottom style="thin">
        <color rgb="FF246978"/>
      </bottom>
      <diagonal/>
    </border>
    <border>
      <left style="thin">
        <color rgb="FF246978"/>
      </left>
      <right style="thin">
        <color rgb="FF246978"/>
      </right>
      <top style="thin">
        <color rgb="FF246978"/>
      </top>
      <bottom style="thick">
        <color rgb="FFA83800"/>
      </bottom>
      <diagonal/>
    </border>
    <border>
      <left style="thin">
        <color rgb="FF246978"/>
      </left>
      <right style="double">
        <color rgb="FF246978"/>
      </right>
      <top style="thin">
        <color rgb="FF246978"/>
      </top>
      <bottom style="thick">
        <color rgb="FFA83800"/>
      </bottom>
      <diagonal/>
    </border>
    <border>
      <left style="double">
        <color rgb="FF246978"/>
      </left>
      <right style="thin">
        <color rgb="FF246978"/>
      </right>
      <top style="thin">
        <color rgb="FF246978"/>
      </top>
      <bottom style="thick">
        <color rgb="FFA83800"/>
      </bottom>
      <diagonal/>
    </border>
    <border>
      <left style="double">
        <color rgb="FF246978"/>
      </left>
      <right style="thin">
        <color rgb="FF246978"/>
      </right>
      <top/>
      <bottom style="double">
        <color rgb="FF246978"/>
      </bottom>
      <diagonal/>
    </border>
    <border>
      <left style="thin">
        <color rgb="FF246978"/>
      </left>
      <right style="thin">
        <color rgb="FF246978"/>
      </right>
      <top/>
      <bottom style="double">
        <color rgb="FF246978"/>
      </bottom>
      <diagonal/>
    </border>
    <border>
      <left style="double">
        <color rgb="FF246978"/>
      </left>
      <right/>
      <top/>
      <bottom/>
      <diagonal/>
    </border>
    <border>
      <left style="thin">
        <color rgb="FF246978"/>
      </left>
      <right style="thin">
        <color rgb="FF246978"/>
      </right>
      <top/>
      <bottom/>
      <diagonal/>
    </border>
    <border>
      <left style="thin">
        <color rgb="FF246978"/>
      </left>
      <right style="double">
        <color rgb="FF246978"/>
      </right>
      <top/>
      <bottom/>
      <diagonal/>
    </border>
    <border>
      <left style="thin">
        <color rgb="FF246978"/>
      </left>
      <right/>
      <top style="thin">
        <color rgb="FF246978"/>
      </top>
      <bottom/>
      <diagonal/>
    </border>
    <border>
      <left style="thin">
        <color rgb="FF246978"/>
      </left>
      <right style="thin">
        <color rgb="FF246978"/>
      </right>
      <top style="thin">
        <color rgb="FF246978"/>
      </top>
      <bottom/>
      <diagonal/>
    </border>
    <border>
      <left style="double">
        <color rgb="FF246978"/>
      </left>
      <right style="thin">
        <color rgb="FF246978"/>
      </right>
      <top/>
      <bottom/>
      <diagonal/>
    </border>
    <border>
      <left style="double">
        <color rgb="FF246978"/>
      </left>
      <right style="thin">
        <color rgb="FF246978"/>
      </right>
      <top/>
      <bottom style="thick">
        <color rgb="FFA83800"/>
      </bottom>
      <diagonal/>
    </border>
    <border>
      <left style="double">
        <color rgb="FF246978"/>
      </left>
      <right style="thin">
        <color rgb="FF246978"/>
      </right>
      <top style="double">
        <color rgb="FF246978"/>
      </top>
      <bottom/>
      <diagonal/>
    </border>
    <border>
      <left style="thin">
        <color rgb="FF246978"/>
      </left>
      <right/>
      <top style="thin">
        <color rgb="FF246978"/>
      </top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/>
      <bottom style="double">
        <color rgb="FF246978"/>
      </bottom>
      <diagonal/>
    </border>
    <border>
      <left style="thin">
        <color rgb="FF246978"/>
      </left>
      <right style="double">
        <color rgb="FF246978"/>
      </right>
      <top style="thick">
        <color rgb="FFA83800"/>
      </top>
      <bottom style="thin">
        <color rgb="FF246978"/>
      </bottom>
      <diagonal/>
    </border>
    <border>
      <left style="double">
        <color rgb="FF246978"/>
      </left>
      <right style="thin">
        <color rgb="FF246978"/>
      </right>
      <top style="double">
        <color rgb="FF246978"/>
      </top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 style="double">
        <color rgb="FF246978"/>
      </top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 style="thin">
        <color rgb="FF246978"/>
      </top>
      <bottom/>
      <diagonal/>
    </border>
    <border>
      <left style="double">
        <color rgb="FF246978"/>
      </left>
      <right style="thin">
        <color rgb="FF246978"/>
      </right>
      <top style="thin">
        <color rgb="FF246978"/>
      </top>
      <bottom style="medium">
        <color rgb="FFA83800"/>
      </bottom>
      <diagonal/>
    </border>
    <border>
      <left style="thin">
        <color rgb="FF246978"/>
      </left>
      <right style="thin">
        <color rgb="FF246978"/>
      </right>
      <top style="medium">
        <color rgb="FFA83800"/>
      </top>
      <bottom/>
      <diagonal/>
    </border>
    <border>
      <left style="thin">
        <color rgb="FF246978"/>
      </left>
      <right style="thin">
        <color rgb="FF246978"/>
      </right>
      <top style="thin">
        <color rgb="FF246978"/>
      </top>
      <bottom style="medium">
        <color rgb="FFA83800"/>
      </bottom>
      <diagonal/>
    </border>
    <border>
      <left style="thin">
        <color rgb="FF246978"/>
      </left>
      <right style="double">
        <color rgb="FF246978"/>
      </right>
      <top style="thin">
        <color rgb="FF246978"/>
      </top>
      <bottom style="medium">
        <color rgb="FFA83800"/>
      </bottom>
      <diagonal/>
    </border>
    <border>
      <left style="double">
        <color rgb="FF246978"/>
      </left>
      <right style="thin">
        <color rgb="FF246978"/>
      </right>
      <top style="medium">
        <color rgb="FFA83800"/>
      </top>
      <bottom style="medium">
        <color rgb="FFA83800"/>
      </bottom>
      <diagonal/>
    </border>
    <border>
      <left style="thin">
        <color rgb="FF246978"/>
      </left>
      <right style="thin">
        <color rgb="FF246978"/>
      </right>
      <top style="medium">
        <color rgb="FFA83800"/>
      </top>
      <bottom style="medium">
        <color rgb="FFA83800"/>
      </bottom>
      <diagonal/>
    </border>
    <border>
      <left style="thin">
        <color rgb="FF246978"/>
      </left>
      <right style="double">
        <color rgb="FF246978"/>
      </right>
      <top style="medium">
        <color rgb="FFA83800"/>
      </top>
      <bottom style="medium">
        <color rgb="FFA83800"/>
      </bottom>
      <diagonal/>
    </border>
    <border>
      <left style="thin">
        <color rgb="FF246978"/>
      </left>
      <right/>
      <top/>
      <bottom/>
      <diagonal/>
    </border>
    <border>
      <left style="thin">
        <color rgb="FF246978"/>
      </left>
      <right style="thin">
        <color rgb="FF246978"/>
      </right>
      <top/>
      <bottom style="thick">
        <color rgb="FFA83800"/>
      </bottom>
      <diagonal/>
    </border>
    <border>
      <left style="thin">
        <color rgb="FF246978"/>
      </left>
      <right style="thin">
        <color rgb="FF246978"/>
      </right>
      <top/>
      <bottom style="thin">
        <color indexed="64"/>
      </bottom>
      <diagonal/>
    </border>
    <border>
      <left style="thin">
        <color rgb="FF246978"/>
      </left>
      <right style="thin">
        <color rgb="FF246978"/>
      </right>
      <top style="double">
        <color rgb="FF246978"/>
      </top>
      <bottom style="thin">
        <color rgb="FF246978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double">
        <color rgb="FF246978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double">
        <color rgb="FF236978"/>
      </left>
      <right style="thin">
        <color rgb="FF236978"/>
      </right>
      <top style="double">
        <color rgb="FF236978"/>
      </top>
      <bottom style="medium">
        <color rgb="FFA83800"/>
      </bottom>
      <diagonal/>
    </border>
    <border>
      <left style="thin">
        <color rgb="FF236978"/>
      </left>
      <right style="thin">
        <color rgb="FF236978"/>
      </right>
      <top style="double">
        <color rgb="FF236978"/>
      </top>
      <bottom style="medium">
        <color rgb="FFA83800"/>
      </bottom>
      <diagonal/>
    </border>
    <border>
      <left style="thin">
        <color rgb="FF236978"/>
      </left>
      <right style="double">
        <color rgb="FF236978"/>
      </right>
      <top style="double">
        <color rgb="FF236978"/>
      </top>
      <bottom style="medium">
        <color rgb="FFA83800"/>
      </bottom>
      <diagonal/>
    </border>
    <border>
      <left style="double">
        <color rgb="FF236978"/>
      </left>
      <right style="thin">
        <color rgb="FF236978"/>
      </right>
      <top/>
      <bottom style="thin">
        <color rgb="FF236978"/>
      </bottom>
      <diagonal/>
    </border>
    <border>
      <left style="thin">
        <color rgb="FF236978"/>
      </left>
      <right style="thin">
        <color rgb="FF236978"/>
      </right>
      <top/>
      <bottom style="thin">
        <color rgb="FF236978"/>
      </bottom>
      <diagonal/>
    </border>
    <border>
      <left style="thin">
        <color rgb="FF236978"/>
      </left>
      <right style="double">
        <color rgb="FF236978"/>
      </right>
      <top/>
      <bottom style="thin">
        <color rgb="FF236978"/>
      </bottom>
      <diagonal/>
    </border>
    <border>
      <left style="double">
        <color rgb="FF236978"/>
      </left>
      <right style="thin">
        <color rgb="FF236978"/>
      </right>
      <top style="thin">
        <color rgb="FF236978"/>
      </top>
      <bottom style="thin">
        <color rgb="FF236978"/>
      </bottom>
      <diagonal/>
    </border>
    <border>
      <left style="thin">
        <color rgb="FF236978"/>
      </left>
      <right style="thin">
        <color rgb="FF236978"/>
      </right>
      <top style="thin">
        <color rgb="FF236978"/>
      </top>
      <bottom style="thin">
        <color rgb="FF236978"/>
      </bottom>
      <diagonal/>
    </border>
    <border>
      <left style="thin">
        <color rgb="FF236978"/>
      </left>
      <right style="double">
        <color rgb="FF236978"/>
      </right>
      <top style="thin">
        <color rgb="FF236978"/>
      </top>
      <bottom style="thin">
        <color rgb="FF236978"/>
      </bottom>
      <diagonal/>
    </border>
    <border>
      <left style="double">
        <color rgb="FF236978"/>
      </left>
      <right style="thin">
        <color rgb="FF236978"/>
      </right>
      <top style="thin">
        <color rgb="FF236978"/>
      </top>
      <bottom style="medium">
        <color rgb="FFA83800"/>
      </bottom>
      <diagonal/>
    </border>
    <border>
      <left style="thin">
        <color rgb="FF236978"/>
      </left>
      <right style="thin">
        <color rgb="FF236978"/>
      </right>
      <top style="thin">
        <color rgb="FF236978"/>
      </top>
      <bottom style="medium">
        <color rgb="FFA83800"/>
      </bottom>
      <diagonal/>
    </border>
    <border>
      <left style="thin">
        <color rgb="FF236978"/>
      </left>
      <right style="double">
        <color rgb="FF236978"/>
      </right>
      <top style="thin">
        <color rgb="FF236978"/>
      </top>
      <bottom style="medium">
        <color rgb="FFA83800"/>
      </bottom>
      <diagonal/>
    </border>
    <border>
      <left style="double">
        <color rgb="FF236978"/>
      </left>
      <right style="thin">
        <color rgb="FF236978"/>
      </right>
      <top/>
      <bottom style="double">
        <color rgb="FF236978"/>
      </bottom>
      <diagonal/>
    </border>
    <border>
      <left style="thin">
        <color rgb="FF236978"/>
      </left>
      <right style="thin">
        <color rgb="FF236978"/>
      </right>
      <top/>
      <bottom style="double">
        <color rgb="FF236978"/>
      </bottom>
      <diagonal/>
    </border>
    <border>
      <left style="thin">
        <color rgb="FF236978"/>
      </left>
      <right style="double">
        <color rgb="FF236978"/>
      </right>
      <top/>
      <bottom style="double">
        <color rgb="FF236978"/>
      </bottom>
      <diagonal/>
    </border>
    <border>
      <left/>
      <right/>
      <top style="double">
        <color rgb="FF236978"/>
      </top>
      <bottom/>
      <diagonal/>
    </border>
    <border>
      <left style="double">
        <color rgb="FF246978"/>
      </left>
      <right style="thin">
        <color rgb="FF246978"/>
      </right>
      <top style="double">
        <color rgb="FF246978"/>
      </top>
      <bottom style="thick">
        <color rgb="FF246978"/>
      </bottom>
      <diagonal/>
    </border>
    <border>
      <left style="thin">
        <color rgb="FF246978"/>
      </left>
      <right style="thin">
        <color rgb="FF246978"/>
      </right>
      <top style="double">
        <color rgb="FF246978"/>
      </top>
      <bottom style="thick">
        <color rgb="FF246978"/>
      </bottom>
      <diagonal/>
    </border>
    <border>
      <left style="thin">
        <color rgb="FF246978"/>
      </left>
      <right style="double">
        <color rgb="FF246978"/>
      </right>
      <top style="double">
        <color rgb="FF246978"/>
      </top>
      <bottom style="thick">
        <color rgb="FF24697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double">
        <color rgb="FF246978"/>
      </left>
      <right style="thin">
        <color rgb="FF246978"/>
      </right>
      <top style="thin">
        <color rgb="FF246978"/>
      </top>
      <bottom style="thick">
        <color rgb="FF246978"/>
      </bottom>
      <diagonal/>
    </border>
    <border>
      <left style="thin">
        <color rgb="FF246978"/>
      </left>
      <right style="thin">
        <color rgb="FF246978"/>
      </right>
      <top style="thin">
        <color rgb="FF246978"/>
      </top>
      <bottom style="thick">
        <color rgb="FF246978"/>
      </bottom>
      <diagonal/>
    </border>
    <border>
      <left style="thin">
        <color rgb="FF246978"/>
      </left>
      <right style="double">
        <color rgb="FF246978"/>
      </right>
      <top style="thin">
        <color rgb="FF246978"/>
      </top>
      <bottom style="thick">
        <color rgb="FF246978"/>
      </bottom>
      <diagonal/>
    </border>
    <border>
      <left style="double">
        <color rgb="FF246978"/>
      </left>
      <right style="thin">
        <color rgb="FF246978"/>
      </right>
      <top style="thick">
        <color rgb="FF246978"/>
      </top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 style="thick">
        <color rgb="FF246978"/>
      </top>
      <bottom style="thin">
        <color rgb="FF246978"/>
      </bottom>
      <diagonal/>
    </border>
    <border>
      <left style="thin">
        <color rgb="FF246978"/>
      </left>
      <right style="double">
        <color rgb="FF246978"/>
      </right>
      <top/>
      <bottom style="thick">
        <color rgb="FFA83800"/>
      </bottom>
      <diagonal/>
    </border>
    <border>
      <left style="double">
        <color rgb="FF246978"/>
      </left>
      <right style="thin">
        <color rgb="FF246978"/>
      </right>
      <top style="thin">
        <color rgb="FF246978"/>
      </top>
      <bottom style="medium">
        <color rgb="FF246978"/>
      </bottom>
      <diagonal/>
    </border>
    <border>
      <left style="thin">
        <color rgb="FF246978"/>
      </left>
      <right style="thin">
        <color rgb="FF246978"/>
      </right>
      <top style="thin">
        <color rgb="FF246978"/>
      </top>
      <bottom style="medium">
        <color rgb="FF246978"/>
      </bottom>
      <diagonal/>
    </border>
    <border>
      <left style="thin">
        <color rgb="FF246978"/>
      </left>
      <right style="double">
        <color rgb="FF246978"/>
      </right>
      <top style="thin">
        <color rgb="FF246978"/>
      </top>
      <bottom style="medium">
        <color rgb="FF246978"/>
      </bottom>
      <diagonal/>
    </border>
    <border>
      <left style="double">
        <color rgb="FF246978"/>
      </left>
      <right style="thin">
        <color rgb="FF246978"/>
      </right>
      <top/>
      <bottom style="medium">
        <color rgb="FFA83800"/>
      </bottom>
      <diagonal/>
    </border>
    <border>
      <left style="thin">
        <color rgb="FF246978"/>
      </left>
      <right style="thin">
        <color rgb="FF246978"/>
      </right>
      <top/>
      <bottom style="medium">
        <color rgb="FFA83800"/>
      </bottom>
      <diagonal/>
    </border>
    <border>
      <left style="thin">
        <color rgb="FF246978"/>
      </left>
      <right style="double">
        <color rgb="FF246978"/>
      </right>
      <top/>
      <bottom style="medium">
        <color rgb="FFA83800"/>
      </bottom>
      <diagonal/>
    </border>
    <border>
      <left style="double">
        <color rgb="FF246978"/>
      </left>
      <right/>
      <top style="medium">
        <color rgb="FFA83800"/>
      </top>
      <bottom style="double">
        <color rgb="FF246978"/>
      </bottom>
      <diagonal/>
    </border>
    <border>
      <left/>
      <right/>
      <top style="medium">
        <color rgb="FFA83800"/>
      </top>
      <bottom style="double">
        <color rgb="FF246978"/>
      </bottom>
      <diagonal/>
    </border>
    <border>
      <left/>
      <right style="double">
        <color rgb="FF246978"/>
      </right>
      <top style="medium">
        <color rgb="FFA83800"/>
      </top>
      <bottom style="double">
        <color rgb="FF246978"/>
      </bottom>
      <diagonal/>
    </border>
    <border>
      <left style="double">
        <color rgb="FF246978"/>
      </left>
      <right style="thin">
        <color rgb="FF246978"/>
      </right>
      <top style="medium">
        <color rgb="FFA83800"/>
      </top>
      <bottom style="double">
        <color rgb="FF246978"/>
      </bottom>
      <diagonal/>
    </border>
    <border>
      <left style="thin">
        <color rgb="FF246978"/>
      </left>
      <right style="thin">
        <color rgb="FF246978"/>
      </right>
      <top style="medium">
        <color rgb="FFA83800"/>
      </top>
      <bottom style="double">
        <color rgb="FF246978"/>
      </bottom>
      <diagonal/>
    </border>
    <border>
      <left style="thin">
        <color rgb="FF246978"/>
      </left>
      <right style="double">
        <color rgb="FF246978"/>
      </right>
      <top style="medium">
        <color rgb="FFA83800"/>
      </top>
      <bottom style="double">
        <color rgb="FF246978"/>
      </bottom>
      <diagonal/>
    </border>
    <border>
      <left style="double">
        <color rgb="FF246978"/>
      </left>
      <right style="thin">
        <color rgb="FF246978"/>
      </right>
      <top/>
      <bottom style="medium">
        <color rgb="FF246978"/>
      </bottom>
      <diagonal/>
    </border>
    <border>
      <left style="thin">
        <color rgb="FF246978"/>
      </left>
      <right style="double">
        <color rgb="FF246978"/>
      </right>
      <top style="medium">
        <color rgb="FF246978"/>
      </top>
      <bottom style="double">
        <color rgb="FF246978"/>
      </bottom>
      <diagonal/>
    </border>
    <border>
      <left style="thin">
        <color rgb="FF246978"/>
      </left>
      <right/>
      <top style="medium">
        <color rgb="FF246978"/>
      </top>
      <bottom style="double">
        <color rgb="FF246978"/>
      </bottom>
      <diagonal/>
    </border>
    <border>
      <left/>
      <right/>
      <top style="medium">
        <color rgb="FF246978"/>
      </top>
      <bottom style="double">
        <color rgb="FF246978"/>
      </bottom>
      <diagonal/>
    </border>
    <border>
      <left/>
      <right style="thin">
        <color rgb="FF246978"/>
      </right>
      <top style="medium">
        <color rgb="FF246978"/>
      </top>
      <bottom style="double">
        <color rgb="FF246978"/>
      </bottom>
      <diagonal/>
    </border>
    <border>
      <left style="thin">
        <color rgb="FF246978"/>
      </left>
      <right style="thin">
        <color rgb="FF246978"/>
      </right>
      <top style="medium">
        <color rgb="FF246978"/>
      </top>
      <bottom style="double">
        <color rgb="FF246978"/>
      </bottom>
      <diagonal/>
    </border>
    <border>
      <left style="thin">
        <color rgb="FF246978"/>
      </left>
      <right/>
      <top style="thin">
        <color rgb="FF246978"/>
      </top>
      <bottom style="medium">
        <color rgb="FFA83800"/>
      </bottom>
      <diagonal/>
    </border>
    <border>
      <left/>
      <right/>
      <top style="thin">
        <color rgb="FF246978"/>
      </top>
      <bottom style="medium">
        <color rgb="FFA83800"/>
      </bottom>
      <diagonal/>
    </border>
    <border>
      <left/>
      <right style="thin">
        <color rgb="FF246978"/>
      </right>
      <top style="thin">
        <color rgb="FF246978"/>
      </top>
      <bottom style="medium">
        <color rgb="FFA83800"/>
      </bottom>
      <diagonal/>
    </border>
    <border>
      <left style="thin">
        <color rgb="FF246978"/>
      </left>
      <right style="double">
        <color rgb="FF246978"/>
      </right>
      <top style="medium">
        <color rgb="FF246978"/>
      </top>
      <bottom style="medium">
        <color rgb="FFA83800"/>
      </bottom>
      <diagonal/>
    </border>
    <border>
      <left style="thin">
        <color rgb="FF246978"/>
      </left>
      <right/>
      <top style="medium">
        <color rgb="FF246978"/>
      </top>
      <bottom style="medium">
        <color rgb="FFA83800"/>
      </bottom>
      <diagonal/>
    </border>
    <border>
      <left/>
      <right/>
      <top style="medium">
        <color rgb="FF246978"/>
      </top>
      <bottom style="medium">
        <color rgb="FFA83800"/>
      </bottom>
      <diagonal/>
    </border>
    <border>
      <left/>
      <right style="thin">
        <color rgb="FF246978"/>
      </right>
      <top style="medium">
        <color rgb="FF246978"/>
      </top>
      <bottom style="medium">
        <color rgb="FFA83800"/>
      </bottom>
      <diagonal/>
    </border>
    <border>
      <left style="thin">
        <color rgb="FF246978"/>
      </left>
      <right style="thin">
        <color rgb="FF246978"/>
      </right>
      <top style="medium">
        <color rgb="FF246978"/>
      </top>
      <bottom style="medium">
        <color rgb="FFA83800"/>
      </bottom>
      <diagonal/>
    </border>
    <border>
      <left style="double">
        <color rgb="FF246978"/>
      </left>
      <right style="thin">
        <color rgb="FF246978"/>
      </right>
      <top style="double">
        <color rgb="FF246978"/>
      </top>
      <bottom style="medium">
        <color rgb="FFA83800"/>
      </bottom>
      <diagonal/>
    </border>
    <border>
      <left style="thin">
        <color rgb="FF246978"/>
      </left>
      <right style="thin">
        <color rgb="FF246978"/>
      </right>
      <top style="double">
        <color rgb="FF246978"/>
      </top>
      <bottom style="medium">
        <color rgb="FFA83800"/>
      </bottom>
      <diagonal/>
    </border>
    <border>
      <left style="thin">
        <color rgb="FF246978"/>
      </left>
      <right style="double">
        <color rgb="FF246978"/>
      </right>
      <top style="double">
        <color rgb="FF246978"/>
      </top>
      <bottom style="medium">
        <color rgb="FFA83800"/>
      </bottom>
      <diagonal/>
    </border>
    <border>
      <left style="thin">
        <color rgb="FF246978"/>
      </left>
      <right style="double">
        <color rgb="FF246978"/>
      </right>
      <top style="double">
        <color rgb="FF246978"/>
      </top>
      <bottom style="medium">
        <color rgb="FF246978"/>
      </bottom>
      <diagonal/>
    </border>
    <border>
      <left style="medium">
        <color rgb="FF246978"/>
      </left>
      <right/>
      <top/>
      <bottom/>
      <diagonal/>
    </border>
    <border>
      <left style="thin">
        <color rgb="FF246978"/>
      </left>
      <right style="thin">
        <color rgb="FF246978"/>
      </right>
      <top style="double">
        <color rgb="FF246978"/>
      </top>
      <bottom style="medium">
        <color rgb="FF246978"/>
      </bottom>
      <diagonal/>
    </border>
    <border>
      <left/>
      <right/>
      <top style="double">
        <color rgb="FF246978"/>
      </top>
      <bottom/>
      <diagonal/>
    </border>
  </borders>
  <cellStyleXfs count="12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23" fillId="7" borderId="0" applyNumberFormat="0" applyBorder="0" applyAlignment="0" applyProtection="0"/>
    <xf numFmtId="44" fontId="31" fillId="0" borderId="0" applyFont="0" applyFill="0" applyBorder="0" applyAlignment="0" applyProtection="0"/>
  </cellStyleXfs>
  <cellXfs count="753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 indent="6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5" fillId="0" borderId="0" xfId="0" applyNumberFormat="1" applyFont="1" applyAlignment="1">
      <alignment horizontal="center" vertical="center" shrinkToFit="1"/>
    </xf>
    <xf numFmtId="2" fontId="5" fillId="0" borderId="3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shrinkToFit="1"/>
    </xf>
    <xf numFmtId="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/>
    </xf>
    <xf numFmtId="1" fontId="3" fillId="0" borderId="0" xfId="0" applyNumberFormat="1" applyFont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3" fontId="4" fillId="0" borderId="2" xfId="0" applyNumberFormat="1" applyFont="1" applyBorder="1" applyAlignment="1">
      <alignment horizontal="center" vertical="center" shrinkToFit="1"/>
    </xf>
    <xf numFmtId="3" fontId="5" fillId="0" borderId="5" xfId="0" applyNumberFormat="1" applyFont="1" applyBorder="1" applyAlignment="1">
      <alignment horizontal="center" vertical="center" shrinkToFit="1"/>
    </xf>
    <xf numFmtId="3" fontId="4" fillId="0" borderId="5" xfId="0" applyNumberFormat="1" applyFont="1" applyBorder="1" applyAlignment="1">
      <alignment horizontal="center" vertical="center" shrinkToFit="1"/>
    </xf>
    <xf numFmtId="1" fontId="5" fillId="0" borderId="2" xfId="0" applyNumberFormat="1" applyFont="1" applyBorder="1" applyAlignment="1">
      <alignment horizontal="center" vertical="center" shrinkToFit="1"/>
    </xf>
    <xf numFmtId="3" fontId="5" fillId="0" borderId="25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4" fillId="0" borderId="31" xfId="0" applyNumberFormat="1" applyFont="1" applyBorder="1" applyAlignment="1">
      <alignment horizontal="center" vertical="center" shrinkToFit="1"/>
    </xf>
    <xf numFmtId="4" fontId="0" fillId="0" borderId="0" xfId="0" applyNumberFormat="1" applyAlignment="1">
      <alignment horizontal="left" vertical="top"/>
    </xf>
    <xf numFmtId="2" fontId="5" fillId="0" borderId="7" xfId="0" applyNumberFormat="1" applyFont="1" applyBorder="1" applyAlignment="1">
      <alignment horizontal="center" vertical="center" shrinkToFit="1"/>
    </xf>
    <xf numFmtId="3" fontId="5" fillId="0" borderId="33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center" vertical="top"/>
    </xf>
    <xf numFmtId="3" fontId="5" fillId="0" borderId="27" xfId="0" applyNumberFormat="1" applyFont="1" applyBorder="1" applyAlignment="1">
      <alignment horizontal="center" vertical="center" shrinkToFit="1"/>
    </xf>
    <xf numFmtId="3" fontId="5" fillId="0" borderId="36" xfId="0" applyNumberFormat="1" applyFont="1" applyBorder="1" applyAlignment="1">
      <alignment horizontal="center" vertical="center" shrinkToFit="1"/>
    </xf>
    <xf numFmtId="1" fontId="5" fillId="0" borderId="39" xfId="0" applyNumberFormat="1" applyFont="1" applyBorder="1" applyAlignment="1">
      <alignment horizontal="center" vertical="center" shrinkToFit="1"/>
    </xf>
    <xf numFmtId="3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0" fillId="0" borderId="0" xfId="0" applyFont="1"/>
    <xf numFmtId="0" fontId="0" fillId="0" borderId="0" xfId="0" applyAlignment="1">
      <alignment vertical="center"/>
    </xf>
    <xf numFmtId="167" fontId="0" fillId="0" borderId="0" xfId="0" applyNumberFormat="1" applyAlignment="1">
      <alignment horizontal="center" vertical="center"/>
    </xf>
    <xf numFmtId="167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6" fontId="0" fillId="0" borderId="0" xfId="0" applyNumberFormat="1"/>
    <xf numFmtId="3" fontId="0" fillId="0" borderId="0" xfId="0" applyNumberFormat="1" applyAlignment="1">
      <alignment horizontal="center" vertical="center"/>
    </xf>
    <xf numFmtId="3" fontId="0" fillId="0" borderId="0" xfId="0" applyNumberFormat="1"/>
    <xf numFmtId="168" fontId="0" fillId="0" borderId="0" xfId="0" applyNumberForma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3" fontId="5" fillId="0" borderId="6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15" fillId="0" borderId="0" xfId="0" applyFont="1"/>
    <xf numFmtId="0" fontId="15" fillId="0" borderId="0" xfId="0" applyFont="1" applyAlignment="1">
      <alignment horizontal="left" vertical="top"/>
    </xf>
    <xf numFmtId="167" fontId="7" fillId="0" borderId="0" xfId="0" applyNumberFormat="1" applyFont="1" applyAlignment="1">
      <alignment horizontal="center" vertical="center"/>
    </xf>
    <xf numFmtId="167" fontId="0" fillId="0" borderId="0" xfId="0" applyNumberFormat="1"/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3" fontId="22" fillId="0" borderId="0" xfId="0" applyNumberFormat="1" applyFont="1"/>
    <xf numFmtId="0" fontId="12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1" fontId="24" fillId="0" borderId="0" xfId="0" applyNumberFormat="1" applyFont="1" applyAlignment="1">
      <alignment horizontal="left" vertical="top"/>
    </xf>
    <xf numFmtId="0" fontId="21" fillId="0" borderId="0" xfId="0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 wrapText="1"/>
    </xf>
    <xf numFmtId="1" fontId="4" fillId="0" borderId="52" xfId="0" applyNumberFormat="1" applyFont="1" applyBorder="1" applyAlignment="1">
      <alignment horizontal="center" vertical="center" shrinkToFit="1"/>
    </xf>
    <xf numFmtId="1" fontId="5" fillId="0" borderId="52" xfId="0" applyNumberFormat="1" applyFont="1" applyBorder="1" applyAlignment="1">
      <alignment horizontal="center" vertical="center" shrinkToFit="1"/>
    </xf>
    <xf numFmtId="3" fontId="5" fillId="0" borderId="53" xfId="0" applyNumberFormat="1" applyFont="1" applyBorder="1" applyAlignment="1">
      <alignment horizontal="center" vertical="center" shrinkToFit="1"/>
    </xf>
    <xf numFmtId="1" fontId="4" fillId="0" borderId="58" xfId="0" applyNumberFormat="1" applyFont="1" applyBorder="1" applyAlignment="1">
      <alignment horizontal="center" vertical="center" shrinkToFit="1"/>
    </xf>
    <xf numFmtId="167" fontId="25" fillId="0" borderId="0" xfId="0" applyNumberFormat="1" applyFont="1" applyAlignment="1">
      <alignment horizontal="center" vertical="center" wrapText="1"/>
    </xf>
    <xf numFmtId="1" fontId="5" fillId="0" borderId="58" xfId="0" applyNumberFormat="1" applyFont="1" applyBorder="1" applyAlignment="1">
      <alignment horizontal="center" vertical="center" shrinkToFit="1"/>
    </xf>
    <xf numFmtId="3" fontId="5" fillId="0" borderId="59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left" vertical="top"/>
    </xf>
    <xf numFmtId="3" fontId="4" fillId="0" borderId="53" xfId="0" applyNumberFormat="1" applyFont="1" applyBorder="1" applyAlignment="1">
      <alignment horizontal="center" vertical="center" shrinkToFit="1"/>
    </xf>
    <xf numFmtId="1" fontId="4" fillId="0" borderId="53" xfId="0" applyNumberFormat="1" applyFont="1" applyBorder="1" applyAlignment="1">
      <alignment horizontal="center" vertical="center" shrinkToFit="1"/>
    </xf>
    <xf numFmtId="1" fontId="4" fillId="0" borderId="54" xfId="0" applyNumberFormat="1" applyFont="1" applyBorder="1" applyAlignment="1">
      <alignment horizontal="center" vertical="center" shrinkToFit="1"/>
    </xf>
    <xf numFmtId="3" fontId="4" fillId="0" borderId="59" xfId="0" applyNumberFormat="1" applyFont="1" applyBorder="1" applyAlignment="1">
      <alignment horizontal="center" vertical="center" shrinkToFit="1"/>
    </xf>
    <xf numFmtId="1" fontId="4" fillId="0" borderId="59" xfId="0" applyNumberFormat="1" applyFont="1" applyBorder="1" applyAlignment="1">
      <alignment horizontal="center" vertical="center" shrinkToFit="1"/>
    </xf>
    <xf numFmtId="1" fontId="4" fillId="0" borderId="60" xfId="0" applyNumberFormat="1" applyFont="1" applyBorder="1" applyAlignment="1">
      <alignment horizontal="center" vertical="center" shrinkToFit="1"/>
    </xf>
    <xf numFmtId="1" fontId="4" fillId="0" borderId="57" xfId="0" applyNumberFormat="1" applyFont="1" applyBorder="1" applyAlignment="1">
      <alignment horizontal="center" vertical="center" shrinkToFit="1"/>
    </xf>
    <xf numFmtId="3" fontId="4" fillId="0" borderId="50" xfId="0" applyNumberFormat="1" applyFont="1" applyBorder="1" applyAlignment="1">
      <alignment horizontal="center" vertical="center" shrinkToFit="1"/>
    </xf>
    <xf numFmtId="1" fontId="4" fillId="0" borderId="50" xfId="0" applyNumberFormat="1" applyFont="1" applyBorder="1" applyAlignment="1">
      <alignment horizontal="center" vertical="center" shrinkToFit="1"/>
    </xf>
    <xf numFmtId="1" fontId="4" fillId="0" borderId="64" xfId="0" applyNumberFormat="1" applyFont="1" applyBorder="1" applyAlignment="1">
      <alignment horizontal="center" vertical="center" shrinkToFit="1"/>
    </xf>
    <xf numFmtId="2" fontId="5" fillId="0" borderId="53" xfId="0" applyNumberFormat="1" applyFont="1" applyBorder="1" applyAlignment="1">
      <alignment horizontal="center" vertical="center" shrinkToFit="1"/>
    </xf>
    <xf numFmtId="3" fontId="4" fillId="0" borderId="54" xfId="0" applyNumberFormat="1" applyFont="1" applyBorder="1" applyAlignment="1">
      <alignment horizontal="center" vertical="center" shrinkToFit="1"/>
    </xf>
    <xf numFmtId="2" fontId="5" fillId="0" borderId="59" xfId="0" applyNumberFormat="1" applyFont="1" applyBorder="1" applyAlignment="1">
      <alignment horizontal="center" vertical="center" shrinkToFit="1"/>
    </xf>
    <xf numFmtId="3" fontId="4" fillId="0" borderId="60" xfId="0" applyNumberFormat="1" applyFont="1" applyBorder="1" applyAlignment="1">
      <alignment horizontal="center" vertical="center" shrinkToFit="1"/>
    </xf>
    <xf numFmtId="3" fontId="5" fillId="0" borderId="50" xfId="0" applyNumberFormat="1" applyFont="1" applyBorder="1" applyAlignment="1">
      <alignment horizontal="center" vertical="center" shrinkToFit="1"/>
    </xf>
    <xf numFmtId="2" fontId="5" fillId="0" borderId="50" xfId="0" applyNumberFormat="1" applyFont="1" applyBorder="1" applyAlignment="1">
      <alignment horizontal="center" vertical="center" shrinkToFit="1"/>
    </xf>
    <xf numFmtId="3" fontId="4" fillId="0" borderId="64" xfId="0" applyNumberFormat="1" applyFont="1" applyBorder="1" applyAlignment="1">
      <alignment horizontal="center" vertical="center" shrinkToFit="1"/>
    </xf>
    <xf numFmtId="1" fontId="5" fillId="0" borderId="53" xfId="0" applyNumberFormat="1" applyFont="1" applyBorder="1" applyAlignment="1">
      <alignment horizontal="center" vertical="center" shrinkToFit="1"/>
    </xf>
    <xf numFmtId="1" fontId="5" fillId="0" borderId="59" xfId="0" applyNumberFormat="1" applyFont="1" applyBorder="1" applyAlignment="1">
      <alignment horizontal="center" vertical="center" shrinkToFit="1"/>
    </xf>
    <xf numFmtId="1" fontId="5" fillId="0" borderId="54" xfId="0" applyNumberFormat="1" applyFont="1" applyBorder="1" applyAlignment="1">
      <alignment horizontal="center" vertical="center" shrinkToFit="1"/>
    </xf>
    <xf numFmtId="1" fontId="5" fillId="0" borderId="60" xfId="0" applyNumberFormat="1" applyFont="1" applyBorder="1" applyAlignment="1">
      <alignment horizontal="center" vertical="center" shrinkToFit="1"/>
    </xf>
    <xf numFmtId="1" fontId="5" fillId="0" borderId="50" xfId="0" applyNumberFormat="1" applyFont="1" applyBorder="1" applyAlignment="1">
      <alignment horizontal="center" vertical="center" shrinkToFit="1"/>
    </xf>
    <xf numFmtId="1" fontId="5" fillId="0" borderId="6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4" fontId="27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4" fontId="28" fillId="0" borderId="0" xfId="0" applyNumberFormat="1" applyFont="1" applyAlignment="1">
      <alignment horizontal="center" wrapText="1"/>
    </xf>
    <xf numFmtId="4" fontId="26" fillId="0" borderId="0" xfId="0" applyNumberFormat="1" applyFont="1" applyAlignment="1">
      <alignment horizontal="center"/>
    </xf>
    <xf numFmtId="0" fontId="11" fillId="0" borderId="0" xfId="0" applyFont="1"/>
    <xf numFmtId="167" fontId="0" fillId="0" borderId="0" xfId="0" applyNumberFormat="1" applyAlignment="1">
      <alignment horizontal="left" vertical="top"/>
    </xf>
    <xf numFmtId="3" fontId="6" fillId="0" borderId="0" xfId="0" applyNumberFormat="1" applyFont="1" applyAlignment="1">
      <alignment horizontal="left" vertical="top"/>
    </xf>
    <xf numFmtId="0" fontId="30" fillId="0" borderId="0" xfId="0" applyFont="1"/>
    <xf numFmtId="0" fontId="24" fillId="0" borderId="0" xfId="0" applyFont="1" applyAlignment="1">
      <alignment horizontal="left" vertical="top" wrapText="1"/>
    </xf>
    <xf numFmtId="14" fontId="29" fillId="0" borderId="0" xfId="0" applyNumberFormat="1" applyFont="1" applyAlignment="1">
      <alignment horizontal="left" vertical="top"/>
    </xf>
    <xf numFmtId="164" fontId="32" fillId="0" borderId="70" xfId="0" applyNumberFormat="1" applyFont="1" applyBorder="1" applyAlignment="1">
      <alignment horizontal="center" vertical="center" wrapText="1"/>
    </xf>
    <xf numFmtId="164" fontId="32" fillId="0" borderId="69" xfId="0" applyNumberFormat="1" applyFont="1" applyBorder="1" applyAlignment="1">
      <alignment horizontal="center" vertical="center" wrapText="1"/>
    </xf>
    <xf numFmtId="0" fontId="35" fillId="0" borderId="57" xfId="0" applyFont="1" applyBorder="1" applyAlignment="1">
      <alignment horizontal="left" vertical="center" wrapText="1"/>
    </xf>
    <xf numFmtId="3" fontId="35" fillId="0" borderId="64" xfId="0" applyNumberFormat="1" applyFont="1" applyBorder="1" applyAlignment="1">
      <alignment horizontal="center" vertical="center" shrinkToFit="1"/>
    </xf>
    <xf numFmtId="0" fontId="35" fillId="0" borderId="52" xfId="0" applyFont="1" applyBorder="1" applyAlignment="1">
      <alignment horizontal="left" vertical="center" wrapText="1"/>
    </xf>
    <xf numFmtId="3" fontId="35" fillId="0" borderId="54" xfId="0" applyNumberFormat="1" applyFont="1" applyBorder="1" applyAlignment="1">
      <alignment horizontal="center" vertical="center" shrinkToFit="1"/>
    </xf>
    <xf numFmtId="3" fontId="35" fillId="0" borderId="52" xfId="0" applyNumberFormat="1" applyFont="1" applyBorder="1" applyAlignment="1">
      <alignment horizontal="left" vertical="center" shrinkToFit="1"/>
    </xf>
    <xf numFmtId="3" fontId="35" fillId="0" borderId="71" xfId="0" applyNumberFormat="1" applyFont="1" applyBorder="1" applyAlignment="1">
      <alignment horizontal="left" vertical="center" wrapText="1" shrinkToFit="1"/>
    </xf>
    <xf numFmtId="3" fontId="35" fillId="0" borderId="82" xfId="0" applyNumberFormat="1" applyFont="1" applyBorder="1" applyAlignment="1">
      <alignment horizontal="center" vertical="center" shrinkToFit="1"/>
    </xf>
    <xf numFmtId="3" fontId="32" fillId="0" borderId="52" xfId="0" applyNumberFormat="1" applyFont="1" applyBorder="1" applyAlignment="1">
      <alignment horizontal="right" vertical="center" shrinkToFit="1"/>
    </xf>
    <xf numFmtId="3" fontId="32" fillId="0" borderId="55" xfId="0" applyNumberFormat="1" applyFont="1" applyBorder="1" applyAlignment="1">
      <alignment horizontal="right" vertical="center" shrinkToFit="1"/>
    </xf>
    <xf numFmtId="3" fontId="32" fillId="0" borderId="54" xfId="0" applyNumberFormat="1" applyFont="1" applyBorder="1" applyAlignment="1">
      <alignment horizontal="center" vertical="center" shrinkToFit="1"/>
    </xf>
    <xf numFmtId="3" fontId="32" fillId="0" borderId="86" xfId="0" applyNumberFormat="1" applyFont="1" applyBorder="1" applyAlignment="1">
      <alignment horizontal="center" vertical="center" shrinkToFit="1"/>
    </xf>
    <xf numFmtId="0" fontId="36" fillId="0" borderId="0" xfId="0" applyFont="1" applyAlignment="1">
      <alignment horizontal="left" vertical="top"/>
    </xf>
    <xf numFmtId="1" fontId="34" fillId="0" borderId="52" xfId="0" applyNumberFormat="1" applyFont="1" applyBorder="1" applyAlignment="1">
      <alignment horizontal="center" vertical="center" shrinkToFit="1"/>
    </xf>
    <xf numFmtId="3" fontId="34" fillId="0" borderId="53" xfId="0" applyNumberFormat="1" applyFont="1" applyBorder="1" applyAlignment="1">
      <alignment horizontal="center" vertical="center" shrinkToFit="1"/>
    </xf>
    <xf numFmtId="3" fontId="36" fillId="0" borderId="53" xfId="0" applyNumberFormat="1" applyFont="1" applyBorder="1" applyAlignment="1">
      <alignment horizontal="center" vertical="center" shrinkToFit="1"/>
    </xf>
    <xf numFmtId="1" fontId="34" fillId="0" borderId="58" xfId="0" applyNumberFormat="1" applyFont="1" applyBorder="1" applyAlignment="1">
      <alignment horizontal="center" vertical="center" shrinkToFit="1"/>
    </xf>
    <xf numFmtId="3" fontId="34" fillId="0" borderId="59" xfId="0" applyNumberFormat="1" applyFont="1" applyBorder="1" applyAlignment="1">
      <alignment horizontal="center" vertical="center" shrinkToFit="1"/>
    </xf>
    <xf numFmtId="3" fontId="36" fillId="0" borderId="59" xfId="0" applyNumberFormat="1" applyFont="1" applyBorder="1" applyAlignment="1">
      <alignment horizontal="center" vertical="center" shrinkToFit="1"/>
    </xf>
    <xf numFmtId="1" fontId="35" fillId="0" borderId="52" xfId="0" applyNumberFormat="1" applyFont="1" applyBorder="1" applyAlignment="1">
      <alignment horizontal="center" vertical="center" shrinkToFit="1"/>
    </xf>
    <xf numFmtId="3" fontId="35" fillId="0" borderId="53" xfId="0" applyNumberFormat="1" applyFont="1" applyBorder="1" applyAlignment="1">
      <alignment horizontal="center" vertical="center" shrinkToFit="1"/>
    </xf>
    <xf numFmtId="1" fontId="35" fillId="0" borderId="53" xfId="0" applyNumberFormat="1" applyFont="1" applyBorder="1" applyAlignment="1">
      <alignment horizontal="center" vertical="center" shrinkToFit="1"/>
    </xf>
    <xf numFmtId="2" fontId="35" fillId="0" borderId="53" xfId="0" applyNumberFormat="1" applyFont="1" applyBorder="1" applyAlignment="1">
      <alignment horizontal="center" vertical="center" shrinkToFit="1"/>
    </xf>
    <xf numFmtId="3" fontId="37" fillId="0" borderId="53" xfId="0" applyNumberFormat="1" applyFont="1" applyBorder="1" applyAlignment="1">
      <alignment horizontal="center" vertical="center" shrinkToFit="1"/>
    </xf>
    <xf numFmtId="3" fontId="35" fillId="3" borderId="53" xfId="0" applyNumberFormat="1" applyFont="1" applyFill="1" applyBorder="1" applyAlignment="1">
      <alignment horizontal="center" vertical="center" shrinkToFit="1"/>
    </xf>
    <xf numFmtId="3" fontId="35" fillId="4" borderId="53" xfId="0" applyNumberFormat="1" applyFont="1" applyFill="1" applyBorder="1" applyAlignment="1">
      <alignment horizontal="center" vertical="center" shrinkToFit="1"/>
    </xf>
    <xf numFmtId="3" fontId="35" fillId="4" borderId="54" xfId="0" applyNumberFormat="1" applyFont="1" applyFill="1" applyBorder="1" applyAlignment="1">
      <alignment horizontal="center" vertical="center" shrinkToFit="1"/>
    </xf>
    <xf numFmtId="3" fontId="37" fillId="3" borderId="53" xfId="0" applyNumberFormat="1" applyFont="1" applyFill="1" applyBorder="1" applyAlignment="1">
      <alignment horizontal="center" vertical="center" shrinkToFit="1"/>
    </xf>
    <xf numFmtId="4" fontId="35" fillId="4" borderId="54" xfId="0" applyNumberFormat="1" applyFont="1" applyFill="1" applyBorder="1" applyAlignment="1">
      <alignment horizontal="center" vertical="center" shrinkToFit="1"/>
    </xf>
    <xf numFmtId="168" fontId="35" fillId="4" borderId="54" xfId="0" applyNumberFormat="1" applyFont="1" applyFill="1" applyBorder="1" applyAlignment="1">
      <alignment horizontal="center" vertical="center" shrinkToFit="1"/>
    </xf>
    <xf numFmtId="168" fontId="35" fillId="0" borderId="54" xfId="0" applyNumberFormat="1" applyFont="1" applyBorder="1" applyAlignment="1">
      <alignment horizontal="center" vertical="center" shrinkToFit="1"/>
    </xf>
    <xf numFmtId="168" fontId="37" fillId="4" borderId="53" xfId="0" applyNumberFormat="1" applyFont="1" applyFill="1" applyBorder="1" applyAlignment="1">
      <alignment horizontal="center" vertical="center" shrinkToFit="1"/>
    </xf>
    <xf numFmtId="168" fontId="35" fillId="4" borderId="53" xfId="0" applyNumberFormat="1" applyFont="1" applyFill="1" applyBorder="1" applyAlignment="1">
      <alignment horizontal="center" vertical="center" shrinkToFit="1"/>
    </xf>
    <xf numFmtId="4" fontId="35" fillId="4" borderId="53" xfId="0" applyNumberFormat="1" applyFont="1" applyFill="1" applyBorder="1" applyAlignment="1">
      <alignment horizontal="center" vertical="center" shrinkToFit="1"/>
    </xf>
    <xf numFmtId="168" fontId="37" fillId="0" borderId="53" xfId="0" applyNumberFormat="1" applyFont="1" applyBorder="1" applyAlignment="1">
      <alignment horizontal="center" vertical="center" shrinkToFit="1"/>
    </xf>
    <xf numFmtId="168" fontId="35" fillId="0" borderId="53" xfId="0" applyNumberFormat="1" applyFont="1" applyBorder="1" applyAlignment="1">
      <alignment horizontal="center" vertical="center" shrinkToFit="1"/>
    </xf>
    <xf numFmtId="4" fontId="35" fillId="0" borderId="53" xfId="0" applyNumberFormat="1" applyFont="1" applyBorder="1" applyAlignment="1">
      <alignment horizontal="center" vertical="center" shrinkToFit="1"/>
    </xf>
    <xf numFmtId="1" fontId="35" fillId="3" borderId="53" xfId="0" applyNumberFormat="1" applyFont="1" applyFill="1" applyBorder="1" applyAlignment="1">
      <alignment horizontal="center" vertical="center" shrinkToFit="1"/>
    </xf>
    <xf numFmtId="1" fontId="35" fillId="0" borderId="58" xfId="0" applyNumberFormat="1" applyFont="1" applyBorder="1" applyAlignment="1">
      <alignment horizontal="center" vertical="center" shrinkToFit="1"/>
    </xf>
    <xf numFmtId="1" fontId="35" fillId="0" borderId="59" xfId="0" applyNumberFormat="1" applyFont="1" applyBorder="1" applyAlignment="1">
      <alignment horizontal="center" vertical="center" shrinkToFit="1"/>
    </xf>
    <xf numFmtId="3" fontId="35" fillId="0" borderId="59" xfId="0" applyNumberFormat="1" applyFont="1" applyBorder="1" applyAlignment="1">
      <alignment horizontal="center" vertical="center" shrinkToFit="1"/>
    </xf>
    <xf numFmtId="2" fontId="35" fillId="0" borderId="59" xfId="0" applyNumberFormat="1" applyFont="1" applyBorder="1" applyAlignment="1">
      <alignment horizontal="center" vertical="center" shrinkToFit="1"/>
    </xf>
    <xf numFmtId="4" fontId="35" fillId="0" borderId="59" xfId="0" applyNumberFormat="1" applyFont="1" applyBorder="1" applyAlignment="1">
      <alignment horizontal="center" vertical="center" shrinkToFit="1"/>
    </xf>
    <xf numFmtId="168" fontId="35" fillId="0" borderId="59" xfId="0" applyNumberFormat="1" applyFont="1" applyBorder="1" applyAlignment="1">
      <alignment horizontal="center" vertical="center" shrinkToFit="1"/>
    </xf>
    <xf numFmtId="3" fontId="37" fillId="0" borderId="59" xfId="0" applyNumberFormat="1" applyFont="1" applyBorder="1" applyAlignment="1">
      <alignment horizontal="center" vertical="center" shrinkToFit="1"/>
    </xf>
    <xf numFmtId="168" fontId="37" fillId="0" borderId="59" xfId="0" applyNumberFormat="1" applyFont="1" applyBorder="1" applyAlignment="1">
      <alignment horizontal="center" vertical="center" shrinkToFit="1"/>
    </xf>
    <xf numFmtId="168" fontId="35" fillId="0" borderId="60" xfId="0" applyNumberFormat="1" applyFont="1" applyBorder="1" applyAlignment="1">
      <alignment horizontal="center" vertical="center" shrinkToFit="1"/>
    </xf>
    <xf numFmtId="1" fontId="35" fillId="0" borderId="100" xfId="0" applyNumberFormat="1" applyFont="1" applyBorder="1" applyAlignment="1">
      <alignment horizontal="center" vertical="center" shrinkToFit="1"/>
    </xf>
    <xf numFmtId="1" fontId="35" fillId="0" borderId="41" xfId="0" applyNumberFormat="1" applyFont="1" applyBorder="1" applyAlignment="1">
      <alignment horizontal="center" vertical="center" shrinkToFit="1"/>
    </xf>
    <xf numFmtId="3" fontId="35" fillId="0" borderId="42" xfId="0" applyNumberFormat="1" applyFont="1" applyBorder="1" applyAlignment="1">
      <alignment horizontal="center" vertical="center" shrinkToFit="1"/>
    </xf>
    <xf numFmtId="3" fontId="35" fillId="0" borderId="101" xfId="0" applyNumberFormat="1" applyFont="1" applyBorder="1" applyAlignment="1">
      <alignment horizontal="center" vertical="center" shrinkToFit="1"/>
    </xf>
    <xf numFmtId="1" fontId="35" fillId="0" borderId="24" xfId="0" applyNumberFormat="1" applyFont="1" applyBorder="1" applyAlignment="1">
      <alignment horizontal="center" vertical="center" shrinkToFit="1"/>
    </xf>
    <xf numFmtId="2" fontId="35" fillId="0" borderId="42" xfId="0" applyNumberFormat="1" applyFont="1" applyBorder="1" applyAlignment="1">
      <alignment horizontal="center" vertical="center" shrinkToFit="1"/>
    </xf>
    <xf numFmtId="3" fontId="35" fillId="0" borderId="43" xfId="0" applyNumberFormat="1" applyFont="1" applyBorder="1" applyAlignment="1">
      <alignment horizontal="center" vertical="center" shrinkToFit="1"/>
    </xf>
    <xf numFmtId="1" fontId="35" fillId="0" borderId="8" xfId="0" applyNumberFormat="1" applyFont="1" applyBorder="1" applyAlignment="1">
      <alignment horizontal="center" vertical="center" shrinkToFit="1"/>
    </xf>
    <xf numFmtId="1" fontId="35" fillId="0" borderId="9" xfId="0" applyNumberFormat="1" applyFont="1" applyBorder="1" applyAlignment="1">
      <alignment horizontal="center" vertical="center" shrinkToFit="1"/>
    </xf>
    <xf numFmtId="3" fontId="35" fillId="0" borderId="102" xfId="0" applyNumberFormat="1" applyFont="1" applyBorder="1" applyAlignment="1">
      <alignment horizontal="center" vertical="center" shrinkToFit="1"/>
    </xf>
    <xf numFmtId="4" fontId="35" fillId="0" borderId="4" xfId="0" applyNumberFormat="1" applyFont="1" applyBorder="1" applyAlignment="1">
      <alignment horizontal="center" vertical="center" shrinkToFit="1"/>
    </xf>
    <xf numFmtId="3" fontId="35" fillId="0" borderId="4" xfId="0" applyNumberFormat="1" applyFont="1" applyBorder="1" applyAlignment="1">
      <alignment horizontal="center" vertical="center" shrinkToFit="1"/>
    </xf>
    <xf numFmtId="168" fontId="35" fillId="0" borderId="4" xfId="0" applyNumberFormat="1" applyFont="1" applyBorder="1" applyAlignment="1">
      <alignment horizontal="center" vertical="center" shrinkToFit="1"/>
    </xf>
    <xf numFmtId="3" fontId="37" fillId="0" borderId="4" xfId="0" applyNumberFormat="1" applyFont="1" applyBorder="1" applyAlignment="1">
      <alignment horizontal="center" vertical="center" shrinkToFit="1"/>
    </xf>
    <xf numFmtId="168" fontId="37" fillId="0" borderId="103" xfId="0" applyNumberFormat="1" applyFont="1" applyBorder="1" applyAlignment="1">
      <alignment horizontal="center" vertical="center" shrinkToFit="1"/>
    </xf>
    <xf numFmtId="3" fontId="35" fillId="0" borderId="19" xfId="0" applyNumberFormat="1" applyFont="1" applyBorder="1" applyAlignment="1">
      <alignment horizontal="center" vertical="center" shrinkToFit="1"/>
    </xf>
    <xf numFmtId="3" fontId="35" fillId="0" borderId="6" xfId="0" applyNumberFormat="1" applyFont="1" applyBorder="1" applyAlignment="1">
      <alignment horizontal="center" vertical="center" shrinkToFit="1"/>
    </xf>
    <xf numFmtId="3" fontId="35" fillId="0" borderId="23" xfId="0" applyNumberFormat="1" applyFont="1" applyBorder="1" applyAlignment="1">
      <alignment horizontal="center" vertical="center" shrinkToFit="1"/>
    </xf>
    <xf numFmtId="1" fontId="35" fillId="0" borderId="37" xfId="0" applyNumberFormat="1" applyFont="1" applyBorder="1" applyAlignment="1">
      <alignment horizontal="center" vertical="center" shrinkToFit="1"/>
    </xf>
    <xf numFmtId="1" fontId="35" fillId="0" borderId="20" xfId="0" applyNumberFormat="1" applyFont="1" applyBorder="1" applyAlignment="1">
      <alignment horizontal="center" vertical="center" shrinkToFit="1"/>
    </xf>
    <xf numFmtId="3" fontId="35" fillId="0" borderId="7" xfId="0" applyNumberFormat="1" applyFont="1" applyBorder="1" applyAlignment="1">
      <alignment horizontal="center" vertical="center" shrinkToFit="1"/>
    </xf>
    <xf numFmtId="3" fontId="35" fillId="0" borderId="22" xfId="0" applyNumberFormat="1" applyFont="1" applyBorder="1" applyAlignment="1">
      <alignment horizontal="center" vertical="center" shrinkToFit="1"/>
    </xf>
    <xf numFmtId="1" fontId="35" fillId="0" borderId="33" xfId="0" applyNumberFormat="1" applyFont="1" applyBorder="1" applyAlignment="1">
      <alignment horizontal="center" vertical="center" shrinkToFit="1"/>
    </xf>
    <xf numFmtId="2" fontId="35" fillId="0" borderId="7" xfId="0" applyNumberFormat="1" applyFont="1" applyBorder="1" applyAlignment="1">
      <alignment horizontal="center" vertical="center" shrinkToFit="1"/>
    </xf>
    <xf numFmtId="3" fontId="35" fillId="0" borderId="21" xfId="0" applyNumberFormat="1" applyFont="1" applyBorder="1" applyAlignment="1">
      <alignment horizontal="center" vertical="center" shrinkToFit="1"/>
    </xf>
    <xf numFmtId="1" fontId="35" fillId="0" borderId="10" xfId="0" applyNumberFormat="1" applyFont="1" applyBorder="1" applyAlignment="1">
      <alignment horizontal="center" vertical="center" shrinkToFit="1"/>
    </xf>
    <xf numFmtId="1" fontId="35" fillId="0" borderId="11" xfId="0" applyNumberFormat="1" applyFont="1" applyBorder="1" applyAlignment="1">
      <alignment horizontal="center" vertical="center" shrinkToFit="1"/>
    </xf>
    <xf numFmtId="3" fontId="35" fillId="0" borderId="17" xfId="0" applyNumberFormat="1" applyFont="1" applyBorder="1" applyAlignment="1">
      <alignment horizontal="center" vertical="center" shrinkToFit="1"/>
    </xf>
    <xf numFmtId="4" fontId="35" fillId="0" borderId="1" xfId="0" applyNumberFormat="1" applyFont="1" applyBorder="1" applyAlignment="1">
      <alignment horizontal="center" vertical="center" shrinkToFit="1"/>
    </xf>
    <xf numFmtId="3" fontId="35" fillId="0" borderId="1" xfId="0" applyNumberFormat="1" applyFont="1" applyBorder="1" applyAlignment="1">
      <alignment horizontal="center" vertical="center" shrinkToFit="1"/>
    </xf>
    <xf numFmtId="168" fontId="35" fillId="0" borderId="1" xfId="0" applyNumberFormat="1" applyFont="1" applyBorder="1" applyAlignment="1">
      <alignment horizontal="center" vertical="center" shrinkToFit="1"/>
    </xf>
    <xf numFmtId="3" fontId="37" fillId="0" borderId="1" xfId="0" applyNumberFormat="1" applyFont="1" applyBorder="1" applyAlignment="1">
      <alignment horizontal="center" vertical="center" shrinkToFit="1"/>
    </xf>
    <xf numFmtId="168" fontId="37" fillId="0" borderId="18" xfId="0" applyNumberFormat="1" applyFont="1" applyBorder="1" applyAlignment="1">
      <alignment horizontal="center" vertical="center" shrinkToFit="1"/>
    </xf>
    <xf numFmtId="3" fontId="35" fillId="0" borderId="15" xfId="0" applyNumberFormat="1" applyFont="1" applyBorder="1" applyAlignment="1">
      <alignment horizontal="center" vertical="center" shrinkToFit="1"/>
    </xf>
    <xf numFmtId="3" fontId="35" fillId="0" borderId="5" xfId="0" applyNumberFormat="1" applyFont="1" applyBorder="1" applyAlignment="1">
      <alignment horizontal="center" vertical="center" shrinkToFit="1"/>
    </xf>
    <xf numFmtId="3" fontId="35" fillId="0" borderId="14" xfId="0" applyNumberFormat="1" applyFont="1" applyBorder="1" applyAlignment="1">
      <alignment horizontal="center" vertical="center" shrinkToFit="1"/>
    </xf>
    <xf numFmtId="3" fontId="35" fillId="0" borderId="35" xfId="0" applyNumberFormat="1" applyFont="1" applyBorder="1" applyAlignment="1">
      <alignment horizontal="center" vertical="center" shrinkToFit="1"/>
    </xf>
    <xf numFmtId="3" fontId="37" fillId="0" borderId="35" xfId="0" applyNumberFormat="1" applyFont="1" applyBorder="1" applyAlignment="1">
      <alignment horizontal="center" vertical="center" shrinkToFit="1"/>
    </xf>
    <xf numFmtId="1" fontId="35" fillId="0" borderId="38" xfId="0" applyNumberFormat="1" applyFont="1" applyBorder="1" applyAlignment="1">
      <alignment horizontal="center" vertical="center" shrinkToFit="1"/>
    </xf>
    <xf numFmtId="1" fontId="35" fillId="0" borderId="30" xfId="0" applyNumberFormat="1" applyFont="1" applyBorder="1" applyAlignment="1">
      <alignment horizontal="center" vertical="center" shrinkToFit="1"/>
    </xf>
    <xf numFmtId="3" fontId="35" fillId="0" borderId="29" xfId="0" applyNumberFormat="1" applyFont="1" applyBorder="1" applyAlignment="1">
      <alignment horizontal="center" vertical="center" shrinkToFit="1"/>
    </xf>
    <xf numFmtId="3" fontId="35" fillId="0" borderId="44" xfId="0" applyNumberFormat="1" applyFont="1" applyBorder="1" applyAlignment="1">
      <alignment horizontal="center" vertical="center" shrinkToFit="1"/>
    </xf>
    <xf numFmtId="1" fontId="35" fillId="0" borderId="45" xfId="0" applyNumberFormat="1" applyFont="1" applyBorder="1" applyAlignment="1">
      <alignment horizontal="center" vertical="center" shrinkToFit="1"/>
    </xf>
    <xf numFmtId="2" fontId="35" fillId="0" borderId="29" xfId="0" applyNumberFormat="1" applyFont="1" applyBorder="1" applyAlignment="1">
      <alignment horizontal="center" vertical="center" shrinkToFit="1"/>
    </xf>
    <xf numFmtId="3" fontId="35" fillId="0" borderId="46" xfId="0" applyNumberFormat="1" applyFont="1" applyBorder="1" applyAlignment="1">
      <alignment horizontal="center" vertical="center" shrinkToFit="1"/>
    </xf>
    <xf numFmtId="1" fontId="35" fillId="0" borderId="12" xfId="0" applyNumberFormat="1" applyFont="1" applyBorder="1" applyAlignment="1">
      <alignment horizontal="center" vertical="center" shrinkToFit="1"/>
    </xf>
    <xf numFmtId="1" fontId="35" fillId="0" borderId="13" xfId="0" applyNumberFormat="1" applyFont="1" applyBorder="1" applyAlignment="1">
      <alignment horizontal="center" vertical="center" shrinkToFit="1"/>
    </xf>
    <xf numFmtId="3" fontId="35" fillId="0" borderId="34" xfId="0" applyNumberFormat="1" applyFont="1" applyBorder="1" applyAlignment="1">
      <alignment horizontal="center" vertical="center" shrinkToFit="1"/>
    </xf>
    <xf numFmtId="3" fontId="35" fillId="0" borderId="26" xfId="0" applyNumberFormat="1" applyFont="1" applyBorder="1" applyAlignment="1">
      <alignment horizontal="center" vertical="center" shrinkToFit="1"/>
    </xf>
    <xf numFmtId="168" fontId="35" fillId="0" borderId="26" xfId="0" applyNumberFormat="1" applyFont="1" applyBorder="1" applyAlignment="1">
      <alignment horizontal="center" vertical="center" shrinkToFit="1"/>
    </xf>
    <xf numFmtId="3" fontId="37" fillId="0" borderId="26" xfId="0" applyNumberFormat="1" applyFont="1" applyBorder="1" applyAlignment="1">
      <alignment horizontal="center" vertical="center" shrinkToFit="1"/>
    </xf>
    <xf numFmtId="168" fontId="37" fillId="0" borderId="28" xfId="0" applyNumberFormat="1" applyFont="1" applyBorder="1" applyAlignment="1">
      <alignment horizontal="center" vertical="center" shrinkToFit="1"/>
    </xf>
    <xf numFmtId="3" fontId="35" fillId="0" borderId="40" xfId="0" applyNumberFormat="1" applyFont="1" applyBorder="1" applyAlignment="1">
      <alignment horizontal="center" vertical="center" shrinkToFit="1"/>
    </xf>
    <xf numFmtId="3" fontId="35" fillId="0" borderId="31" xfId="0" applyNumberFormat="1" applyFont="1" applyBorder="1" applyAlignment="1">
      <alignment horizontal="center" vertical="center" shrinkToFit="1"/>
    </xf>
    <xf numFmtId="3" fontId="35" fillId="0" borderId="32" xfId="0" applyNumberFormat="1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5" fillId="0" borderId="120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 wrapText="1"/>
    </xf>
    <xf numFmtId="0" fontId="32" fillId="0" borderId="64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3" fontId="35" fillId="0" borderId="53" xfId="0" applyNumberFormat="1" applyFont="1" applyBorder="1" applyAlignment="1">
      <alignment horizontal="center" vertical="center" wrapText="1"/>
    </xf>
    <xf numFmtId="165" fontId="35" fillId="0" borderId="53" xfId="0" applyNumberFormat="1" applyFont="1" applyBorder="1" applyAlignment="1">
      <alignment horizontal="center" vertical="center" wrapText="1"/>
    </xf>
    <xf numFmtId="0" fontId="35" fillId="0" borderId="54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/>
    </xf>
    <xf numFmtId="0" fontId="37" fillId="0" borderId="53" xfId="0" applyFont="1" applyBorder="1" applyAlignment="1">
      <alignment horizontal="center" vertical="center"/>
    </xf>
    <xf numFmtId="0" fontId="35" fillId="0" borderId="68" xfId="0" applyFont="1" applyBorder="1" applyAlignment="1">
      <alignment horizontal="center" vertical="center" wrapText="1"/>
    </xf>
    <xf numFmtId="0" fontId="35" fillId="0" borderId="69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1" fontId="38" fillId="3" borderId="16" xfId="0" applyNumberFormat="1" applyFont="1" applyFill="1" applyBorder="1" applyAlignment="1">
      <alignment horizontal="left" vertical="center" shrinkToFit="1"/>
    </xf>
    <xf numFmtId="3" fontId="38" fillId="4" borderId="0" xfId="0" applyNumberFormat="1" applyFont="1" applyFill="1" applyAlignment="1">
      <alignment horizontal="left" vertical="center" shrinkToFit="1"/>
    </xf>
    <xf numFmtId="4" fontId="38" fillId="0" borderId="0" xfId="0" applyNumberFormat="1" applyFont="1" applyAlignment="1">
      <alignment horizontal="left" vertical="center"/>
    </xf>
    <xf numFmtId="1" fontId="5" fillId="0" borderId="23" xfId="0" applyNumberFormat="1" applyFont="1" applyBorder="1" applyAlignment="1">
      <alignment horizontal="center" vertical="center" shrinkToFit="1"/>
    </xf>
    <xf numFmtId="3" fontId="4" fillId="0" borderId="6" xfId="0" applyNumberFormat="1" applyFont="1" applyBorder="1" applyAlignment="1">
      <alignment horizontal="center" vertical="center" shrinkToFit="1"/>
    </xf>
    <xf numFmtId="3" fontId="4" fillId="0" borderId="123" xfId="0" applyNumberFormat="1" applyFont="1" applyBorder="1" applyAlignment="1">
      <alignment horizontal="center" vertical="center" shrinkToFit="1"/>
    </xf>
    <xf numFmtId="3" fontId="5" fillId="0" borderId="24" xfId="0" applyNumberFormat="1" applyFont="1" applyBorder="1" applyAlignment="1">
      <alignment horizontal="center" vertical="center" shrinkToFit="1"/>
    </xf>
    <xf numFmtId="3" fontId="5" fillId="0" borderId="124" xfId="0" applyNumberFormat="1" applyFont="1" applyBorder="1" applyAlignment="1">
      <alignment horizontal="center" vertical="center" shrinkToFit="1"/>
    </xf>
    <xf numFmtId="0" fontId="37" fillId="0" borderId="97" xfId="0" applyFont="1" applyBorder="1" applyAlignment="1">
      <alignment horizontal="left" vertical="top"/>
    </xf>
    <xf numFmtId="0" fontId="37" fillId="0" borderId="85" xfId="0" applyFont="1" applyBorder="1" applyAlignment="1">
      <alignment horizontal="left" vertical="top"/>
    </xf>
    <xf numFmtId="0" fontId="34" fillId="3" borderId="52" xfId="0" applyFont="1" applyFill="1" applyBorder="1" applyAlignment="1">
      <alignment horizontal="center" vertical="center" wrapText="1"/>
    </xf>
    <xf numFmtId="0" fontId="34" fillId="3" borderId="53" xfId="0" applyFont="1" applyFill="1" applyBorder="1" applyAlignment="1">
      <alignment horizontal="center" vertical="center" wrapText="1"/>
    </xf>
    <xf numFmtId="1" fontId="34" fillId="3" borderId="53" xfId="0" applyNumberFormat="1" applyFont="1" applyFill="1" applyBorder="1" applyAlignment="1">
      <alignment horizontal="center" vertical="center" wrapText="1"/>
    </xf>
    <xf numFmtId="1" fontId="34" fillId="3" borderId="54" xfId="0" applyNumberFormat="1" applyFont="1" applyFill="1" applyBorder="1" applyAlignment="1">
      <alignment horizontal="center" vertical="center" wrapText="1"/>
    </xf>
    <xf numFmtId="0" fontId="39" fillId="3" borderId="53" xfId="0" applyFont="1" applyFill="1" applyBorder="1" applyAlignment="1">
      <alignment horizontal="center" vertical="center" wrapText="1"/>
    </xf>
    <xf numFmtId="3" fontId="36" fillId="0" borderId="54" xfId="0" applyNumberFormat="1" applyFont="1" applyBorder="1" applyAlignment="1">
      <alignment horizontal="center" vertical="center" shrinkToFit="1"/>
    </xf>
    <xf numFmtId="3" fontId="34" fillId="0" borderId="54" xfId="0" applyNumberFormat="1" applyFont="1" applyBorder="1" applyAlignment="1">
      <alignment horizontal="center" vertical="center" shrinkToFit="1"/>
    </xf>
    <xf numFmtId="3" fontId="34" fillId="0" borderId="60" xfId="0" applyNumberFormat="1" applyFont="1" applyBorder="1" applyAlignment="1">
      <alignment horizontal="center" vertical="center" shrinkToFit="1"/>
    </xf>
    <xf numFmtId="1" fontId="34" fillId="0" borderId="57" xfId="0" applyNumberFormat="1" applyFont="1" applyBorder="1" applyAlignment="1">
      <alignment horizontal="center" vertical="center" shrinkToFit="1"/>
    </xf>
    <xf numFmtId="3" fontId="34" fillId="0" borderId="50" xfId="0" applyNumberFormat="1" applyFont="1" applyBorder="1" applyAlignment="1">
      <alignment horizontal="center" vertical="center" shrinkToFit="1"/>
    </xf>
    <xf numFmtId="3" fontId="36" fillId="0" borderId="50" xfId="0" applyNumberFormat="1" applyFont="1" applyBorder="1" applyAlignment="1">
      <alignment horizontal="center" vertical="center" shrinkToFit="1"/>
    </xf>
    <xf numFmtId="3" fontId="36" fillId="0" borderId="64" xfId="0" applyNumberFormat="1" applyFont="1" applyBorder="1" applyAlignment="1">
      <alignment horizontal="center" vertical="center" shrinkToFit="1"/>
    </xf>
    <xf numFmtId="0" fontId="34" fillId="3" borderId="87" xfId="0" applyFont="1" applyFill="1" applyBorder="1" applyAlignment="1">
      <alignment horizontal="center" vertical="center" wrapText="1"/>
    </xf>
    <xf numFmtId="0" fontId="34" fillId="3" borderId="89" xfId="0" applyFont="1" applyFill="1" applyBorder="1" applyAlignment="1">
      <alignment horizontal="center" vertical="center" wrapText="1"/>
    </xf>
    <xf numFmtId="1" fontId="34" fillId="3" borderId="89" xfId="0" applyNumberFormat="1" applyFont="1" applyFill="1" applyBorder="1" applyAlignment="1">
      <alignment horizontal="center" vertical="center" wrapText="1"/>
    </xf>
    <xf numFmtId="1" fontId="34" fillId="3" borderId="90" xfId="0" applyNumberFormat="1" applyFont="1" applyFill="1" applyBorder="1" applyAlignment="1">
      <alignment horizontal="center" vertical="center" wrapText="1"/>
    </xf>
    <xf numFmtId="0" fontId="32" fillId="0" borderId="97" xfId="0" applyFont="1" applyBorder="1" applyAlignment="1">
      <alignment horizontal="center" vertical="center" wrapText="1"/>
    </xf>
    <xf numFmtId="0" fontId="32" fillId="0" borderId="85" xfId="0" applyFont="1" applyBorder="1" applyAlignment="1">
      <alignment horizontal="center" vertical="center" wrapText="1"/>
    </xf>
    <xf numFmtId="0" fontId="32" fillId="0" borderId="77" xfId="0" applyFont="1" applyBorder="1" applyAlignment="1">
      <alignment horizontal="center" vertical="center" wrapText="1"/>
    </xf>
    <xf numFmtId="0" fontId="32" fillId="0" borderId="86" xfId="0" applyFont="1" applyBorder="1" applyAlignment="1">
      <alignment horizontal="center" vertical="center" wrapText="1"/>
    </xf>
    <xf numFmtId="0" fontId="35" fillId="0" borderId="63" xfId="0" applyFont="1" applyBorder="1" applyAlignment="1">
      <alignment horizontal="center" vertical="center" wrapText="1"/>
    </xf>
    <xf numFmtId="3" fontId="35" fillId="0" borderId="63" xfId="0" applyNumberFormat="1" applyFont="1" applyBorder="1" applyAlignment="1">
      <alignment horizontal="center" vertical="center" shrinkToFit="1"/>
    </xf>
    <xf numFmtId="0" fontId="37" fillId="0" borderId="83" xfId="0" applyFont="1" applyBorder="1" applyAlignment="1">
      <alignment horizontal="left" vertical="center"/>
    </xf>
    <xf numFmtId="0" fontId="37" fillId="0" borderId="54" xfId="0" applyFont="1" applyBorder="1" applyAlignment="1">
      <alignment horizontal="left" vertical="center"/>
    </xf>
    <xf numFmtId="1" fontId="37" fillId="0" borderId="53" xfId="0" applyNumberFormat="1" applyFont="1" applyBorder="1" applyAlignment="1">
      <alignment horizontal="center" vertical="center" shrinkToFit="1"/>
    </xf>
    <xf numFmtId="1" fontId="37" fillId="0" borderId="59" xfId="0" applyNumberFormat="1" applyFont="1" applyBorder="1" applyAlignment="1">
      <alignment horizontal="center" vertical="center" shrinkToFit="1"/>
    </xf>
    <xf numFmtId="0" fontId="37" fillId="0" borderId="60" xfId="0" applyFont="1" applyBorder="1" applyAlignment="1">
      <alignment horizontal="left" vertical="center"/>
    </xf>
    <xf numFmtId="4" fontId="40" fillId="0" borderId="53" xfId="0" applyNumberFormat="1" applyFont="1" applyBorder="1" applyAlignment="1">
      <alignment horizontal="center" vertical="center" wrapText="1"/>
    </xf>
    <xf numFmtId="3" fontId="35" fillId="0" borderId="54" xfId="0" applyNumberFormat="1" applyFont="1" applyBorder="1" applyAlignment="1">
      <alignment horizontal="center" vertical="center" wrapText="1"/>
    </xf>
    <xf numFmtId="169" fontId="40" fillId="0" borderId="53" xfId="0" applyNumberFormat="1" applyFont="1" applyBorder="1" applyAlignment="1">
      <alignment horizontal="center" vertical="center" wrapText="1"/>
    </xf>
    <xf numFmtId="0" fontId="35" fillId="0" borderId="55" xfId="0" applyFont="1" applyBorder="1" applyAlignment="1">
      <alignment horizontal="center" vertical="center"/>
    </xf>
    <xf numFmtId="4" fontId="35" fillId="0" borderId="56" xfId="0" applyNumberFormat="1" applyFont="1" applyBorder="1" applyAlignment="1">
      <alignment horizontal="center" vertical="center" wrapText="1"/>
    </xf>
    <xf numFmtId="3" fontId="40" fillId="0" borderId="53" xfId="0" applyNumberFormat="1" applyFont="1" applyBorder="1" applyAlignment="1">
      <alignment horizontal="center" vertical="center" wrapText="1"/>
    </xf>
    <xf numFmtId="4" fontId="35" fillId="0" borderId="53" xfId="0" applyNumberFormat="1" applyFont="1" applyBorder="1" applyAlignment="1">
      <alignment horizontal="center" vertical="center" wrapText="1"/>
    </xf>
    <xf numFmtId="4" fontId="37" fillId="0" borderId="53" xfId="0" applyNumberFormat="1" applyFont="1" applyBorder="1" applyAlignment="1">
      <alignment horizontal="center" vertical="center" wrapText="1"/>
    </xf>
    <xf numFmtId="4" fontId="37" fillId="0" borderId="54" xfId="0" applyNumberFormat="1" applyFont="1" applyBorder="1" applyAlignment="1">
      <alignment horizontal="center" vertical="center" wrapText="1"/>
    </xf>
    <xf numFmtId="0" fontId="35" fillId="0" borderId="98" xfId="0" applyFont="1" applyBorder="1" applyAlignment="1">
      <alignment horizontal="center" vertical="center"/>
    </xf>
    <xf numFmtId="3" fontId="35" fillId="0" borderId="98" xfId="0" applyNumberFormat="1" applyFont="1" applyBorder="1" applyAlignment="1">
      <alignment horizontal="center" vertical="center"/>
    </xf>
    <xf numFmtId="0" fontId="35" fillId="0" borderId="99" xfId="0" applyFont="1" applyBorder="1" applyAlignment="1">
      <alignment horizontal="center" vertical="center"/>
    </xf>
    <xf numFmtId="4" fontId="35" fillId="0" borderId="59" xfId="0" applyNumberFormat="1" applyFont="1" applyBorder="1" applyAlignment="1">
      <alignment horizontal="center" vertical="center" wrapText="1"/>
    </xf>
    <xf numFmtId="3" fontId="40" fillId="0" borderId="59" xfId="0" applyNumberFormat="1" applyFont="1" applyBorder="1" applyAlignment="1">
      <alignment horizontal="center" vertical="center" wrapText="1"/>
    </xf>
    <xf numFmtId="3" fontId="35" fillId="0" borderId="59" xfId="0" applyNumberFormat="1" applyFont="1" applyBorder="1" applyAlignment="1">
      <alignment horizontal="center" vertical="center" wrapText="1"/>
    </xf>
    <xf numFmtId="3" fontId="35" fillId="0" borderId="60" xfId="0" applyNumberFormat="1" applyFont="1" applyBorder="1" applyAlignment="1">
      <alignment horizontal="center" vertical="center" wrapText="1"/>
    </xf>
    <xf numFmtId="4" fontId="33" fillId="0" borderId="84" xfId="0" applyNumberFormat="1" applyFont="1" applyBorder="1" applyAlignment="1">
      <alignment horizontal="center" vertical="center" wrapText="1"/>
    </xf>
    <xf numFmtId="4" fontId="33" fillId="0" borderId="97" xfId="0" applyNumberFormat="1" applyFont="1" applyBorder="1" applyAlignment="1">
      <alignment horizontal="center" vertical="center" wrapText="1"/>
    </xf>
    <xf numFmtId="0" fontId="33" fillId="0" borderId="97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 vertical="center"/>
    </xf>
    <xf numFmtId="4" fontId="40" fillId="0" borderId="50" xfId="0" applyNumberFormat="1" applyFont="1" applyBorder="1" applyAlignment="1">
      <alignment horizontal="center" vertical="center" wrapText="1"/>
    </xf>
    <xf numFmtId="3" fontId="35" fillId="0" borderId="50" xfId="0" applyNumberFormat="1" applyFont="1" applyBorder="1" applyAlignment="1">
      <alignment horizontal="center" vertical="center" wrapText="1"/>
    </xf>
    <xf numFmtId="3" fontId="35" fillId="0" borderId="64" xfId="0" applyNumberFormat="1" applyFont="1" applyBorder="1" applyAlignment="1">
      <alignment horizontal="center" vertical="center" wrapText="1"/>
    </xf>
    <xf numFmtId="4" fontId="33" fillId="0" borderId="52" xfId="0" applyNumberFormat="1" applyFont="1" applyBorder="1" applyAlignment="1">
      <alignment horizontal="center" vertical="center" wrapText="1"/>
    </xf>
    <xf numFmtId="4" fontId="33" fillId="0" borderId="53" xfId="0" applyNumberFormat="1" applyFont="1" applyBorder="1" applyAlignment="1">
      <alignment horizontal="center" vertical="center" wrapText="1"/>
    </xf>
    <xf numFmtId="4" fontId="33" fillId="0" borderId="54" xfId="0" applyNumberFormat="1" applyFont="1" applyBorder="1" applyAlignment="1">
      <alignment horizontal="center" vertical="center" wrapText="1"/>
    </xf>
    <xf numFmtId="4" fontId="37" fillId="0" borderId="87" xfId="0" applyNumberFormat="1" applyFont="1" applyBorder="1" applyAlignment="1">
      <alignment horizontal="center" vertical="center" wrapText="1"/>
    </xf>
    <xf numFmtId="4" fontId="37" fillId="0" borderId="89" xfId="0" applyNumberFormat="1" applyFont="1" applyBorder="1" applyAlignment="1">
      <alignment horizontal="center" vertical="center" wrapText="1"/>
    </xf>
    <xf numFmtId="4" fontId="37" fillId="0" borderId="90" xfId="0" applyNumberFormat="1" applyFont="1" applyBorder="1" applyAlignment="1">
      <alignment horizontal="center" vertical="center" wrapText="1"/>
    </xf>
    <xf numFmtId="3" fontId="32" fillId="0" borderId="53" xfId="0" applyNumberFormat="1" applyFont="1" applyBorder="1" applyAlignment="1">
      <alignment horizontal="center" vertical="center" wrapText="1"/>
    </xf>
    <xf numFmtId="3" fontId="32" fillId="0" borderId="54" xfId="0" applyNumberFormat="1" applyFont="1" applyBorder="1" applyAlignment="1">
      <alignment horizontal="center" vertical="center" wrapText="1"/>
    </xf>
    <xf numFmtId="0" fontId="32" fillId="0" borderId="55" xfId="0" applyFont="1" applyBorder="1" applyAlignment="1">
      <alignment horizontal="right" vertical="center"/>
    </xf>
    <xf numFmtId="4" fontId="37" fillId="0" borderId="57" xfId="0" applyNumberFormat="1" applyFont="1" applyBorder="1" applyAlignment="1">
      <alignment horizontal="left" vertical="center" wrapText="1"/>
    </xf>
    <xf numFmtId="4" fontId="37" fillId="0" borderId="52" xfId="0" applyNumberFormat="1" applyFont="1" applyBorder="1" applyAlignment="1">
      <alignment horizontal="left" vertical="center" wrapText="1"/>
    </xf>
    <xf numFmtId="0" fontId="35" fillId="0" borderId="52" xfId="0" applyFont="1" applyBorder="1" applyAlignment="1">
      <alignment horizontal="left" vertical="center"/>
    </xf>
    <xf numFmtId="0" fontId="35" fillId="0" borderId="57" xfId="0" applyFont="1" applyBorder="1" applyAlignment="1">
      <alignment horizontal="left" vertical="center"/>
    </xf>
    <xf numFmtId="0" fontId="35" fillId="0" borderId="73" xfId="0" applyFont="1" applyBorder="1" applyAlignment="1">
      <alignment horizontal="left" vertical="center"/>
    </xf>
    <xf numFmtId="0" fontId="35" fillId="0" borderId="58" xfId="0" applyFont="1" applyBorder="1" applyAlignment="1">
      <alignment horizontal="left" vertical="center"/>
    </xf>
    <xf numFmtId="0" fontId="35" fillId="0" borderId="125" xfId="0" applyFont="1" applyBorder="1" applyAlignment="1">
      <alignment horizontal="left" vertical="center"/>
    </xf>
    <xf numFmtId="4" fontId="35" fillId="0" borderId="126" xfId="0" applyNumberFormat="1" applyFont="1" applyBorder="1" applyAlignment="1">
      <alignment horizontal="center" vertical="center" wrapText="1"/>
    </xf>
    <xf numFmtId="3" fontId="40" fillId="0" borderId="126" xfId="0" applyNumberFormat="1" applyFont="1" applyBorder="1" applyAlignment="1">
      <alignment horizontal="center" vertical="center" wrapText="1"/>
    </xf>
    <xf numFmtId="3" fontId="35" fillId="0" borderId="126" xfId="0" applyNumberFormat="1" applyFont="1" applyBorder="1" applyAlignment="1">
      <alignment horizontal="center" vertical="center" wrapText="1"/>
    </xf>
    <xf numFmtId="3" fontId="35" fillId="0" borderId="127" xfId="0" applyNumberFormat="1" applyFont="1" applyBorder="1" applyAlignment="1">
      <alignment horizontal="center" vertical="center" wrapText="1"/>
    </xf>
    <xf numFmtId="0" fontId="35" fillId="0" borderId="70" xfId="0" applyFont="1" applyBorder="1" applyAlignment="1">
      <alignment horizontal="left" vertical="center" wrapText="1"/>
    </xf>
    <xf numFmtId="0" fontId="33" fillId="0" borderId="85" xfId="0" applyFont="1" applyBorder="1" applyAlignment="1">
      <alignment horizontal="center" vertical="center" wrapText="1"/>
    </xf>
    <xf numFmtId="0" fontId="33" fillId="0" borderId="97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 wrapText="1"/>
    </xf>
    <xf numFmtId="0" fontId="33" fillId="0" borderId="53" xfId="0" applyFont="1" applyBorder="1" applyAlignment="1">
      <alignment horizontal="center" vertical="center"/>
    </xf>
    <xf numFmtId="1" fontId="37" fillId="0" borderId="57" xfId="0" applyNumberFormat="1" applyFont="1" applyBorder="1" applyAlignment="1">
      <alignment horizontal="center" vertical="center" shrinkToFit="1"/>
    </xf>
    <xf numFmtId="3" fontId="41" fillId="0" borderId="50" xfId="0" applyNumberFormat="1" applyFont="1" applyBorder="1" applyAlignment="1">
      <alignment horizontal="center" vertical="center" shrinkToFit="1"/>
    </xf>
    <xf numFmtId="3" fontId="37" fillId="0" borderId="50" xfId="0" applyNumberFormat="1" applyFont="1" applyBorder="1" applyAlignment="1">
      <alignment horizontal="center" vertical="center" shrinkToFit="1"/>
    </xf>
    <xf numFmtId="1" fontId="37" fillId="0" borderId="50" xfId="0" applyNumberFormat="1" applyFont="1" applyBorder="1" applyAlignment="1">
      <alignment horizontal="center" vertical="center" shrinkToFit="1"/>
    </xf>
    <xf numFmtId="1" fontId="37" fillId="0" borderId="64" xfId="0" applyNumberFormat="1" applyFont="1" applyBorder="1" applyAlignment="1">
      <alignment horizontal="center" vertical="center" shrinkToFit="1"/>
    </xf>
    <xf numFmtId="1" fontId="37" fillId="0" borderId="52" xfId="0" applyNumberFormat="1" applyFont="1" applyBorder="1" applyAlignment="1">
      <alignment horizontal="center" vertical="center" shrinkToFit="1"/>
    </xf>
    <xf numFmtId="3" fontId="41" fillId="0" borderId="53" xfId="0" applyNumberFormat="1" applyFont="1" applyBorder="1" applyAlignment="1">
      <alignment horizontal="center" vertical="center" shrinkToFit="1"/>
    </xf>
    <xf numFmtId="1" fontId="37" fillId="0" borderId="54" xfId="0" applyNumberFormat="1" applyFont="1" applyBorder="1" applyAlignment="1">
      <alignment horizontal="center" vertical="center" shrinkToFit="1"/>
    </xf>
    <xf numFmtId="1" fontId="37" fillId="0" borderId="58" xfId="0" applyNumberFormat="1" applyFont="1" applyBorder="1" applyAlignment="1">
      <alignment horizontal="center" vertical="center" shrinkToFit="1"/>
    </xf>
    <xf numFmtId="1" fontId="37" fillId="0" borderId="60" xfId="0" applyNumberFormat="1" applyFont="1" applyBorder="1" applyAlignment="1">
      <alignment horizontal="center" vertical="center" shrinkToFit="1"/>
    </xf>
    <xf numFmtId="0" fontId="35" fillId="0" borderId="79" xfId="0" applyFont="1" applyBorder="1" applyAlignment="1">
      <alignment horizontal="center" vertical="center" wrapText="1"/>
    </xf>
    <xf numFmtId="0" fontId="35" fillId="0" borderId="95" xfId="0" applyFont="1" applyBorder="1" applyAlignment="1">
      <alignment horizontal="center" vertical="center" wrapText="1"/>
    </xf>
    <xf numFmtId="0" fontId="35" fillId="0" borderId="130" xfId="0" applyFont="1" applyBorder="1" applyAlignment="1">
      <alignment horizontal="center" vertical="center" wrapText="1"/>
    </xf>
    <xf numFmtId="0" fontId="35" fillId="0" borderId="132" xfId="0" applyFont="1" applyBorder="1" applyAlignment="1">
      <alignment horizontal="center" vertical="center" wrapText="1"/>
    </xf>
    <xf numFmtId="0" fontId="35" fillId="0" borderId="133" xfId="0" applyFont="1" applyBorder="1" applyAlignment="1">
      <alignment horizontal="center" vertical="center" wrapText="1"/>
    </xf>
    <xf numFmtId="164" fontId="32" fillId="0" borderId="132" xfId="0" applyNumberFormat="1" applyFont="1" applyBorder="1" applyAlignment="1">
      <alignment horizontal="center" vertical="center" wrapText="1"/>
    </xf>
    <xf numFmtId="164" fontId="32" fillId="0" borderId="133" xfId="0" applyNumberFormat="1" applyFont="1" applyBorder="1" applyAlignment="1">
      <alignment horizontal="center" vertical="center" wrapText="1"/>
    </xf>
    <xf numFmtId="164" fontId="35" fillId="0" borderId="134" xfId="0" applyNumberFormat="1" applyFont="1" applyBorder="1" applyAlignment="1">
      <alignment horizontal="center" vertical="center" wrapText="1"/>
    </xf>
    <xf numFmtId="164" fontId="35" fillId="0" borderId="135" xfId="0" applyNumberFormat="1" applyFont="1" applyBorder="1" applyAlignment="1">
      <alignment horizontal="center" vertical="center" wrapText="1"/>
    </xf>
    <xf numFmtId="164" fontId="35" fillId="0" borderId="136" xfId="0" applyNumberFormat="1" applyFont="1" applyBorder="1" applyAlignment="1">
      <alignment horizontal="center" vertical="center" wrapText="1"/>
    </xf>
    <xf numFmtId="3" fontId="35" fillId="0" borderId="50" xfId="0" applyNumberFormat="1" applyFont="1" applyBorder="1" applyAlignment="1">
      <alignment horizontal="center" vertical="center" shrinkToFit="1"/>
    </xf>
    <xf numFmtId="2" fontId="35" fillId="0" borderId="50" xfId="0" applyNumberFormat="1" applyFont="1" applyBorder="1" applyAlignment="1">
      <alignment horizontal="center" vertical="center" shrinkToFit="1"/>
    </xf>
    <xf numFmtId="3" fontId="37" fillId="0" borderId="64" xfId="0" applyNumberFormat="1" applyFont="1" applyBorder="1" applyAlignment="1">
      <alignment horizontal="center" vertical="center" shrinkToFit="1"/>
    </xf>
    <xf numFmtId="3" fontId="37" fillId="0" borderId="54" xfId="0" applyNumberFormat="1" applyFont="1" applyBorder="1" applyAlignment="1">
      <alignment horizontal="center" vertical="center" shrinkToFit="1"/>
    </xf>
    <xf numFmtId="3" fontId="37" fillId="0" borderId="60" xfId="0" applyNumberFormat="1" applyFont="1" applyBorder="1" applyAlignment="1">
      <alignment horizontal="center" vertical="center" shrinkToFit="1"/>
    </xf>
    <xf numFmtId="0" fontId="37" fillId="0" borderId="97" xfId="0" applyFont="1" applyBorder="1" applyAlignment="1">
      <alignment horizontal="center" vertical="top"/>
    </xf>
    <xf numFmtId="1" fontId="5" fillId="0" borderId="123" xfId="0" applyNumberFormat="1" applyFont="1" applyBorder="1" applyAlignment="1">
      <alignment horizontal="center" vertical="center" shrinkToFit="1"/>
    </xf>
    <xf numFmtId="2" fontId="5" fillId="0" borderId="42" xfId="0" applyNumberFormat="1" applyFont="1" applyBorder="1" applyAlignment="1">
      <alignment horizontal="center" vertical="center" shrinkToFit="1"/>
    </xf>
    <xf numFmtId="164" fontId="35" fillId="2" borderId="84" xfId="0" applyNumberFormat="1" applyFont="1" applyFill="1" applyBorder="1" applyAlignment="1">
      <alignment horizontal="center" vertical="center" wrapText="1"/>
    </xf>
    <xf numFmtId="164" fontId="35" fillId="2" borderId="97" xfId="0" applyNumberFormat="1" applyFont="1" applyFill="1" applyBorder="1" applyAlignment="1">
      <alignment horizontal="center" vertical="center" wrapText="1"/>
    </xf>
    <xf numFmtId="164" fontId="35" fillId="2" borderId="85" xfId="0" applyNumberFormat="1" applyFont="1" applyFill="1" applyBorder="1" applyAlignment="1">
      <alignment horizontal="center" vertical="center" wrapText="1"/>
    </xf>
    <xf numFmtId="2" fontId="35" fillId="0" borderId="54" xfId="0" applyNumberFormat="1" applyFont="1" applyBorder="1" applyAlignment="1">
      <alignment horizontal="center" vertical="center" shrinkToFit="1"/>
    </xf>
    <xf numFmtId="2" fontId="35" fillId="0" borderId="60" xfId="0" applyNumberFormat="1" applyFont="1" applyBorder="1" applyAlignment="1">
      <alignment horizontal="center" vertical="center" shrinkToFit="1"/>
    </xf>
    <xf numFmtId="1" fontId="35" fillId="0" borderId="57" xfId="0" applyNumberFormat="1" applyFont="1" applyBorder="1" applyAlignment="1">
      <alignment horizontal="center" vertical="center" shrinkToFit="1"/>
    </xf>
    <xf numFmtId="2" fontId="35" fillId="0" borderId="64" xfId="0" applyNumberFormat="1" applyFont="1" applyBorder="1" applyAlignment="1">
      <alignment horizontal="center" vertical="center" shrinkToFit="1"/>
    </xf>
    <xf numFmtId="164" fontId="35" fillId="2" borderId="70" xfId="0" applyNumberFormat="1" applyFont="1" applyFill="1" applyBorder="1" applyAlignment="1">
      <alignment horizontal="center" vertical="center" wrapText="1"/>
    </xf>
    <xf numFmtId="164" fontId="35" fillId="2" borderId="68" xfId="0" applyNumberFormat="1" applyFont="1" applyFill="1" applyBorder="1" applyAlignment="1">
      <alignment horizontal="center" vertical="center" wrapText="1"/>
    </xf>
    <xf numFmtId="164" fontId="35" fillId="2" borderId="69" xfId="0" applyNumberFormat="1" applyFont="1" applyFill="1" applyBorder="1" applyAlignment="1">
      <alignment horizontal="center" vertical="center" wrapText="1"/>
    </xf>
    <xf numFmtId="0" fontId="32" fillId="0" borderId="132" xfId="0" applyFont="1" applyBorder="1" applyAlignment="1">
      <alignment horizontal="center" vertical="center" wrapText="1"/>
    </xf>
    <xf numFmtId="0" fontId="32" fillId="0" borderId="133" xfId="0" applyFont="1" applyBorder="1" applyAlignment="1">
      <alignment horizontal="center" vertical="center" wrapText="1"/>
    </xf>
    <xf numFmtId="0" fontId="37" fillId="0" borderId="134" xfId="0" applyFont="1" applyBorder="1" applyAlignment="1">
      <alignment horizontal="center" vertical="center" wrapText="1"/>
    </xf>
    <xf numFmtId="0" fontId="35" fillId="0" borderId="135" xfId="0" applyFont="1" applyBorder="1" applyAlignment="1">
      <alignment horizontal="center" vertical="center" wrapText="1"/>
    </xf>
    <xf numFmtId="0" fontId="35" fillId="0" borderId="136" xfId="0" applyFont="1" applyBorder="1" applyAlignment="1">
      <alignment horizontal="center" vertical="center" wrapText="1"/>
    </xf>
    <xf numFmtId="1" fontId="35" fillId="0" borderId="50" xfId="0" applyNumberFormat="1" applyFont="1" applyBorder="1" applyAlignment="1">
      <alignment horizontal="center" vertical="center" shrinkToFit="1"/>
    </xf>
    <xf numFmtId="1" fontId="35" fillId="0" borderId="64" xfId="0" applyNumberFormat="1" applyFont="1" applyBorder="1" applyAlignment="1">
      <alignment horizontal="center" vertical="center" shrinkToFit="1"/>
    </xf>
    <xf numFmtId="1" fontId="35" fillId="0" borderId="54" xfId="0" applyNumberFormat="1" applyFont="1" applyBorder="1" applyAlignment="1">
      <alignment horizontal="center" vertical="center" shrinkToFit="1"/>
    </xf>
    <xf numFmtId="1" fontId="35" fillId="0" borderId="60" xfId="0" applyNumberFormat="1" applyFont="1" applyBorder="1" applyAlignment="1">
      <alignment horizontal="center" vertical="center" shrinkToFit="1"/>
    </xf>
    <xf numFmtId="1" fontId="37" fillId="0" borderId="134" xfId="0" applyNumberFormat="1" applyFont="1" applyBorder="1" applyAlignment="1">
      <alignment horizontal="center" vertical="center" shrinkToFit="1"/>
    </xf>
    <xf numFmtId="1" fontId="37" fillId="0" borderId="55" xfId="0" applyNumberFormat="1" applyFont="1" applyBorder="1" applyAlignment="1">
      <alignment horizontal="center" vertical="center" shrinkToFit="1"/>
    </xf>
    <xf numFmtId="3" fontId="35" fillId="0" borderId="77" xfId="0" applyNumberFormat="1" applyFont="1" applyBorder="1" applyAlignment="1">
      <alignment horizontal="center" vertical="center" shrinkToFit="1"/>
    </xf>
    <xf numFmtId="3" fontId="35" fillId="0" borderId="86" xfId="0" applyNumberFormat="1" applyFont="1" applyBorder="1" applyAlignment="1">
      <alignment horizontal="center" vertical="center" shrinkToFit="1"/>
    </xf>
    <xf numFmtId="0" fontId="37" fillId="0" borderId="137" xfId="0" applyFont="1" applyBorder="1" applyAlignment="1">
      <alignment horizontal="center" vertical="top"/>
    </xf>
    <xf numFmtId="0" fontId="35" fillId="0" borderId="138" xfId="0" applyFont="1" applyBorder="1" applyAlignment="1">
      <alignment horizontal="center" vertical="center" wrapText="1"/>
    </xf>
    <xf numFmtId="0" fontId="35" fillId="0" borderId="138" xfId="0" applyFont="1" applyBorder="1" applyAlignment="1">
      <alignment horizontal="center" vertical="top"/>
    </xf>
    <xf numFmtId="0" fontId="37" fillId="0" borderId="138" xfId="0" applyFont="1" applyBorder="1" applyAlignment="1">
      <alignment horizontal="center" vertical="top"/>
    </xf>
    <xf numFmtId="1" fontId="37" fillId="0" borderId="138" xfId="0" applyNumberFormat="1" applyFont="1" applyBorder="1" applyAlignment="1">
      <alignment horizontal="center" vertical="top"/>
    </xf>
    <xf numFmtId="1" fontId="37" fillId="0" borderId="48" xfId="0" applyNumberFormat="1" applyFont="1" applyBorder="1" applyAlignment="1">
      <alignment horizontal="center" vertical="center" shrinkToFit="1"/>
    </xf>
    <xf numFmtId="3" fontId="35" fillId="0" borderId="49" xfId="0" applyNumberFormat="1" applyFont="1" applyBorder="1" applyAlignment="1">
      <alignment horizontal="center" vertical="center" shrinkToFit="1"/>
    </xf>
    <xf numFmtId="3" fontId="35" fillId="0" borderId="51" xfId="0" applyNumberFormat="1" applyFont="1" applyBorder="1" applyAlignment="1">
      <alignment horizontal="center" vertical="center" shrinkToFit="1"/>
    </xf>
    <xf numFmtId="0" fontId="0" fillId="0" borderId="138" xfId="0" applyBorder="1" applyAlignment="1">
      <alignment horizontal="left" vertical="top"/>
    </xf>
    <xf numFmtId="0" fontId="33" fillId="0" borderId="138" xfId="0" applyFont="1" applyBorder="1" applyAlignment="1">
      <alignment horizontal="center" vertical="center"/>
    </xf>
    <xf numFmtId="3" fontId="33" fillId="0" borderId="139" xfId="0" applyNumberFormat="1" applyFont="1" applyBorder="1" applyAlignment="1">
      <alignment horizontal="center" vertical="center"/>
    </xf>
    <xf numFmtId="0" fontId="33" fillId="0" borderId="132" xfId="0" applyFont="1" applyBorder="1" applyAlignment="1">
      <alignment horizontal="center" vertical="center" wrapText="1"/>
    </xf>
    <xf numFmtId="0" fontId="32" fillId="0" borderId="84" xfId="0" applyFont="1" applyBorder="1" applyAlignment="1">
      <alignment horizontal="center" vertical="center" wrapText="1"/>
    </xf>
    <xf numFmtId="0" fontId="32" fillId="0" borderId="131" xfId="0" applyFont="1" applyBorder="1" applyAlignment="1">
      <alignment horizontal="center" vertical="center" wrapText="1"/>
    </xf>
    <xf numFmtId="0" fontId="35" fillId="0" borderId="134" xfId="0" applyFont="1" applyBorder="1" applyAlignment="1">
      <alignment horizontal="center" vertical="center" wrapText="1"/>
    </xf>
    <xf numFmtId="0" fontId="37" fillId="0" borderId="52" xfId="0" applyFont="1" applyBorder="1" applyAlignment="1">
      <alignment horizontal="center" vertical="center"/>
    </xf>
    <xf numFmtId="0" fontId="37" fillId="0" borderId="55" xfId="0" applyFont="1" applyBorder="1" applyAlignment="1">
      <alignment horizontal="center" vertical="center"/>
    </xf>
    <xf numFmtId="0" fontId="37" fillId="0" borderId="48" xfId="0" applyFont="1" applyBorder="1" applyAlignment="1">
      <alignment horizontal="center" vertical="center"/>
    </xf>
    <xf numFmtId="0" fontId="33" fillId="0" borderId="140" xfId="0" applyFont="1" applyBorder="1" applyAlignment="1">
      <alignment horizontal="center" vertical="center"/>
    </xf>
    <xf numFmtId="3" fontId="32" fillId="0" borderId="97" xfId="0" applyNumberFormat="1" applyFont="1" applyBorder="1" applyAlignment="1">
      <alignment horizontal="center" vertical="center" wrapText="1"/>
    </xf>
    <xf numFmtId="0" fontId="32" fillId="0" borderId="78" xfId="0" applyFont="1" applyBorder="1" applyAlignment="1">
      <alignment horizontal="center" vertical="center" wrapText="1"/>
    </xf>
    <xf numFmtId="3" fontId="35" fillId="0" borderId="132" xfId="0" applyNumberFormat="1" applyFont="1" applyBorder="1" applyAlignment="1">
      <alignment horizontal="center" vertical="center" wrapText="1"/>
    </xf>
    <xf numFmtId="0" fontId="41" fillId="0" borderId="74" xfId="0" applyFont="1" applyBorder="1" applyAlignment="1">
      <alignment horizontal="center" vertical="center" wrapText="1"/>
    </xf>
    <xf numFmtId="3" fontId="41" fillId="0" borderId="74" xfId="0" applyNumberFormat="1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 wrapText="1"/>
    </xf>
    <xf numFmtId="0" fontId="41" fillId="0" borderId="49" xfId="0" applyFont="1" applyBorder="1" applyAlignment="1">
      <alignment vertical="center" wrapText="1"/>
    </xf>
    <xf numFmtId="3" fontId="41" fillId="0" borderId="49" xfId="0" applyNumberFormat="1" applyFont="1" applyBorder="1" applyAlignment="1">
      <alignment horizontal="center" vertical="center" wrapText="1"/>
    </xf>
    <xf numFmtId="3" fontId="41" fillId="0" borderId="49" xfId="0" applyNumberFormat="1" applyFont="1" applyBorder="1" applyAlignment="1">
      <alignment horizontal="center" vertical="center"/>
    </xf>
    <xf numFmtId="0" fontId="41" fillId="0" borderId="53" xfId="0" applyFont="1" applyBorder="1" applyAlignment="1">
      <alignment horizontal="center" vertical="center" wrapText="1"/>
    </xf>
    <xf numFmtId="0" fontId="41" fillId="0" borderId="53" xfId="0" applyFont="1" applyBorder="1" applyAlignment="1">
      <alignment vertical="center" wrapText="1"/>
    </xf>
    <xf numFmtId="3" fontId="41" fillId="0" borderId="53" xfId="0" applyNumberFormat="1" applyFont="1" applyBorder="1" applyAlignment="1">
      <alignment horizontal="center" vertical="center"/>
    </xf>
    <xf numFmtId="3" fontId="41" fillId="0" borderId="53" xfId="0" applyNumberFormat="1" applyFont="1" applyBorder="1" applyAlignment="1">
      <alignment horizontal="center" vertical="center" wrapText="1"/>
    </xf>
    <xf numFmtId="0" fontId="40" fillId="0" borderId="53" xfId="0" applyFont="1" applyBorder="1" applyAlignment="1">
      <alignment horizontal="center" vertical="center" wrapText="1"/>
    </xf>
    <xf numFmtId="3" fontId="35" fillId="0" borderId="53" xfId="0" applyNumberFormat="1" applyFont="1" applyBorder="1" applyAlignment="1">
      <alignment horizontal="center" vertical="center"/>
    </xf>
    <xf numFmtId="0" fontId="41" fillId="0" borderId="53" xfId="0" applyFont="1" applyBorder="1" applyAlignment="1">
      <alignment horizontal="left" vertical="center" wrapText="1"/>
    </xf>
    <xf numFmtId="9" fontId="35" fillId="0" borderId="53" xfId="0" applyNumberFormat="1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 wrapText="1"/>
    </xf>
    <xf numFmtId="167" fontId="40" fillId="0" borderId="54" xfId="0" applyNumberFormat="1" applyFont="1" applyBorder="1" applyAlignment="1">
      <alignment horizontal="center" vertical="center"/>
    </xf>
    <xf numFmtId="0" fontId="35" fillId="0" borderId="53" xfId="0" applyFont="1" applyBorder="1" applyAlignment="1">
      <alignment vertical="center" wrapText="1"/>
    </xf>
    <xf numFmtId="0" fontId="41" fillId="0" borderId="50" xfId="0" applyFont="1" applyBorder="1" applyAlignment="1">
      <alignment horizontal="center" vertical="center" wrapText="1"/>
    </xf>
    <xf numFmtId="0" fontId="41" fillId="0" borderId="50" xfId="0" applyFont="1" applyBorder="1" applyAlignment="1">
      <alignment vertical="center" wrapText="1"/>
    </xf>
    <xf numFmtId="3" fontId="41" fillId="0" borderId="50" xfId="0" applyNumberFormat="1" applyFont="1" applyBorder="1" applyAlignment="1">
      <alignment horizontal="center" vertical="center"/>
    </xf>
    <xf numFmtId="167" fontId="35" fillId="0" borderId="50" xfId="0" applyNumberFormat="1" applyFont="1" applyBorder="1" applyAlignment="1">
      <alignment horizontal="center" vertical="center"/>
    </xf>
    <xf numFmtId="0" fontId="41" fillId="0" borderId="75" xfId="0" applyFont="1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41" fillId="0" borderId="54" xfId="0" applyFont="1" applyBorder="1" applyAlignment="1">
      <alignment horizontal="center" vertical="center" wrapText="1"/>
    </xf>
    <xf numFmtId="167" fontId="35" fillId="0" borderId="54" xfId="0" applyNumberFormat="1" applyFont="1" applyBorder="1" applyAlignment="1">
      <alignment horizontal="center" vertical="center"/>
    </xf>
    <xf numFmtId="0" fontId="40" fillId="0" borderId="54" xfId="0" applyFont="1" applyBorder="1" applyAlignment="1">
      <alignment horizontal="center" vertical="center" wrapText="1"/>
    </xf>
    <xf numFmtId="0" fontId="41" fillId="0" borderId="64" xfId="0" applyFont="1" applyBorder="1" applyAlignment="1">
      <alignment horizontal="center" vertical="center" wrapText="1"/>
    </xf>
    <xf numFmtId="0" fontId="42" fillId="0" borderId="60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 wrapText="1"/>
    </xf>
    <xf numFmtId="3" fontId="41" fillId="0" borderId="77" xfId="0" applyNumberFormat="1" applyFont="1" applyBorder="1" applyAlignment="1">
      <alignment horizontal="center" vertical="center"/>
    </xf>
    <xf numFmtId="9" fontId="35" fillId="0" borderId="77" xfId="0" applyNumberFormat="1" applyFont="1" applyBorder="1" applyAlignment="1">
      <alignment horizontal="center" vertical="center"/>
    </xf>
    <xf numFmtId="167" fontId="35" fillId="0" borderId="77" xfId="0" applyNumberFormat="1" applyFont="1" applyBorder="1" applyAlignment="1">
      <alignment horizontal="center" vertical="center"/>
    </xf>
    <xf numFmtId="9" fontId="40" fillId="0" borderId="77" xfId="0" applyNumberFormat="1" applyFont="1" applyBorder="1" applyAlignment="1">
      <alignment horizontal="center" vertical="center"/>
    </xf>
    <xf numFmtId="0" fontId="41" fillId="0" borderId="86" xfId="0" applyFont="1" applyBorder="1" applyAlignment="1">
      <alignment horizontal="center" vertical="center" wrapText="1"/>
    </xf>
    <xf numFmtId="0" fontId="42" fillId="0" borderId="144" xfId="0" applyFont="1" applyBorder="1" applyAlignment="1">
      <alignment horizontal="center" vertical="center" wrapText="1"/>
    </xf>
    <xf numFmtId="0" fontId="42" fillId="0" borderId="152" xfId="0" applyFont="1" applyBorder="1" applyAlignment="1">
      <alignment horizontal="center" vertical="center" wrapText="1"/>
    </xf>
    <xf numFmtId="0" fontId="37" fillId="0" borderId="53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/>
    </xf>
    <xf numFmtId="0" fontId="37" fillId="0" borderId="0" xfId="0" applyFont="1"/>
    <xf numFmtId="0" fontId="35" fillId="0" borderId="74" xfId="0" applyFont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41" fillId="0" borderId="72" xfId="0" applyFont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32" fillId="0" borderId="52" xfId="0" applyFont="1" applyBorder="1" applyAlignment="1">
      <alignment horizontal="center" vertical="center" wrapText="1"/>
    </xf>
    <xf numFmtId="173" fontId="35" fillId="0" borderId="50" xfId="11" applyNumberFormat="1" applyFont="1" applyFill="1" applyBorder="1" applyAlignment="1">
      <alignment horizontal="center" vertical="center"/>
    </xf>
    <xf numFmtId="173" fontId="35" fillId="0" borderId="53" xfId="11" applyNumberFormat="1" applyFont="1" applyFill="1" applyBorder="1" applyAlignment="1">
      <alignment horizontal="center" vertical="center"/>
    </xf>
    <xf numFmtId="173" fontId="40" fillId="0" borderId="53" xfId="11" applyNumberFormat="1" applyFont="1" applyFill="1" applyBorder="1" applyAlignment="1">
      <alignment horizontal="center" vertical="center"/>
    </xf>
    <xf numFmtId="173" fontId="35" fillId="0" borderId="77" xfId="11" applyNumberFormat="1" applyFont="1" applyFill="1" applyBorder="1" applyAlignment="1">
      <alignment horizontal="center" vertical="center"/>
    </xf>
    <xf numFmtId="173" fontId="40" fillId="0" borderId="77" xfId="11" applyNumberFormat="1" applyFont="1" applyFill="1" applyBorder="1" applyAlignment="1">
      <alignment horizontal="center" vertical="center"/>
    </xf>
    <xf numFmtId="173" fontId="32" fillId="0" borderId="148" xfId="11" applyNumberFormat="1" applyFont="1" applyFill="1" applyBorder="1" applyAlignment="1">
      <alignment horizontal="center" vertical="center"/>
    </xf>
    <xf numFmtId="173" fontId="35" fillId="0" borderId="49" xfId="11" applyNumberFormat="1" applyFont="1" applyFill="1" applyBorder="1" applyAlignment="1">
      <alignment horizontal="center" vertical="center"/>
    </xf>
    <xf numFmtId="173" fontId="32" fillId="0" borderId="156" xfId="11" applyNumberFormat="1" applyFont="1" applyFill="1" applyBorder="1" applyAlignment="1">
      <alignment horizontal="center" vertical="center"/>
    </xf>
    <xf numFmtId="173" fontId="35" fillId="0" borderId="74" xfId="11" applyNumberFormat="1" applyFont="1" applyFill="1" applyBorder="1" applyAlignment="1">
      <alignment horizontal="center" vertical="center"/>
    </xf>
    <xf numFmtId="173" fontId="37" fillId="0" borderId="50" xfId="11" applyNumberFormat="1" applyFont="1" applyBorder="1" applyAlignment="1">
      <alignment horizontal="center" vertical="center"/>
    </xf>
    <xf numFmtId="173" fontId="35" fillId="0" borderId="50" xfId="11" applyNumberFormat="1" applyFont="1" applyBorder="1" applyAlignment="1">
      <alignment horizontal="center" vertical="center" wrapText="1"/>
    </xf>
    <xf numFmtId="173" fontId="37" fillId="0" borderId="64" xfId="11" applyNumberFormat="1" applyFont="1" applyBorder="1" applyAlignment="1">
      <alignment horizontal="center" vertical="center"/>
    </xf>
    <xf numFmtId="173" fontId="37" fillId="0" borderId="53" xfId="11" applyNumberFormat="1" applyFont="1" applyBorder="1" applyAlignment="1">
      <alignment horizontal="center" vertical="center"/>
    </xf>
    <xf numFmtId="173" fontId="35" fillId="0" borderId="53" xfId="11" applyNumberFormat="1" applyFont="1" applyBorder="1" applyAlignment="1">
      <alignment horizontal="center" vertical="center" wrapText="1"/>
    </xf>
    <xf numFmtId="173" fontId="37" fillId="0" borderId="54" xfId="11" applyNumberFormat="1" applyFont="1" applyBorder="1" applyAlignment="1">
      <alignment horizontal="center" vertical="center"/>
    </xf>
    <xf numFmtId="173" fontId="37" fillId="0" borderId="77" xfId="11" applyNumberFormat="1" applyFont="1" applyBorder="1" applyAlignment="1">
      <alignment horizontal="center" vertical="center"/>
    </xf>
    <xf numFmtId="173" fontId="35" fillId="0" borderId="77" xfId="11" applyNumberFormat="1" applyFont="1" applyBorder="1" applyAlignment="1">
      <alignment horizontal="center" vertical="center" wrapText="1"/>
    </xf>
    <xf numFmtId="173" fontId="37" fillId="0" borderId="86" xfId="11" applyNumberFormat="1" applyFont="1" applyBorder="1" applyAlignment="1">
      <alignment horizontal="center" vertical="center"/>
    </xf>
    <xf numFmtId="173" fontId="37" fillId="0" borderId="49" xfId="11" applyNumberFormat="1" applyFont="1" applyBorder="1" applyAlignment="1">
      <alignment horizontal="center" vertical="center"/>
    </xf>
    <xf numFmtId="173" fontId="35" fillId="0" borderId="49" xfId="11" applyNumberFormat="1" applyFont="1" applyBorder="1" applyAlignment="1">
      <alignment horizontal="center" vertical="center" wrapText="1"/>
    </xf>
    <xf numFmtId="173" fontId="37" fillId="0" borderId="51" xfId="11" applyNumberFormat="1" applyFont="1" applyBorder="1" applyAlignment="1">
      <alignment horizontal="center" vertical="center"/>
    </xf>
    <xf numFmtId="173" fontId="33" fillId="0" borderId="141" xfId="11" applyNumberFormat="1" applyFont="1" applyBorder="1" applyAlignment="1">
      <alignment horizontal="center" vertical="center"/>
    </xf>
    <xf numFmtId="173" fontId="33" fillId="0" borderId="142" xfId="11" applyNumberFormat="1" applyFont="1" applyBorder="1" applyAlignment="1">
      <alignment horizontal="center" vertical="center"/>
    </xf>
    <xf numFmtId="173" fontId="41" fillId="0" borderId="53" xfId="11" applyNumberFormat="1" applyFont="1" applyFill="1" applyBorder="1" applyAlignment="1">
      <alignment horizontal="center" vertical="center"/>
    </xf>
    <xf numFmtId="173" fontId="35" fillId="0" borderId="54" xfId="11" applyNumberFormat="1" applyFont="1" applyFill="1" applyBorder="1" applyAlignment="1">
      <alignment horizontal="center" vertical="center"/>
    </xf>
    <xf numFmtId="173" fontId="35" fillId="0" borderId="64" xfId="11" applyNumberFormat="1" applyFont="1" applyFill="1" applyBorder="1" applyAlignment="1">
      <alignment horizontal="center" vertical="center"/>
    </xf>
    <xf numFmtId="173" fontId="35" fillId="0" borderId="51" xfId="11" applyNumberFormat="1" applyFont="1" applyFill="1" applyBorder="1" applyAlignment="1">
      <alignment horizontal="center" vertical="center"/>
    </xf>
    <xf numFmtId="173" fontId="32" fillId="0" borderId="89" xfId="11" applyNumberFormat="1" applyFont="1" applyFill="1" applyBorder="1" applyAlignment="1">
      <alignment horizontal="center" vertical="center"/>
    </xf>
    <xf numFmtId="173" fontId="32" fillId="0" borderId="90" xfId="11" applyNumberFormat="1" applyFont="1" applyFill="1" applyBorder="1" applyAlignment="1">
      <alignment horizontal="center" vertical="center"/>
    </xf>
    <xf numFmtId="0" fontId="32" fillId="0" borderId="55" xfId="0" applyFont="1" applyBorder="1" applyAlignment="1">
      <alignment horizontal="center" vertical="center" wrapText="1"/>
    </xf>
    <xf numFmtId="0" fontId="41" fillId="0" borderId="77" xfId="0" applyFont="1" applyBorder="1" applyAlignment="1">
      <alignment vertical="center" wrapText="1"/>
    </xf>
    <xf numFmtId="173" fontId="41" fillId="0" borderId="77" xfId="11" applyNumberFormat="1" applyFont="1" applyFill="1" applyBorder="1" applyAlignment="1">
      <alignment horizontal="center" vertical="center" wrapText="1"/>
    </xf>
    <xf numFmtId="173" fontId="41" fillId="0" borderId="77" xfId="11" applyNumberFormat="1" applyFont="1" applyFill="1" applyBorder="1" applyAlignment="1">
      <alignment horizontal="center" vertical="center"/>
    </xf>
    <xf numFmtId="173" fontId="35" fillId="0" borderId="86" xfId="11" applyNumberFormat="1" applyFont="1" applyFill="1" applyBorder="1" applyAlignment="1">
      <alignment horizontal="center" vertical="center"/>
    </xf>
    <xf numFmtId="0" fontId="37" fillId="0" borderId="77" xfId="0" applyFont="1" applyBorder="1" applyAlignment="1">
      <alignment vertical="center"/>
    </xf>
    <xf numFmtId="173" fontId="32" fillId="0" borderId="152" xfId="11" applyNumberFormat="1" applyFont="1" applyFill="1" applyBorder="1" applyAlignment="1">
      <alignment horizontal="center" vertical="center"/>
    </xf>
    <xf numFmtId="173" fontId="32" fillId="0" borderId="144" xfId="11" applyNumberFormat="1" applyFont="1" applyFill="1" applyBorder="1" applyAlignment="1">
      <alignment horizontal="center" vertical="center"/>
    </xf>
    <xf numFmtId="0" fontId="41" fillId="0" borderId="52" xfId="0" applyFont="1" applyBorder="1" applyAlignment="1">
      <alignment horizontal="left" vertical="center"/>
    </xf>
    <xf numFmtId="0" fontId="41" fillId="0" borderId="57" xfId="0" applyFont="1" applyBorder="1" applyAlignment="1">
      <alignment horizontal="left" vertical="center"/>
    </xf>
    <xf numFmtId="165" fontId="41" fillId="0" borderId="50" xfId="0" applyNumberFormat="1" applyFont="1" applyBorder="1" applyAlignment="1">
      <alignment horizontal="center" vertical="center"/>
    </xf>
    <xf numFmtId="165" fontId="41" fillId="0" borderId="53" xfId="0" applyNumberFormat="1" applyFont="1" applyBorder="1" applyAlignment="1">
      <alignment horizontal="center" vertical="center"/>
    </xf>
    <xf numFmtId="9" fontId="41" fillId="0" borderId="53" xfId="0" applyNumberFormat="1" applyFont="1" applyBorder="1" applyAlignment="1">
      <alignment horizontal="center" vertical="center"/>
    </xf>
    <xf numFmtId="0" fontId="41" fillId="0" borderId="54" xfId="0" quotePrefix="1" applyFont="1" applyBorder="1" applyAlignment="1">
      <alignment horizontal="center" vertical="center" wrapText="1"/>
    </xf>
    <xf numFmtId="0" fontId="42" fillId="0" borderId="54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45" fillId="0" borderId="0" xfId="4" applyFont="1" applyAlignment="1">
      <alignment horizontal="left" vertical="center"/>
    </xf>
    <xf numFmtId="0" fontId="42" fillId="0" borderId="104" xfId="0" applyFont="1" applyBorder="1" applyAlignment="1">
      <alignment horizontal="center" vertical="center" wrapText="1"/>
    </xf>
    <xf numFmtId="0" fontId="42" fillId="0" borderId="105" xfId="0" applyFont="1" applyBorder="1" applyAlignment="1">
      <alignment horizontal="center" vertical="center" wrapText="1"/>
    </xf>
    <xf numFmtId="0" fontId="42" fillId="0" borderId="106" xfId="0" applyFont="1" applyBorder="1" applyAlignment="1">
      <alignment horizontal="center" vertical="center" wrapText="1"/>
    </xf>
    <xf numFmtId="0" fontId="41" fillId="0" borderId="107" xfId="0" applyFont="1" applyBorder="1"/>
    <xf numFmtId="0" fontId="41" fillId="0" borderId="108" xfId="0" applyFont="1" applyBorder="1"/>
    <xf numFmtId="1" fontId="41" fillId="0" borderId="108" xfId="11" applyNumberFormat="1" applyFont="1" applyBorder="1"/>
    <xf numFmtId="44" fontId="41" fillId="0" borderId="108" xfId="11" applyFont="1" applyBorder="1"/>
    <xf numFmtId="44" fontId="41" fillId="0" borderId="109" xfId="0" applyNumberFormat="1" applyFont="1" applyBorder="1"/>
    <xf numFmtId="0" fontId="41" fillId="0" borderId="110" xfId="0" applyFont="1" applyBorder="1"/>
    <xf numFmtId="0" fontId="41" fillId="0" borderId="111" xfId="0" applyFont="1" applyBorder="1"/>
    <xf numFmtId="44" fontId="41" fillId="0" borderId="111" xfId="11" applyFont="1" applyBorder="1"/>
    <xf numFmtId="44" fontId="41" fillId="0" borderId="112" xfId="0" applyNumberFormat="1" applyFont="1" applyBorder="1"/>
    <xf numFmtId="0" fontId="41" fillId="0" borderId="113" xfId="0" applyFont="1" applyBorder="1"/>
    <xf numFmtId="0" fontId="41" fillId="0" borderId="114" xfId="0" applyFont="1" applyBorder="1"/>
    <xf numFmtId="44" fontId="41" fillId="0" borderId="114" xfId="11" applyFont="1" applyBorder="1"/>
    <xf numFmtId="44" fontId="41" fillId="0" borderId="115" xfId="0" applyNumberFormat="1" applyFont="1" applyBorder="1"/>
    <xf numFmtId="172" fontId="42" fillId="0" borderId="118" xfId="0" applyNumberFormat="1" applyFont="1" applyBorder="1"/>
    <xf numFmtId="0" fontId="32" fillId="0" borderId="159" xfId="0" applyFont="1" applyBorder="1" applyAlignment="1">
      <alignment horizontal="center" vertical="center" wrapText="1"/>
    </xf>
    <xf numFmtId="0" fontId="42" fillId="0" borderId="52" xfId="0" applyFont="1" applyBorder="1" applyAlignment="1">
      <alignment horizontal="right" vertical="center"/>
    </xf>
    <xf numFmtId="0" fontId="42" fillId="0" borderId="58" xfId="0" applyFont="1" applyBorder="1" applyAlignment="1">
      <alignment horizontal="right" vertical="center"/>
    </xf>
    <xf numFmtId="1" fontId="41" fillId="0" borderId="53" xfId="0" applyNumberFormat="1" applyFont="1" applyBorder="1" applyAlignment="1">
      <alignment horizontal="center" vertical="center" wrapText="1"/>
    </xf>
    <xf numFmtId="0" fontId="37" fillId="0" borderId="58" xfId="0" applyFont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37" fillId="0" borderId="72" xfId="0" applyFont="1" applyBorder="1" applyAlignment="1">
      <alignment horizontal="center" vertical="center"/>
    </xf>
    <xf numFmtId="1" fontId="41" fillId="0" borderId="72" xfId="0" applyNumberFormat="1" applyFont="1" applyBorder="1" applyAlignment="1">
      <alignment horizontal="center" vertical="center" wrapText="1"/>
    </xf>
    <xf numFmtId="3" fontId="41" fillId="0" borderId="72" xfId="0" applyNumberFormat="1" applyFont="1" applyBorder="1" applyAlignment="1">
      <alignment horizontal="center" vertical="center" wrapText="1"/>
    </xf>
    <xf numFmtId="1" fontId="41" fillId="0" borderId="49" xfId="0" applyNumberFormat="1" applyFont="1" applyBorder="1" applyAlignment="1">
      <alignment horizontal="center" vertical="center" wrapText="1"/>
    </xf>
    <xf numFmtId="0" fontId="37" fillId="0" borderId="87" xfId="0" applyFont="1" applyBorder="1" applyAlignment="1">
      <alignment horizontal="center" vertical="center" wrapText="1"/>
    </xf>
    <xf numFmtId="0" fontId="42" fillId="0" borderId="78" xfId="0" applyFont="1" applyBorder="1" applyAlignment="1">
      <alignment horizontal="center" vertical="center" wrapText="1"/>
    </xf>
    <xf numFmtId="1" fontId="41" fillId="0" borderId="74" xfId="0" applyNumberFormat="1" applyFont="1" applyBorder="1" applyAlignment="1">
      <alignment horizontal="center" vertical="center" wrapText="1"/>
    </xf>
    <xf numFmtId="3" fontId="41" fillId="0" borderId="74" xfId="0" applyNumberFormat="1" applyFont="1" applyBorder="1" applyAlignment="1">
      <alignment horizontal="center" vertical="center" wrapText="1"/>
    </xf>
    <xf numFmtId="1" fontId="35" fillId="0" borderId="49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33" fillId="0" borderId="132" xfId="0" applyFont="1" applyBorder="1" applyAlignment="1">
      <alignment horizontal="center" vertical="center"/>
    </xf>
    <xf numFmtId="0" fontId="33" fillId="0" borderId="133" xfId="0" applyFont="1" applyBorder="1" applyAlignment="1">
      <alignment horizontal="center" vertical="center"/>
    </xf>
    <xf numFmtId="0" fontId="32" fillId="0" borderId="74" xfId="10" applyFont="1" applyFill="1" applyBorder="1" applyAlignment="1">
      <alignment horizontal="center" vertical="center" wrapText="1"/>
    </xf>
    <xf numFmtId="0" fontId="32" fillId="0" borderId="75" xfId="10" applyFont="1" applyFill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41" fillId="0" borderId="51" xfId="0" applyFont="1" applyBorder="1" applyAlignment="1">
      <alignment horizontal="center" vertical="center"/>
    </xf>
    <xf numFmtId="0" fontId="41" fillId="0" borderId="53" xfId="0" applyFont="1" applyBorder="1" applyAlignment="1">
      <alignment horizontal="center" vertical="center"/>
    </xf>
    <xf numFmtId="0" fontId="41" fillId="0" borderId="54" xfId="0" applyFont="1" applyBorder="1" applyAlignment="1">
      <alignment horizontal="center" vertical="center"/>
    </xf>
    <xf numFmtId="0" fontId="37" fillId="0" borderId="54" xfId="0" applyFont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1" fontId="35" fillId="0" borderId="53" xfId="0" applyNumberFormat="1" applyFont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171" fontId="35" fillId="0" borderId="53" xfId="0" applyNumberFormat="1" applyFont="1" applyBorder="1" applyAlignment="1">
      <alignment horizontal="center" vertical="center"/>
    </xf>
    <xf numFmtId="170" fontId="35" fillId="0" borderId="53" xfId="0" applyNumberFormat="1" applyFont="1" applyBorder="1" applyAlignment="1">
      <alignment horizontal="center" vertical="center"/>
    </xf>
    <xf numFmtId="3" fontId="41" fillId="0" borderId="88" xfId="0" applyNumberFormat="1" applyFont="1" applyBorder="1" applyAlignment="1">
      <alignment horizontal="center" vertical="center" shrinkToFit="1"/>
    </xf>
    <xf numFmtId="1" fontId="41" fillId="0" borderId="89" xfId="0" applyNumberFormat="1" applyFont="1" applyBorder="1" applyAlignment="1">
      <alignment horizontal="center" vertical="center"/>
    </xf>
    <xf numFmtId="165" fontId="35" fillId="0" borderId="89" xfId="0" applyNumberFormat="1" applyFont="1" applyBorder="1" applyAlignment="1">
      <alignment horizontal="center" vertical="center"/>
    </xf>
    <xf numFmtId="1" fontId="41" fillId="0" borderId="90" xfId="0" applyNumberFormat="1" applyFont="1" applyBorder="1" applyAlignment="1">
      <alignment horizontal="center" vertical="center"/>
    </xf>
    <xf numFmtId="0" fontId="35" fillId="0" borderId="91" xfId="0" applyFont="1" applyBorder="1" applyAlignment="1">
      <alignment horizontal="center" vertical="center" wrapText="1"/>
    </xf>
    <xf numFmtId="3" fontId="41" fillId="0" borderId="92" xfId="0" applyNumberFormat="1" applyFont="1" applyBorder="1" applyAlignment="1">
      <alignment horizontal="center" vertical="center" shrinkToFit="1"/>
    </xf>
    <xf numFmtId="0" fontId="35" fillId="0" borderId="92" xfId="0" applyFont="1" applyBorder="1" applyAlignment="1">
      <alignment horizontal="center" vertical="center" wrapText="1"/>
    </xf>
    <xf numFmtId="0" fontId="35" fillId="0" borderId="93" xfId="0" applyFont="1" applyBorder="1" applyAlignment="1">
      <alignment horizontal="center" vertical="center" wrapText="1"/>
    </xf>
    <xf numFmtId="1" fontId="41" fillId="0" borderId="57" xfId="0" applyNumberFormat="1" applyFont="1" applyBorder="1" applyAlignment="1">
      <alignment horizontal="center" vertical="center" shrinkToFit="1"/>
    </xf>
    <xf numFmtId="3" fontId="41" fillId="0" borderId="94" xfId="0" applyNumberFormat="1" applyFont="1" applyBorder="1" applyAlignment="1">
      <alignment horizontal="center" vertical="center" shrinkToFit="1"/>
    </xf>
    <xf numFmtId="3" fontId="41" fillId="0" borderId="66" xfId="0" applyNumberFormat="1" applyFont="1" applyBorder="1" applyAlignment="1">
      <alignment horizontal="center" vertical="center" shrinkToFit="1"/>
    </xf>
    <xf numFmtId="3" fontId="41" fillId="0" borderId="74" xfId="0" applyNumberFormat="1" applyFont="1" applyBorder="1" applyAlignment="1">
      <alignment horizontal="center" vertical="center" shrinkToFit="1"/>
    </xf>
    <xf numFmtId="4" fontId="41" fillId="0" borderId="74" xfId="0" applyNumberFormat="1" applyFont="1" applyBorder="1" applyAlignment="1">
      <alignment horizontal="center" vertical="center" shrinkToFit="1"/>
    </xf>
    <xf numFmtId="168" fontId="41" fillId="0" borderId="74" xfId="0" applyNumberFormat="1" applyFont="1" applyBorder="1" applyAlignment="1">
      <alignment horizontal="center" vertical="center" shrinkToFit="1"/>
    </xf>
    <xf numFmtId="168" fontId="41" fillId="0" borderId="50" xfId="0" applyNumberFormat="1" applyFont="1" applyBorder="1" applyAlignment="1">
      <alignment horizontal="center" vertical="center"/>
    </xf>
    <xf numFmtId="3" fontId="41" fillId="0" borderId="64" xfId="0" applyNumberFormat="1" applyFont="1" applyBorder="1" applyAlignment="1">
      <alignment horizontal="center" vertical="center" shrinkToFit="1"/>
    </xf>
    <xf numFmtId="3" fontId="41" fillId="0" borderId="56" xfId="0" applyNumberFormat="1" applyFont="1" applyBorder="1" applyAlignment="1">
      <alignment horizontal="center" vertical="center" shrinkToFit="1"/>
    </xf>
    <xf numFmtId="3" fontId="35" fillId="0" borderId="81" xfId="0" applyNumberFormat="1" applyFont="1" applyBorder="1" applyAlignment="1">
      <alignment horizontal="center" vertical="center" shrinkToFit="1"/>
    </xf>
    <xf numFmtId="169" fontId="41" fillId="0" borderId="74" xfId="0" applyNumberFormat="1" applyFont="1" applyBorder="1" applyAlignment="1">
      <alignment horizontal="center" vertical="center" shrinkToFit="1"/>
    </xf>
    <xf numFmtId="0" fontId="32" fillId="0" borderId="73" xfId="0" applyFont="1" applyBorder="1" applyAlignment="1">
      <alignment horizontal="center" vertical="top"/>
    </xf>
    <xf numFmtId="0" fontId="32" fillId="0" borderId="48" xfId="0" applyFont="1" applyBorder="1" applyAlignment="1">
      <alignment horizontal="left" vertical="center" wrapText="1"/>
    </xf>
    <xf numFmtId="0" fontId="32" fillId="0" borderId="52" xfId="0" applyFont="1" applyBorder="1" applyAlignment="1">
      <alignment horizontal="left" vertical="center" wrapText="1"/>
    </xf>
    <xf numFmtId="0" fontId="32" fillId="0" borderId="87" xfId="0" applyFont="1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top"/>
    </xf>
    <xf numFmtId="0" fontId="33" fillId="0" borderId="94" xfId="10" applyFont="1" applyFill="1" applyBorder="1" applyAlignment="1">
      <alignment horizontal="center" vertical="center" wrapText="1"/>
    </xf>
    <xf numFmtId="0" fontId="32" fillId="0" borderId="161" xfId="10" applyFont="1" applyFill="1" applyBorder="1" applyAlignment="1">
      <alignment horizontal="center" vertical="center" wrapText="1"/>
    </xf>
    <xf numFmtId="0" fontId="35" fillId="0" borderId="162" xfId="0" applyFont="1" applyBorder="1" applyAlignment="1">
      <alignment horizontal="center" vertical="top"/>
    </xf>
    <xf numFmtId="0" fontId="35" fillId="0" borderId="162" xfId="0" applyFont="1" applyBorder="1" applyAlignment="1">
      <alignment horizontal="center" vertical="center"/>
    </xf>
    <xf numFmtId="0" fontId="37" fillId="0" borderId="162" xfId="0" applyFont="1" applyBorder="1" applyAlignment="1">
      <alignment horizontal="center" vertical="center" wrapText="1"/>
    </xf>
    <xf numFmtId="0" fontId="37" fillId="0" borderId="162" xfId="0" applyFont="1" applyBorder="1" applyAlignment="1">
      <alignment horizontal="center" vertical="center"/>
    </xf>
    <xf numFmtId="0" fontId="37" fillId="0" borderId="162" xfId="0" applyFont="1" applyBorder="1" applyAlignment="1">
      <alignment horizontal="center" vertical="top" wrapText="1"/>
    </xf>
    <xf numFmtId="0" fontId="35" fillId="0" borderId="160" xfId="10" applyFont="1" applyFill="1" applyBorder="1" applyAlignment="1">
      <alignment horizontal="center" vertical="center"/>
    </xf>
    <xf numFmtId="165" fontId="52" fillId="0" borderId="81" xfId="0" applyNumberFormat="1" applyFont="1" applyBorder="1" applyAlignment="1">
      <alignment horizontal="center" vertical="center" wrapText="1"/>
    </xf>
    <xf numFmtId="167" fontId="52" fillId="0" borderId="54" xfId="0" applyNumberFormat="1" applyFont="1" applyBorder="1" applyAlignment="1">
      <alignment horizontal="center" vertical="center" wrapText="1"/>
    </xf>
    <xf numFmtId="3" fontId="52" fillId="0" borderId="96" xfId="0" applyNumberFormat="1" applyFont="1" applyBorder="1" applyAlignment="1">
      <alignment horizontal="center" vertical="center" wrapText="1"/>
    </xf>
    <xf numFmtId="0" fontId="50" fillId="0" borderId="0" xfId="0" applyFont="1" applyAlignment="1">
      <alignment horizontal="center" vertical="top"/>
    </xf>
    <xf numFmtId="0" fontId="54" fillId="0" borderId="52" xfId="0" applyFont="1" applyBorder="1" applyAlignment="1">
      <alignment horizontal="left" vertical="center"/>
    </xf>
    <xf numFmtId="0" fontId="54" fillId="0" borderId="57" xfId="0" applyFont="1" applyBorder="1" applyAlignment="1">
      <alignment horizontal="left" vertical="center"/>
    </xf>
    <xf numFmtId="165" fontId="52" fillId="0" borderId="62" xfId="0" applyNumberFormat="1" applyFont="1" applyBorder="1" applyAlignment="1">
      <alignment horizontal="center" vertical="center" wrapText="1"/>
    </xf>
    <xf numFmtId="3" fontId="52" fillId="0" borderId="50" xfId="0" applyNumberFormat="1" applyFont="1" applyBorder="1" applyAlignment="1">
      <alignment horizontal="center" vertical="center" wrapText="1"/>
    </xf>
    <xf numFmtId="167" fontId="52" fillId="0" borderId="64" xfId="0" applyNumberFormat="1" applyFont="1" applyBorder="1" applyAlignment="1">
      <alignment horizontal="center" vertical="center" wrapText="1"/>
    </xf>
    <xf numFmtId="0" fontId="49" fillId="0" borderId="84" xfId="0" applyFont="1" applyBorder="1" applyAlignment="1">
      <alignment horizontal="center" vertical="center" wrapText="1"/>
    </xf>
    <xf numFmtId="0" fontId="49" fillId="0" borderId="97" xfId="0" applyFont="1" applyBorder="1" applyAlignment="1">
      <alignment horizontal="center" vertical="center" wrapText="1"/>
    </xf>
    <xf numFmtId="0" fontId="49" fillId="0" borderId="85" xfId="0" applyFont="1" applyBorder="1" applyAlignment="1">
      <alignment horizontal="center" vertical="center" wrapText="1"/>
    </xf>
    <xf numFmtId="0" fontId="51" fillId="0" borderId="87" xfId="0" applyFont="1" applyBorder="1" applyAlignment="1">
      <alignment horizontal="center" vertical="center" wrapText="1"/>
    </xf>
    <xf numFmtId="0" fontId="51" fillId="0" borderId="89" xfId="0" applyFont="1" applyBorder="1" applyAlignment="1">
      <alignment horizontal="center" vertical="center" wrapText="1"/>
    </xf>
    <xf numFmtId="0" fontId="51" fillId="0" borderId="90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left" vertical="center"/>
    </xf>
    <xf numFmtId="165" fontId="52" fillId="0" borderId="76" xfId="0" applyNumberFormat="1" applyFont="1" applyBorder="1" applyAlignment="1">
      <alignment horizontal="center" vertical="center" wrapText="1"/>
    </xf>
    <xf numFmtId="3" fontId="52" fillId="0" borderId="74" xfId="0" applyNumberFormat="1" applyFont="1" applyBorder="1" applyAlignment="1">
      <alignment horizontal="center" vertical="center" wrapText="1"/>
    </xf>
    <xf numFmtId="167" fontId="52" fillId="0" borderId="86" xfId="0" applyNumberFormat="1" applyFont="1" applyBorder="1" applyAlignment="1">
      <alignment horizontal="center" vertical="center" wrapText="1"/>
    </xf>
    <xf numFmtId="0" fontId="53" fillId="0" borderId="140" xfId="0" applyFont="1" applyBorder="1" applyAlignment="1">
      <alignment horizontal="left" vertical="center" wrapText="1"/>
    </xf>
    <xf numFmtId="0" fontId="53" fillId="0" borderId="141" xfId="0" applyFont="1" applyBorder="1" applyAlignment="1">
      <alignment horizontal="center" vertical="center" wrapText="1"/>
    </xf>
    <xf numFmtId="167" fontId="52" fillId="0" borderId="142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37" fontId="41" fillId="0" borderId="59" xfId="0" applyNumberFormat="1" applyFont="1" applyBorder="1" applyAlignment="1">
      <alignment horizontal="center"/>
    </xf>
    <xf numFmtId="0" fontId="37" fillId="0" borderId="84" xfId="0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/>
    </xf>
    <xf numFmtId="0" fontId="37" fillId="0" borderId="89" xfId="0" applyFont="1" applyBorder="1" applyAlignment="1">
      <alignment horizontal="center" vertical="center" wrapText="1"/>
    </xf>
    <xf numFmtId="0" fontId="37" fillId="0" borderId="90" xfId="0" applyFont="1" applyBorder="1" applyAlignment="1">
      <alignment horizontal="center" vertical="center" wrapText="1"/>
    </xf>
    <xf numFmtId="173" fontId="41" fillId="0" borderId="50" xfId="11" applyNumberFormat="1" applyFont="1" applyFill="1" applyBorder="1" applyAlignment="1">
      <alignment horizontal="center"/>
    </xf>
    <xf numFmtId="173" fontId="41" fillId="0" borderId="64" xfId="11" applyNumberFormat="1" applyFont="1" applyFill="1" applyBorder="1" applyAlignment="1">
      <alignment horizontal="center"/>
    </xf>
    <xf numFmtId="173" fontId="41" fillId="0" borderId="53" xfId="11" applyNumberFormat="1" applyFont="1" applyFill="1" applyBorder="1" applyAlignment="1">
      <alignment horizontal="center"/>
    </xf>
    <xf numFmtId="173" fontId="41" fillId="0" borderId="54" xfId="11" applyNumberFormat="1" applyFont="1" applyFill="1" applyBorder="1" applyAlignment="1">
      <alignment horizontal="center"/>
    </xf>
    <xf numFmtId="173" fontId="41" fillId="0" borderId="59" xfId="11" applyNumberFormat="1" applyFont="1" applyFill="1" applyBorder="1" applyAlignment="1">
      <alignment horizontal="center"/>
    </xf>
    <xf numFmtId="173" fontId="41" fillId="0" borderId="60" xfId="11" applyNumberFormat="1" applyFont="1" applyFill="1" applyBorder="1" applyAlignment="1">
      <alignment horizontal="center"/>
    </xf>
    <xf numFmtId="173" fontId="51" fillId="0" borderId="67" xfId="11" applyNumberFormat="1" applyFont="1" applyBorder="1" applyAlignment="1">
      <alignment horizontal="center" vertical="center" wrapText="1"/>
    </xf>
    <xf numFmtId="173" fontId="52" fillId="0" borderId="50" xfId="11" applyNumberFormat="1" applyFont="1" applyBorder="1" applyAlignment="1">
      <alignment horizontal="center" vertical="center" wrapText="1"/>
    </xf>
    <xf numFmtId="173" fontId="51" fillId="0" borderId="56" xfId="11" applyNumberFormat="1" applyFont="1" applyBorder="1" applyAlignment="1">
      <alignment horizontal="center" vertical="center" wrapText="1"/>
    </xf>
    <xf numFmtId="173" fontId="52" fillId="0" borderId="53" xfId="11" applyNumberFormat="1" applyFont="1" applyBorder="1" applyAlignment="1">
      <alignment horizontal="center" vertical="center" wrapText="1"/>
    </xf>
    <xf numFmtId="173" fontId="51" fillId="0" borderId="65" xfId="11" applyNumberFormat="1" applyFont="1" applyBorder="1" applyAlignment="1">
      <alignment horizontal="center" vertical="center" wrapText="1"/>
    </xf>
    <xf numFmtId="173" fontId="52" fillId="0" borderId="77" xfId="11" applyNumberFormat="1" applyFont="1" applyBorder="1" applyAlignment="1">
      <alignment horizontal="center" vertical="center" wrapText="1"/>
    </xf>
    <xf numFmtId="173" fontId="54" fillId="0" borderId="141" xfId="11" applyNumberFormat="1" applyFont="1" applyBorder="1" applyAlignment="1">
      <alignment horizontal="center" vertical="center" wrapText="1"/>
    </xf>
    <xf numFmtId="173" fontId="35" fillId="0" borderId="50" xfId="11" applyNumberFormat="1" applyFont="1" applyFill="1" applyBorder="1" applyAlignment="1">
      <alignment horizontal="center" vertical="center" shrinkToFit="1"/>
    </xf>
    <xf numFmtId="173" fontId="35" fillId="0" borderId="64" xfId="11" applyNumberFormat="1" applyFont="1" applyFill="1" applyBorder="1" applyAlignment="1">
      <alignment horizontal="center" vertical="center" shrinkToFit="1"/>
    </xf>
    <xf numFmtId="173" fontId="35" fillId="0" borderId="53" xfId="11" applyNumberFormat="1" applyFont="1" applyFill="1" applyBorder="1" applyAlignment="1">
      <alignment horizontal="center" vertical="center" shrinkToFit="1"/>
    </xf>
    <xf numFmtId="173" fontId="35" fillId="0" borderId="54" xfId="11" applyNumberFormat="1" applyFont="1" applyFill="1" applyBorder="1" applyAlignment="1">
      <alignment horizontal="center" vertical="center" shrinkToFit="1"/>
    </xf>
    <xf numFmtId="173" fontId="35" fillId="0" borderId="59" xfId="11" applyNumberFormat="1" applyFont="1" applyFill="1" applyBorder="1" applyAlignment="1">
      <alignment horizontal="center" vertical="center" shrinkToFit="1"/>
    </xf>
    <xf numFmtId="173" fontId="35" fillId="0" borderId="60" xfId="11" applyNumberFormat="1" applyFont="1" applyFill="1" applyBorder="1" applyAlignment="1">
      <alignment horizontal="center" vertical="center" shrinkToFit="1"/>
    </xf>
    <xf numFmtId="173" fontId="41" fillId="0" borderId="51" xfId="11" applyNumberFormat="1" applyFont="1" applyFill="1" applyBorder="1" applyAlignment="1">
      <alignment horizontal="center" vertical="center" wrapText="1"/>
    </xf>
    <xf numFmtId="173" fontId="41" fillId="0" borderId="54" xfId="11" applyNumberFormat="1" applyFont="1" applyFill="1" applyBorder="1" applyAlignment="1">
      <alignment horizontal="center" vertical="center" wrapText="1"/>
    </xf>
    <xf numFmtId="173" fontId="42" fillId="0" borderId="90" xfId="11" applyNumberFormat="1" applyFont="1" applyFill="1" applyBorder="1" applyAlignment="1">
      <alignment horizontal="center" vertical="center" wrapText="1"/>
    </xf>
    <xf numFmtId="173" fontId="42" fillId="0" borderId="75" xfId="11" applyNumberFormat="1" applyFont="1" applyFill="1" applyBorder="1" applyAlignment="1">
      <alignment horizontal="center" vertical="center" wrapText="1"/>
    </xf>
    <xf numFmtId="173" fontId="32" fillId="0" borderId="90" xfId="11" applyNumberFormat="1" applyFont="1" applyFill="1" applyBorder="1" applyAlignment="1">
      <alignment horizontal="center" vertical="center" wrapText="1"/>
    </xf>
    <xf numFmtId="173" fontId="42" fillId="0" borderId="82" xfId="11" applyNumberFormat="1" applyFont="1" applyFill="1" applyBorder="1" applyAlignment="1">
      <alignment horizontal="center" vertical="center" wrapText="1"/>
    </xf>
    <xf numFmtId="173" fontId="42" fillId="0" borderId="53" xfId="11" applyNumberFormat="1" applyFont="1" applyFill="1" applyBorder="1" applyAlignment="1">
      <alignment horizontal="center" vertical="center" wrapText="1"/>
    </xf>
    <xf numFmtId="173" fontId="42" fillId="0" borderId="59" xfId="11" applyNumberFormat="1" applyFont="1" applyFill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43" fontId="0" fillId="0" borderId="0" xfId="0" applyNumberFormat="1" applyAlignment="1">
      <alignment horizontal="left" vertical="top"/>
    </xf>
    <xf numFmtId="4" fontId="12" fillId="6" borderId="0" xfId="0" applyNumberFormat="1" applyFont="1" applyFill="1" applyAlignment="1">
      <alignment horizontal="center" vertical="center" wrapText="1"/>
    </xf>
    <xf numFmtId="0" fontId="5" fillId="0" borderId="163" xfId="0" applyFont="1" applyBorder="1" applyAlignment="1">
      <alignment horizontal="center" vertical="center"/>
    </xf>
    <xf numFmtId="4" fontId="5" fillId="0" borderId="163" xfId="0" applyNumberFormat="1" applyFont="1" applyBorder="1" applyAlignment="1">
      <alignment horizontal="center" vertical="center" wrapText="1"/>
    </xf>
    <xf numFmtId="3" fontId="7" fillId="0" borderId="163" xfId="0" applyNumberFormat="1" applyFont="1" applyBorder="1" applyAlignment="1">
      <alignment horizontal="center" vertical="center" wrapText="1"/>
    </xf>
    <xf numFmtId="3" fontId="5" fillId="0" borderId="163" xfId="0" applyNumberFormat="1" applyFont="1" applyBorder="1" applyAlignment="1">
      <alignment horizontal="center" vertical="center" wrapText="1"/>
    </xf>
    <xf numFmtId="0" fontId="32" fillId="0" borderId="80" xfId="0" applyFont="1" applyBorder="1" applyAlignment="1">
      <alignment horizontal="center" vertical="center" wrapText="1"/>
    </xf>
    <xf numFmtId="0" fontId="32" fillId="0" borderId="143" xfId="0" applyFont="1" applyBorder="1" applyAlignment="1">
      <alignment horizontal="center" vertical="center" wrapText="1"/>
    </xf>
    <xf numFmtId="0" fontId="32" fillId="0" borderId="97" xfId="0" applyFont="1" applyBorder="1" applyAlignment="1">
      <alignment horizontal="center" vertical="center" wrapText="1"/>
    </xf>
    <xf numFmtId="0" fontId="42" fillId="0" borderId="132" xfId="0" applyFont="1" applyBorder="1" applyAlignment="1">
      <alignment horizontal="center" vertical="center" wrapText="1"/>
    </xf>
    <xf numFmtId="0" fontId="32" fillId="0" borderId="85" xfId="0" applyFont="1" applyBorder="1" applyAlignment="1">
      <alignment horizontal="center" vertical="center" wrapText="1"/>
    </xf>
    <xf numFmtId="0" fontId="42" fillId="0" borderId="133" xfId="0" applyFont="1" applyBorder="1" applyAlignment="1">
      <alignment horizontal="center" vertical="center" wrapText="1"/>
    </xf>
    <xf numFmtId="0" fontId="42" fillId="0" borderId="97" xfId="0" applyFont="1" applyBorder="1" applyAlignment="1">
      <alignment horizontal="center" vertical="center" wrapText="1"/>
    </xf>
    <xf numFmtId="164" fontId="32" fillId="0" borderId="84" xfId="0" applyNumberFormat="1" applyFont="1" applyBorder="1" applyAlignment="1">
      <alignment horizontal="center" vertical="center" wrapText="1"/>
    </xf>
    <xf numFmtId="0" fontId="33" fillId="0" borderId="85" xfId="0" applyFont="1" applyBorder="1" applyAlignment="1">
      <alignment horizontal="center" vertical="center" wrapText="1"/>
    </xf>
    <xf numFmtId="164" fontId="32" fillId="0" borderId="128" xfId="0" applyNumberFormat="1" applyFont="1" applyBorder="1" applyAlignment="1">
      <alignment horizontal="center" vertical="center" wrapText="1"/>
    </xf>
    <xf numFmtId="0" fontId="33" fillId="0" borderId="129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33" fillId="0" borderId="121" xfId="0" applyFont="1" applyBorder="1" applyAlignment="1">
      <alignment horizontal="center" vertical="center"/>
    </xf>
    <xf numFmtId="0" fontId="32" fillId="0" borderId="121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122" xfId="0" applyFont="1" applyBorder="1" applyAlignment="1">
      <alignment horizontal="center" vertical="center"/>
    </xf>
    <xf numFmtId="0" fontId="35" fillId="3" borderId="84" xfId="0" applyFont="1" applyFill="1" applyBorder="1" applyAlignment="1">
      <alignment horizontal="center" vertical="center"/>
    </xf>
    <xf numFmtId="0" fontId="37" fillId="0" borderId="97" xfId="0" applyFont="1" applyBorder="1" applyAlignment="1">
      <alignment horizontal="left" vertical="top"/>
    </xf>
    <xf numFmtId="0" fontId="32" fillId="0" borderId="64" xfId="0" applyFont="1" applyBorder="1" applyAlignment="1">
      <alignment horizontal="center" vertical="center" wrapText="1"/>
    </xf>
    <xf numFmtId="1" fontId="37" fillId="0" borderId="52" xfId="0" applyNumberFormat="1" applyFont="1" applyBorder="1" applyAlignment="1">
      <alignment horizontal="left" vertical="center" shrinkToFit="1"/>
    </xf>
    <xf numFmtId="0" fontId="37" fillId="0" borderId="52" xfId="0" applyFont="1" applyBorder="1" applyAlignment="1">
      <alignment horizontal="left" vertical="center" shrinkToFit="1"/>
    </xf>
    <xf numFmtId="0" fontId="37" fillId="0" borderId="58" xfId="0" applyFont="1" applyBorder="1" applyAlignment="1">
      <alignment horizontal="left" vertical="center" shrinkToFit="1"/>
    </xf>
    <xf numFmtId="0" fontId="33" fillId="0" borderId="84" xfId="0" applyFont="1" applyBorder="1" applyAlignment="1">
      <alignment horizontal="center" vertical="center" wrapText="1"/>
    </xf>
    <xf numFmtId="0" fontId="33" fillId="0" borderId="55" xfId="0" applyFont="1" applyBorder="1" applyAlignment="1">
      <alignment horizontal="center" vertical="center" wrapText="1"/>
    </xf>
    <xf numFmtId="0" fontId="33" fillId="0" borderId="97" xfId="0" applyFont="1" applyBorder="1" applyAlignment="1">
      <alignment horizontal="center" vertical="center" wrapText="1"/>
    </xf>
    <xf numFmtId="0" fontId="33" fillId="0" borderId="77" xfId="0" applyFont="1" applyBorder="1" applyAlignment="1">
      <alignment horizontal="center" vertical="center" wrapText="1"/>
    </xf>
    <xf numFmtId="0" fontId="35" fillId="0" borderId="61" xfId="0" applyFont="1" applyBorder="1" applyAlignment="1">
      <alignment horizontal="left" vertical="center" wrapText="1"/>
    </xf>
    <xf numFmtId="0" fontId="37" fillId="0" borderId="52" xfId="0" applyFont="1" applyBorder="1" applyAlignment="1">
      <alignment horizontal="left" vertical="center"/>
    </xf>
    <xf numFmtId="0" fontId="35" fillId="0" borderId="5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7" fillId="0" borderId="84" xfId="0" applyFont="1" applyBorder="1" applyAlignment="1">
      <alignment horizontal="center" wrapText="1"/>
    </xf>
    <xf numFmtId="0" fontId="37" fillId="0" borderId="52" xfId="0" applyFont="1" applyBorder="1" applyAlignment="1">
      <alignment horizontal="center" wrapText="1"/>
    </xf>
    <xf numFmtId="0" fontId="37" fillId="0" borderId="131" xfId="0" applyFont="1" applyBorder="1" applyAlignment="1">
      <alignment horizontal="center" wrapText="1"/>
    </xf>
    <xf numFmtId="0" fontId="32" fillId="0" borderId="53" xfId="0" applyFont="1" applyBorder="1" applyAlignment="1">
      <alignment horizontal="center" vertical="center" wrapText="1"/>
    </xf>
    <xf numFmtId="0" fontId="37" fillId="0" borderId="54" xfId="0" applyFont="1" applyBorder="1" applyAlignment="1">
      <alignment horizontal="center" vertical="top" wrapText="1"/>
    </xf>
    <xf numFmtId="0" fontId="37" fillId="0" borderId="53" xfId="0" applyFont="1" applyBorder="1" applyAlignment="1">
      <alignment horizontal="center" vertical="center" wrapText="1"/>
    </xf>
    <xf numFmtId="0" fontId="37" fillId="0" borderId="97" xfId="0" applyFont="1" applyBorder="1" applyAlignment="1">
      <alignment horizontal="center" vertical="center"/>
    </xf>
    <xf numFmtId="0" fontId="37" fillId="0" borderId="85" xfId="0" applyFont="1" applyBorder="1" applyAlignment="1">
      <alignment horizontal="center" vertical="center"/>
    </xf>
    <xf numFmtId="0" fontId="37" fillId="0" borderId="97" xfId="0" applyFont="1" applyBorder="1" applyAlignment="1">
      <alignment horizontal="center" vertical="center" wrapText="1"/>
    </xf>
    <xf numFmtId="0" fontId="37" fillId="0" borderId="84" xfId="0" applyFont="1" applyBorder="1" applyAlignment="1">
      <alignment horizontal="center" vertical="top"/>
    </xf>
    <xf numFmtId="0" fontId="37" fillId="0" borderId="131" xfId="0" applyFont="1" applyBorder="1" applyAlignment="1">
      <alignment horizontal="center" vertical="top"/>
    </xf>
    <xf numFmtId="0" fontId="35" fillId="0" borderId="97" xfId="0" applyFont="1" applyBorder="1" applyAlignment="1">
      <alignment horizontal="center" vertical="center"/>
    </xf>
    <xf numFmtId="0" fontId="32" fillId="0" borderId="97" xfId="0" applyFont="1" applyBorder="1" applyAlignment="1">
      <alignment horizontal="center" vertical="center"/>
    </xf>
    <xf numFmtId="0" fontId="33" fillId="0" borderId="97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 vertical="center"/>
    </xf>
    <xf numFmtId="0" fontId="32" fillId="0" borderId="85" xfId="0" applyFont="1" applyBorder="1" applyAlignment="1">
      <alignment horizontal="center" vertical="center"/>
    </xf>
    <xf numFmtId="0" fontId="32" fillId="0" borderId="132" xfId="0" applyFont="1" applyBorder="1" applyAlignment="1">
      <alignment horizontal="center" vertical="center" wrapText="1"/>
    </xf>
    <xf numFmtId="0" fontId="33" fillId="0" borderId="132" xfId="0" applyFont="1" applyBorder="1" applyAlignment="1">
      <alignment horizontal="center" vertical="center" wrapText="1"/>
    </xf>
    <xf numFmtId="0" fontId="33" fillId="0" borderId="84" xfId="0" applyFont="1" applyBorder="1" applyAlignment="1">
      <alignment horizontal="center" vertical="top"/>
    </xf>
    <xf numFmtId="0" fontId="33" fillId="0" borderId="131" xfId="0" applyFont="1" applyBorder="1" applyAlignment="1">
      <alignment horizontal="center" vertical="top"/>
    </xf>
    <xf numFmtId="0" fontId="41" fillId="0" borderId="53" xfId="0" applyFont="1" applyBorder="1" applyAlignment="1">
      <alignment horizontal="center" vertical="center" wrapText="1"/>
    </xf>
    <xf numFmtId="0" fontId="42" fillId="0" borderId="48" xfId="0" applyFont="1" applyBorder="1" applyAlignment="1">
      <alignment horizontal="center" vertical="center" wrapText="1"/>
    </xf>
    <xf numFmtId="0" fontId="42" fillId="0" borderId="52" xfId="0" applyFont="1" applyBorder="1" applyAlignment="1">
      <alignment horizontal="center" vertical="center" wrapText="1"/>
    </xf>
    <xf numFmtId="0" fontId="42" fillId="0" borderId="87" xfId="0" applyFont="1" applyBorder="1" applyAlignment="1">
      <alignment horizontal="center" vertical="center" wrapText="1"/>
    </xf>
    <xf numFmtId="0" fontId="41" fillId="0" borderId="49" xfId="0" applyFont="1" applyBorder="1" applyAlignment="1">
      <alignment horizontal="center" vertical="center" wrapText="1"/>
    </xf>
    <xf numFmtId="0" fontId="42" fillId="0" borderId="153" xfId="0" applyFont="1" applyBorder="1" applyAlignment="1">
      <alignment horizontal="right" vertical="center" wrapText="1"/>
    </xf>
    <xf numFmtId="0" fontId="42" fillId="0" borderId="154" xfId="0" applyFont="1" applyBorder="1" applyAlignment="1">
      <alignment horizontal="right" vertical="center" wrapText="1"/>
    </xf>
    <xf numFmtId="0" fontId="42" fillId="0" borderId="155" xfId="0" applyFont="1" applyBorder="1" applyAlignment="1">
      <alignment horizontal="right" vertical="center" wrapText="1"/>
    </xf>
    <xf numFmtId="0" fontId="42" fillId="0" borderId="48" xfId="0" applyFont="1" applyBorder="1" applyAlignment="1">
      <alignment horizontal="center" vertical="center"/>
    </xf>
    <xf numFmtId="0" fontId="37" fillId="0" borderId="52" xfId="0" applyFont="1" applyBorder="1" applyAlignment="1">
      <alignment horizontal="center" vertical="center"/>
    </xf>
    <xf numFmtId="0" fontId="37" fillId="0" borderId="87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 wrapText="1"/>
    </xf>
    <xf numFmtId="0" fontId="37" fillId="0" borderId="53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 wrapText="1"/>
    </xf>
    <xf numFmtId="0" fontId="33" fillId="0" borderId="87" xfId="0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2" fillId="0" borderId="145" xfId="0" applyFont="1" applyBorder="1" applyAlignment="1">
      <alignment horizontal="right" vertical="center" wrapText="1"/>
    </xf>
    <xf numFmtId="0" fontId="32" fillId="0" borderId="146" xfId="0" applyFont="1" applyBorder="1" applyAlignment="1">
      <alignment horizontal="right" vertical="center" wrapText="1"/>
    </xf>
    <xf numFmtId="0" fontId="32" fillId="0" borderId="147" xfId="0" applyFont="1" applyBorder="1" applyAlignment="1">
      <alignment horizontal="right" vertical="center" wrapText="1"/>
    </xf>
    <xf numFmtId="0" fontId="32" fillId="0" borderId="153" xfId="0" applyFont="1" applyBorder="1" applyAlignment="1">
      <alignment horizontal="right" vertical="center" wrapText="1"/>
    </xf>
    <xf numFmtId="0" fontId="32" fillId="0" borderId="154" xfId="0" applyFont="1" applyBorder="1" applyAlignment="1">
      <alignment horizontal="right" vertical="center" wrapText="1"/>
    </xf>
    <xf numFmtId="0" fontId="32" fillId="0" borderId="155" xfId="0" applyFont="1" applyBorder="1" applyAlignment="1">
      <alignment horizontal="right" vertical="center" wrapText="1"/>
    </xf>
    <xf numFmtId="0" fontId="42" fillId="0" borderId="57" xfId="0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33" fillId="0" borderId="58" xfId="0" applyFont="1" applyBorder="1" applyAlignment="1">
      <alignment horizontal="center" vertical="center"/>
    </xf>
    <xf numFmtId="0" fontId="33" fillId="0" borderId="87" xfId="0" applyFont="1" applyBorder="1" applyAlignment="1">
      <alignment horizontal="center" vertical="center"/>
    </xf>
    <xf numFmtId="0" fontId="35" fillId="0" borderId="49" xfId="0" applyFont="1" applyBorder="1" applyAlignment="1">
      <alignment vertical="center" wrapText="1"/>
    </xf>
    <xf numFmtId="0" fontId="37" fillId="0" borderId="53" xfId="0" applyFont="1" applyBorder="1" applyAlignment="1">
      <alignment horizontal="left" vertical="center" wrapText="1"/>
    </xf>
    <xf numFmtId="0" fontId="32" fillId="0" borderId="149" xfId="0" applyFont="1" applyBorder="1" applyAlignment="1">
      <alignment horizontal="right" vertical="center" wrapText="1"/>
    </xf>
    <xf numFmtId="0" fontId="32" fillId="0" borderId="150" xfId="0" applyFont="1" applyBorder="1" applyAlignment="1">
      <alignment horizontal="right" vertical="center" wrapText="1"/>
    </xf>
    <xf numFmtId="0" fontId="32" fillId="0" borderId="151" xfId="0" applyFont="1" applyBorder="1" applyAlignment="1">
      <alignment horizontal="right" vertical="center" wrapText="1"/>
    </xf>
    <xf numFmtId="0" fontId="32" fillId="0" borderId="157" xfId="0" applyFont="1" applyBorder="1" applyAlignment="1">
      <alignment horizontal="center" vertical="center" wrapText="1"/>
    </xf>
    <xf numFmtId="0" fontId="42" fillId="0" borderId="158" xfId="0" applyFont="1" applyBorder="1" applyAlignment="1">
      <alignment horizontal="center" vertical="center" wrapText="1"/>
    </xf>
    <xf numFmtId="0" fontId="41" fillId="0" borderId="107" xfId="0" applyFont="1" applyBorder="1" applyAlignment="1">
      <alignment horizontal="right"/>
    </xf>
    <xf numFmtId="0" fontId="41" fillId="0" borderId="108" xfId="0" applyFont="1" applyBorder="1" applyAlignment="1">
      <alignment horizontal="right"/>
    </xf>
    <xf numFmtId="0" fontId="41" fillId="0" borderId="113" xfId="0" applyFont="1" applyBorder="1" applyAlignment="1">
      <alignment horizontal="right"/>
    </xf>
    <xf numFmtId="0" fontId="41" fillId="0" borderId="114" xfId="0" applyFont="1" applyBorder="1" applyAlignment="1">
      <alignment horizontal="right"/>
    </xf>
    <xf numFmtId="0" fontId="42" fillId="0" borderId="116" xfId="0" applyFont="1" applyBorder="1" applyAlignment="1">
      <alignment horizontal="right"/>
    </xf>
    <xf numFmtId="0" fontId="42" fillId="0" borderId="117" xfId="0" applyFont="1" applyBorder="1" applyAlignment="1">
      <alignment horizontal="right"/>
    </xf>
    <xf numFmtId="0" fontId="29" fillId="0" borderId="119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7" fillId="0" borderId="52" xfId="0" applyFont="1" applyBorder="1" applyAlignment="1">
      <alignment horizontal="center" vertical="center" wrapText="1"/>
    </xf>
    <xf numFmtId="0" fontId="37" fillId="0" borderId="87" xfId="0" applyFont="1" applyBorder="1" applyAlignment="1">
      <alignment horizontal="center" vertical="center" wrapText="1"/>
    </xf>
    <xf numFmtId="0" fontId="32" fillId="0" borderId="84" xfId="0" applyFont="1" applyBorder="1" applyAlignment="1">
      <alignment horizontal="center" vertical="center" wrapText="1"/>
    </xf>
    <xf numFmtId="0" fontId="37" fillId="0" borderId="85" xfId="0" applyFont="1" applyBorder="1" applyAlignment="1">
      <alignment horizontal="center" vertical="center" wrapText="1"/>
    </xf>
    <xf numFmtId="0" fontId="42" fillId="0" borderId="149" xfId="0" applyFont="1" applyBorder="1" applyAlignment="1">
      <alignment horizontal="right" vertical="center" wrapText="1"/>
    </xf>
    <xf numFmtId="0" fontId="42" fillId="0" borderId="150" xfId="0" applyFont="1" applyBorder="1" applyAlignment="1">
      <alignment horizontal="right" vertical="center" wrapText="1"/>
    </xf>
    <xf numFmtId="0" fontId="42" fillId="0" borderId="151" xfId="0" applyFont="1" applyBorder="1" applyAlignment="1">
      <alignment horizontal="right" vertical="center" wrapText="1"/>
    </xf>
    <xf numFmtId="0" fontId="33" fillId="0" borderId="149" xfId="0" applyFont="1" applyBorder="1" applyAlignment="1">
      <alignment horizontal="right" vertical="center"/>
    </xf>
    <xf numFmtId="0" fontId="33" fillId="0" borderId="150" xfId="0" applyFont="1" applyBorder="1" applyAlignment="1">
      <alignment horizontal="right" vertical="center"/>
    </xf>
    <xf numFmtId="0" fontId="33" fillId="0" borderId="151" xfId="0" applyFont="1" applyBorder="1" applyAlignment="1">
      <alignment horizontal="right" vertical="center"/>
    </xf>
    <xf numFmtId="0" fontId="49" fillId="0" borderId="97" xfId="0" applyFont="1" applyBorder="1" applyAlignment="1">
      <alignment horizontal="center" vertical="center" wrapText="1"/>
    </xf>
  </cellXfs>
  <cellStyles count="12">
    <cellStyle name="Bad" xfId="10" builtinId="27"/>
    <cellStyle name="Comma 2" xfId="3" xr:uid="{D40AE098-5448-4139-B1A1-323302B7455D}"/>
    <cellStyle name="Comma 2 2" xfId="5" xr:uid="{146B6527-A753-4D85-9705-D73C576F9B29}"/>
    <cellStyle name="Currency" xfId="11" builtinId="4"/>
    <cellStyle name="Currency 2" xfId="6" xr:uid="{19F03641-5F91-496C-924C-DBDE40E14322}"/>
    <cellStyle name="Hyperlink" xfId="4" builtinId="8"/>
    <cellStyle name="Normal" xfId="0" builtinId="0"/>
    <cellStyle name="Normal 2" xfId="1" xr:uid="{1ED38AC4-26A7-408B-AE87-20C90BECC12E}"/>
    <cellStyle name="Normal 2 2" xfId="7" xr:uid="{346A3FEE-2F4E-461A-8390-F1FBED002D62}"/>
    <cellStyle name="Normal 3" xfId="8" xr:uid="{CDD2E7A2-C2A8-47CC-94B0-B33D3DACDEE7}"/>
    <cellStyle name="Percent 2" xfId="2" xr:uid="{DA29A7E8-6A54-4B07-AC4B-86701206BDB5}"/>
    <cellStyle name="Percent 2 2" xfId="9" xr:uid="{86B4566E-74A4-4A2B-9BFF-D9D419E903DB}"/>
  </cellStyles>
  <dxfs count="0"/>
  <tableStyles count="0" defaultTableStyle="TableStyleMedium9" defaultPivotStyle="PivotStyleLight16"/>
  <colors>
    <mruColors>
      <color rgb="FFA83800"/>
      <color rgb="FF246978"/>
      <color rgb="FF236978"/>
      <color rgb="FF00000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669794" y="6780288"/>
    <xdr:ext cx="7620" cy="317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B6C9A5D-CD2C-432A-90F5-C3DBE07B824F}"/>
            </a:ext>
          </a:extLst>
        </xdr:cNvPr>
        <xdr:cNvSpPr/>
      </xdr:nvSpPr>
      <xdr:spPr>
        <a:xfrm>
          <a:off x="2669794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879588" y="6780288"/>
    <xdr:ext cx="7620" cy="3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5AE4D7EE-B6A4-40B7-B141-F4A4E46674AD}"/>
            </a:ext>
          </a:extLst>
        </xdr:cNvPr>
        <xdr:cNvSpPr/>
      </xdr:nvSpPr>
      <xdr:spPr>
        <a:xfrm>
          <a:off x="787958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03452" y="6780288"/>
    <xdr:ext cx="7620" cy="3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C1C30323-E069-4BDA-956B-3E6A6BDC96E6}"/>
            </a:ext>
          </a:extLst>
        </xdr:cNvPr>
        <xdr:cNvSpPr/>
      </xdr:nvSpPr>
      <xdr:spPr>
        <a:xfrm>
          <a:off x="703452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180071" y="6780288"/>
    <xdr:ext cx="762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58A2B66-F1E9-4E85-829F-64DB0C0F5503}"/>
            </a:ext>
          </a:extLst>
        </xdr:cNvPr>
        <xdr:cNvSpPr/>
      </xdr:nvSpPr>
      <xdr:spPr>
        <a:xfrm>
          <a:off x="718007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0608182" y="6780288"/>
    <xdr:ext cx="7620" cy="3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9AB3E8CD-249E-4060-ADA2-CE3F3C31D40A}"/>
            </a:ext>
          </a:extLst>
        </xdr:cNvPr>
        <xdr:cNvSpPr/>
      </xdr:nvSpPr>
      <xdr:spPr>
        <a:xfrm>
          <a:off x="10608182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1489817" y="6780288"/>
    <xdr:ext cx="7620" cy="31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EA10BB6D-5E5C-4DA3-8D70-E154B34D3290}"/>
            </a:ext>
          </a:extLst>
        </xdr:cNvPr>
        <xdr:cNvSpPr/>
      </xdr:nvSpPr>
      <xdr:spPr>
        <a:xfrm>
          <a:off x="11489817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244958" y="6780288"/>
    <xdr:ext cx="7620" cy="31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5BD70AAA-3064-4271-9C60-CDAA91308BE3}"/>
            </a:ext>
          </a:extLst>
        </xdr:cNvPr>
        <xdr:cNvSpPr/>
      </xdr:nvSpPr>
      <xdr:spPr>
        <a:xfrm>
          <a:off x="1224495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597001" y="6780288"/>
    <xdr:ext cx="7620" cy="31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3B32807D-F607-4E97-96CD-3E2BBDC51238}"/>
            </a:ext>
          </a:extLst>
        </xdr:cNvPr>
        <xdr:cNvSpPr/>
      </xdr:nvSpPr>
      <xdr:spPr>
        <a:xfrm>
          <a:off x="1359700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05433" y="6780288"/>
    <xdr:ext cx="7620" cy="31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ED4F0501-1E98-4FC5-999E-3D2351206D9F}"/>
            </a:ext>
          </a:extLst>
        </xdr:cNvPr>
        <xdr:cNvSpPr/>
      </xdr:nvSpPr>
      <xdr:spPr>
        <a:xfrm>
          <a:off x="1305433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973326" y="6780288"/>
    <xdr:ext cx="7620" cy="31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FAED008-B2C5-4F5E-9202-08A900E384C0}"/>
            </a:ext>
          </a:extLst>
        </xdr:cNvPr>
        <xdr:cNvSpPr/>
      </xdr:nvSpPr>
      <xdr:spPr>
        <a:xfrm>
          <a:off x="1973326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243198" y="6780288"/>
    <xdr:ext cx="7620" cy="31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D09E0DC6-0792-49A9-9213-CB0B6CDF231E}"/>
            </a:ext>
          </a:extLst>
        </xdr:cNvPr>
        <xdr:cNvSpPr/>
      </xdr:nvSpPr>
      <xdr:spPr>
        <a:xfrm>
          <a:off x="324319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829939" y="6780288"/>
    <xdr:ext cx="7620" cy="31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6FDEACAE-4707-4C47-9CFA-E437E9AA36D1}"/>
            </a:ext>
          </a:extLst>
        </xdr:cNvPr>
        <xdr:cNvSpPr/>
      </xdr:nvSpPr>
      <xdr:spPr>
        <a:xfrm>
          <a:off x="3829939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4449698" y="6780288"/>
    <xdr:ext cx="7620" cy="31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355F773A-8ED0-4A0F-B9DD-D1D1D67825C4}"/>
            </a:ext>
          </a:extLst>
        </xdr:cNvPr>
        <xdr:cNvSpPr/>
      </xdr:nvSpPr>
      <xdr:spPr>
        <a:xfrm>
          <a:off x="444969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063871" y="6780288"/>
    <xdr:ext cx="7620" cy="317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32AA35CE-DD6A-476B-9C35-4363A94131E2}"/>
            </a:ext>
          </a:extLst>
        </xdr:cNvPr>
        <xdr:cNvSpPr/>
      </xdr:nvSpPr>
      <xdr:spPr>
        <a:xfrm>
          <a:off x="506387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608066" y="6780288"/>
    <xdr:ext cx="7620" cy="317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73C09A09-AAA2-49C6-A520-6C5AC5239BAB}"/>
            </a:ext>
          </a:extLst>
        </xdr:cNvPr>
        <xdr:cNvSpPr/>
      </xdr:nvSpPr>
      <xdr:spPr>
        <a:xfrm>
          <a:off x="5608066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163817" y="6780288"/>
    <xdr:ext cx="7620" cy="317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52B1307-7E69-4924-A2DD-EE6D5B68C2E9}"/>
            </a:ext>
          </a:extLst>
        </xdr:cNvPr>
        <xdr:cNvSpPr/>
      </xdr:nvSpPr>
      <xdr:spPr>
        <a:xfrm>
          <a:off x="6163817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672580" y="6780288"/>
    <xdr:ext cx="7620" cy="317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276470CB-D1A9-429E-B21E-5135E7963B4F}"/>
            </a:ext>
          </a:extLst>
        </xdr:cNvPr>
        <xdr:cNvSpPr/>
      </xdr:nvSpPr>
      <xdr:spPr>
        <a:xfrm>
          <a:off x="6672580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8466328" y="6780288"/>
    <xdr:ext cx="7620" cy="317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73A220D-7996-451C-A7E8-ADF3BDFDA500}"/>
            </a:ext>
          </a:extLst>
        </xdr:cNvPr>
        <xdr:cNvSpPr/>
      </xdr:nvSpPr>
      <xdr:spPr>
        <a:xfrm>
          <a:off x="846632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079610" y="6780288"/>
    <xdr:ext cx="7620" cy="317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6CB59462-B52B-4D80-8DD2-BBED6CDB05E8}"/>
            </a:ext>
          </a:extLst>
        </xdr:cNvPr>
        <xdr:cNvSpPr/>
      </xdr:nvSpPr>
      <xdr:spPr>
        <a:xfrm>
          <a:off x="9079610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722739" y="6780288"/>
    <xdr:ext cx="7620" cy="317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9DE67360-078E-4C61-93B7-317EC8C3826B}"/>
            </a:ext>
          </a:extLst>
        </xdr:cNvPr>
        <xdr:cNvSpPr/>
      </xdr:nvSpPr>
      <xdr:spPr>
        <a:xfrm>
          <a:off x="9722739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943585" y="6780288"/>
    <xdr:ext cx="7620" cy="317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AB1D77D9-5F84-45A0-B0F9-2D8E39D201BD}"/>
            </a:ext>
          </a:extLst>
        </xdr:cNvPr>
        <xdr:cNvSpPr/>
      </xdr:nvSpPr>
      <xdr:spPr>
        <a:xfrm>
          <a:off x="12943585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2669794" y="6780288"/>
    <xdr:ext cx="7620" cy="317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879588" y="6780288"/>
    <xdr:ext cx="7620" cy="3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03452" y="6780288"/>
    <xdr:ext cx="7620" cy="3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180071" y="6780288"/>
    <xdr:ext cx="762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0608182" y="6780288"/>
    <xdr:ext cx="7620" cy="3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1489817" y="6780288"/>
    <xdr:ext cx="7620" cy="31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244958" y="6780288"/>
    <xdr:ext cx="7620" cy="31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597001" y="6780288"/>
    <xdr:ext cx="7620" cy="31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05433" y="6780288"/>
    <xdr:ext cx="7620" cy="31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973326" y="6780288"/>
    <xdr:ext cx="7620" cy="31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243198" y="6780288"/>
    <xdr:ext cx="7620" cy="31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829939" y="6780288"/>
    <xdr:ext cx="7620" cy="31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4449698" y="6780288"/>
    <xdr:ext cx="7620" cy="31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063871" y="6780288"/>
    <xdr:ext cx="7620" cy="317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608066" y="6780288"/>
    <xdr:ext cx="7620" cy="317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163817" y="6780288"/>
    <xdr:ext cx="7620" cy="317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672580" y="6780288"/>
    <xdr:ext cx="7620" cy="317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8466328" y="6780288"/>
    <xdr:ext cx="7620" cy="317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079610" y="6780288"/>
    <xdr:ext cx="7620" cy="317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722739" y="6780288"/>
    <xdr:ext cx="7620" cy="317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943585" y="6780288"/>
    <xdr:ext cx="7620" cy="317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2669794" y="6780288"/>
    <xdr:ext cx="7620" cy="317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B8FA40A2-8566-459C-9CD4-98A2D383DB02}"/>
            </a:ext>
          </a:extLst>
        </xdr:cNvPr>
        <xdr:cNvSpPr/>
      </xdr:nvSpPr>
      <xdr:spPr>
        <a:xfrm>
          <a:off x="2669794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879588" y="6780288"/>
    <xdr:ext cx="7620" cy="3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CAB2EDC6-AF06-4BC4-A91D-46BD433848B6}"/>
            </a:ext>
          </a:extLst>
        </xdr:cNvPr>
        <xdr:cNvSpPr/>
      </xdr:nvSpPr>
      <xdr:spPr>
        <a:xfrm>
          <a:off x="787958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03452" y="6780288"/>
    <xdr:ext cx="7620" cy="3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BB6A1E33-A81A-47EA-BD0C-1141384CC1A0}"/>
            </a:ext>
          </a:extLst>
        </xdr:cNvPr>
        <xdr:cNvSpPr/>
      </xdr:nvSpPr>
      <xdr:spPr>
        <a:xfrm>
          <a:off x="703452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180071" y="6780288"/>
    <xdr:ext cx="762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380197C4-62B7-4541-8273-5B0E05616595}"/>
            </a:ext>
          </a:extLst>
        </xdr:cNvPr>
        <xdr:cNvSpPr/>
      </xdr:nvSpPr>
      <xdr:spPr>
        <a:xfrm>
          <a:off x="718007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0608182" y="6780288"/>
    <xdr:ext cx="7620" cy="3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182DA06A-982C-420E-AF88-3B9C51BE9F4F}"/>
            </a:ext>
          </a:extLst>
        </xdr:cNvPr>
        <xdr:cNvSpPr/>
      </xdr:nvSpPr>
      <xdr:spPr>
        <a:xfrm>
          <a:off x="10608182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1489817" y="6780288"/>
    <xdr:ext cx="7620" cy="31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9EB998E9-682C-4283-BC67-47CDFA540992}"/>
            </a:ext>
          </a:extLst>
        </xdr:cNvPr>
        <xdr:cNvSpPr/>
      </xdr:nvSpPr>
      <xdr:spPr>
        <a:xfrm>
          <a:off x="11489817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244958" y="6780288"/>
    <xdr:ext cx="7620" cy="31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62EFE6AA-8D4D-4FB1-8EDF-E969B9697E6E}"/>
            </a:ext>
          </a:extLst>
        </xdr:cNvPr>
        <xdr:cNvSpPr/>
      </xdr:nvSpPr>
      <xdr:spPr>
        <a:xfrm>
          <a:off x="1224495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597001" y="6780288"/>
    <xdr:ext cx="7620" cy="31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F632A299-DB5A-4180-B7D7-553B2F3C6017}"/>
            </a:ext>
          </a:extLst>
        </xdr:cNvPr>
        <xdr:cNvSpPr/>
      </xdr:nvSpPr>
      <xdr:spPr>
        <a:xfrm>
          <a:off x="1359700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05433" y="6780288"/>
    <xdr:ext cx="7620" cy="31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402B46A1-6FFE-415F-87FE-C0F984F987BB}"/>
            </a:ext>
          </a:extLst>
        </xdr:cNvPr>
        <xdr:cNvSpPr/>
      </xdr:nvSpPr>
      <xdr:spPr>
        <a:xfrm>
          <a:off x="1305433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973326" y="6780288"/>
    <xdr:ext cx="7620" cy="31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8C56F1B6-41E0-44C1-9129-A78C2A0B56C7}"/>
            </a:ext>
          </a:extLst>
        </xdr:cNvPr>
        <xdr:cNvSpPr/>
      </xdr:nvSpPr>
      <xdr:spPr>
        <a:xfrm>
          <a:off x="1973326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243198" y="6780288"/>
    <xdr:ext cx="7620" cy="31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C8299252-BD82-4FC4-8CB5-15B960E08394}"/>
            </a:ext>
          </a:extLst>
        </xdr:cNvPr>
        <xdr:cNvSpPr/>
      </xdr:nvSpPr>
      <xdr:spPr>
        <a:xfrm>
          <a:off x="324319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829939" y="6780288"/>
    <xdr:ext cx="7620" cy="31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C618BFC4-14BE-4B3B-B6CD-5778379D5A46}"/>
            </a:ext>
          </a:extLst>
        </xdr:cNvPr>
        <xdr:cNvSpPr/>
      </xdr:nvSpPr>
      <xdr:spPr>
        <a:xfrm>
          <a:off x="3829939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4449698" y="6780288"/>
    <xdr:ext cx="7620" cy="31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817B46B2-EE6E-49FB-90AF-DF04A48C97D7}"/>
            </a:ext>
          </a:extLst>
        </xdr:cNvPr>
        <xdr:cNvSpPr/>
      </xdr:nvSpPr>
      <xdr:spPr>
        <a:xfrm>
          <a:off x="444969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063871" y="6780288"/>
    <xdr:ext cx="7620" cy="317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44192845-D44E-4AA9-A95E-C46B0CFAACAE}"/>
            </a:ext>
          </a:extLst>
        </xdr:cNvPr>
        <xdr:cNvSpPr/>
      </xdr:nvSpPr>
      <xdr:spPr>
        <a:xfrm>
          <a:off x="506387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608066" y="6780288"/>
    <xdr:ext cx="7620" cy="317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30ED9C95-6060-4AA6-A7F9-587E570EDCEF}"/>
            </a:ext>
          </a:extLst>
        </xdr:cNvPr>
        <xdr:cNvSpPr/>
      </xdr:nvSpPr>
      <xdr:spPr>
        <a:xfrm>
          <a:off x="5608066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163817" y="6780288"/>
    <xdr:ext cx="7620" cy="317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D0990D1F-BFF9-49AF-939A-B311018E88A7}"/>
            </a:ext>
          </a:extLst>
        </xdr:cNvPr>
        <xdr:cNvSpPr/>
      </xdr:nvSpPr>
      <xdr:spPr>
        <a:xfrm>
          <a:off x="6163817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672580" y="6780288"/>
    <xdr:ext cx="7620" cy="317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9CE55C24-56BA-4A33-BE4E-AC42D07E0144}"/>
            </a:ext>
          </a:extLst>
        </xdr:cNvPr>
        <xdr:cNvSpPr/>
      </xdr:nvSpPr>
      <xdr:spPr>
        <a:xfrm>
          <a:off x="6672580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8466328" y="6780288"/>
    <xdr:ext cx="7620" cy="317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2308F54E-B212-4FFD-81CB-167E0B9B8E4E}"/>
            </a:ext>
          </a:extLst>
        </xdr:cNvPr>
        <xdr:cNvSpPr/>
      </xdr:nvSpPr>
      <xdr:spPr>
        <a:xfrm>
          <a:off x="846632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079610" y="6780288"/>
    <xdr:ext cx="7620" cy="317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5EB50711-0208-4390-A4D2-89A789E04A4A}"/>
            </a:ext>
          </a:extLst>
        </xdr:cNvPr>
        <xdr:cNvSpPr/>
      </xdr:nvSpPr>
      <xdr:spPr>
        <a:xfrm>
          <a:off x="9079610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722739" y="6780288"/>
    <xdr:ext cx="7620" cy="317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C2DAFDDE-674F-4BD9-B092-8FF8AD9009CC}"/>
            </a:ext>
          </a:extLst>
        </xdr:cNvPr>
        <xdr:cNvSpPr/>
      </xdr:nvSpPr>
      <xdr:spPr>
        <a:xfrm>
          <a:off x="9722739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943585" y="6780288"/>
    <xdr:ext cx="7620" cy="317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45771524-80C0-43B2-B5E2-9B5E83856294}"/>
            </a:ext>
          </a:extLst>
        </xdr:cNvPr>
        <xdr:cNvSpPr/>
      </xdr:nvSpPr>
      <xdr:spPr>
        <a:xfrm>
          <a:off x="12943585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2669794" y="6780288"/>
    <xdr:ext cx="7620" cy="317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840A1007-0956-40D9-B654-B4240AE82F41}"/>
            </a:ext>
          </a:extLst>
        </xdr:cNvPr>
        <xdr:cNvSpPr/>
      </xdr:nvSpPr>
      <xdr:spPr>
        <a:xfrm>
          <a:off x="2669794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879588" y="6780288"/>
    <xdr:ext cx="7620" cy="3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D1B0E1D6-3939-464E-BC1A-52AAE5AFD709}"/>
            </a:ext>
          </a:extLst>
        </xdr:cNvPr>
        <xdr:cNvSpPr/>
      </xdr:nvSpPr>
      <xdr:spPr>
        <a:xfrm>
          <a:off x="787958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03452" y="6780288"/>
    <xdr:ext cx="7620" cy="3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D13232FE-92FE-4018-AFF4-4EE65B091046}"/>
            </a:ext>
          </a:extLst>
        </xdr:cNvPr>
        <xdr:cNvSpPr/>
      </xdr:nvSpPr>
      <xdr:spPr>
        <a:xfrm>
          <a:off x="703452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7180071" y="6780288"/>
    <xdr:ext cx="762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5F5331B8-D9D4-4BF3-81D6-F27FB928C8A8}"/>
            </a:ext>
          </a:extLst>
        </xdr:cNvPr>
        <xdr:cNvSpPr/>
      </xdr:nvSpPr>
      <xdr:spPr>
        <a:xfrm>
          <a:off x="718007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0608182" y="6780288"/>
    <xdr:ext cx="7620" cy="3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7D523A56-74FD-4E90-9C5C-A63807D32E2F}"/>
            </a:ext>
          </a:extLst>
        </xdr:cNvPr>
        <xdr:cNvSpPr/>
      </xdr:nvSpPr>
      <xdr:spPr>
        <a:xfrm>
          <a:off x="10608182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1489817" y="6780288"/>
    <xdr:ext cx="7620" cy="31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EB6CB3A3-9510-4988-9B26-BF181ED96B81}"/>
            </a:ext>
          </a:extLst>
        </xdr:cNvPr>
        <xdr:cNvSpPr/>
      </xdr:nvSpPr>
      <xdr:spPr>
        <a:xfrm>
          <a:off x="11489817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244958" y="6780288"/>
    <xdr:ext cx="7620" cy="31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8A4ABEAC-35BF-4D51-847D-45CF0E6AF957}"/>
            </a:ext>
          </a:extLst>
        </xdr:cNvPr>
        <xdr:cNvSpPr/>
      </xdr:nvSpPr>
      <xdr:spPr>
        <a:xfrm>
          <a:off x="1224495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597001" y="6780288"/>
    <xdr:ext cx="7620" cy="31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2EB7B2C-76F2-4CF1-A410-AB68F7D657CE}"/>
            </a:ext>
          </a:extLst>
        </xdr:cNvPr>
        <xdr:cNvSpPr/>
      </xdr:nvSpPr>
      <xdr:spPr>
        <a:xfrm>
          <a:off x="1359700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305433" y="6780288"/>
    <xdr:ext cx="7620" cy="31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C43AA582-95EB-4715-B383-847809EC5D85}"/>
            </a:ext>
          </a:extLst>
        </xdr:cNvPr>
        <xdr:cNvSpPr/>
      </xdr:nvSpPr>
      <xdr:spPr>
        <a:xfrm>
          <a:off x="1305433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19" y="3035"/>
              </a:lnTo>
              <a:lnTo>
                <a:pt x="7619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973326" y="6780288"/>
    <xdr:ext cx="7620" cy="31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28E00DD2-1F33-4469-83F4-27986EFE9678}"/>
            </a:ext>
          </a:extLst>
        </xdr:cNvPr>
        <xdr:cNvSpPr/>
      </xdr:nvSpPr>
      <xdr:spPr>
        <a:xfrm>
          <a:off x="1973326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243198" y="6780288"/>
    <xdr:ext cx="7620" cy="31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A89797A1-0C64-431C-80CC-BC0D4AB56C0F}"/>
            </a:ext>
          </a:extLst>
        </xdr:cNvPr>
        <xdr:cNvSpPr/>
      </xdr:nvSpPr>
      <xdr:spPr>
        <a:xfrm>
          <a:off x="324319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3829939" y="6780288"/>
    <xdr:ext cx="7620" cy="31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5374C8B4-2862-41F0-8931-3E7F626DAE94}"/>
            </a:ext>
          </a:extLst>
        </xdr:cNvPr>
        <xdr:cNvSpPr/>
      </xdr:nvSpPr>
      <xdr:spPr>
        <a:xfrm>
          <a:off x="3829939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4449698" y="6780288"/>
    <xdr:ext cx="7620" cy="31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4E6FCAB-8C2C-40E1-B03E-C2AF8DAA32D3}"/>
            </a:ext>
          </a:extLst>
        </xdr:cNvPr>
        <xdr:cNvSpPr/>
      </xdr:nvSpPr>
      <xdr:spPr>
        <a:xfrm>
          <a:off x="444969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063871" y="6780288"/>
    <xdr:ext cx="7620" cy="317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E6C0A58A-275F-4079-A648-FD293B392402}"/>
            </a:ext>
          </a:extLst>
        </xdr:cNvPr>
        <xdr:cNvSpPr/>
      </xdr:nvSpPr>
      <xdr:spPr>
        <a:xfrm>
          <a:off x="5063871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5608066" y="6780288"/>
    <xdr:ext cx="7620" cy="317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49A6C6D2-3538-4AA9-9913-B5FB4B6B1D17}"/>
            </a:ext>
          </a:extLst>
        </xdr:cNvPr>
        <xdr:cNvSpPr/>
      </xdr:nvSpPr>
      <xdr:spPr>
        <a:xfrm>
          <a:off x="5608066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163817" y="6780288"/>
    <xdr:ext cx="7620" cy="317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AD7197C6-29FB-454E-A3F4-41141BAFE482}"/>
            </a:ext>
          </a:extLst>
        </xdr:cNvPr>
        <xdr:cNvSpPr/>
      </xdr:nvSpPr>
      <xdr:spPr>
        <a:xfrm>
          <a:off x="6163817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6672580" y="6780288"/>
    <xdr:ext cx="7620" cy="317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9202F552-348F-467C-A3A5-C857292EBA7B}"/>
            </a:ext>
          </a:extLst>
        </xdr:cNvPr>
        <xdr:cNvSpPr/>
      </xdr:nvSpPr>
      <xdr:spPr>
        <a:xfrm>
          <a:off x="6672580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8466328" y="6780288"/>
    <xdr:ext cx="7620" cy="317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3FFDDA9B-4BFE-49D8-B458-1A8080DA5B93}"/>
            </a:ext>
          </a:extLst>
        </xdr:cNvPr>
        <xdr:cNvSpPr/>
      </xdr:nvSpPr>
      <xdr:spPr>
        <a:xfrm>
          <a:off x="8466328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079610" y="6780288"/>
    <xdr:ext cx="7620" cy="317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69324649-4A54-4D9E-A822-94FE9A6F5A0E}"/>
            </a:ext>
          </a:extLst>
        </xdr:cNvPr>
        <xdr:cNvSpPr/>
      </xdr:nvSpPr>
      <xdr:spPr>
        <a:xfrm>
          <a:off x="9079610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20" y="3035"/>
              </a:lnTo>
              <a:lnTo>
                <a:pt x="7620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9722739" y="6780288"/>
    <xdr:ext cx="7620" cy="317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CE34E344-0E92-4B90-9D00-8CD6CBD7F202}"/>
            </a:ext>
          </a:extLst>
        </xdr:cNvPr>
        <xdr:cNvSpPr/>
      </xdr:nvSpPr>
      <xdr:spPr>
        <a:xfrm>
          <a:off x="9722739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  <xdr:absoluteAnchor>
    <xdr:pos x="12943585" y="6780288"/>
    <xdr:ext cx="7620" cy="317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2330A033-E14C-41FE-AF4F-6533A9C86240}"/>
            </a:ext>
          </a:extLst>
        </xdr:cNvPr>
        <xdr:cNvSpPr/>
      </xdr:nvSpPr>
      <xdr:spPr>
        <a:xfrm>
          <a:off x="12943585" y="6780288"/>
          <a:ext cx="7620" cy="3175"/>
        </a:xfrm>
        <a:custGeom>
          <a:avLst/>
          <a:gdLst/>
          <a:ahLst/>
          <a:cxnLst/>
          <a:rect l="0" t="0" r="0" b="0"/>
          <a:pathLst>
            <a:path w="7620" h="3175">
              <a:moveTo>
                <a:pt x="0" y="3035"/>
              </a:moveTo>
              <a:lnTo>
                <a:pt x="7607" y="3035"/>
              </a:lnTo>
              <a:lnTo>
                <a:pt x="7607" y="0"/>
              </a:lnTo>
              <a:lnTo>
                <a:pt x="0" y="0"/>
              </a:lnTo>
              <a:lnTo>
                <a:pt x="0" y="3035"/>
              </a:lnTo>
              <a:close/>
            </a:path>
          </a:pathLst>
        </a:custGeom>
        <a:solidFill>
          <a:srgbClr val="000000"/>
        </a:solidFill>
      </xdr:spPr>
    </xdr:sp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hris Durrant" id="{D04ED94D-1D03-4184-BBF4-9B21024CE064}" userId="S::CDurrant@telesto-inc.com::7b522a1d-e579-4d0f-99ac-923f0d9b95a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4" dT="2026-07-29T16:26:08.90" personId="{D04ED94D-1D03-4184-BBF4-9B21024CE064}" id="{A158027B-6691-4ECD-B903-CEACE449A64E}">
    <text>Add in 4 shallow wells at 200’ deep with a total flow of 68 gpm</text>
  </threadedComment>
  <threadedComment ref="R4" dT="2026-07-29T16:26:08.90" personId="{D04ED94D-1D03-4184-BBF4-9B21024CE064}" id="{EA7FCB0B-2C83-40BB-A3B6-2FF5A8D0BEE6}">
    <text>Add in 4 shallow wells at 200’ deep with a total flow of 68 gpm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2C5A-E221-4FA8-957C-3DD1D287978E}">
  <dimension ref="B1:E51"/>
  <sheetViews>
    <sheetView zoomScale="90" zoomScaleNormal="90" workbookViewId="0">
      <selection activeCell="B35" sqref="B35"/>
    </sheetView>
  </sheetViews>
  <sheetFormatPr defaultRowHeight="12.75" x14ac:dyDescent="0.2"/>
  <cols>
    <col min="1" max="1" width="4.5" customWidth="1"/>
    <col min="2" max="2" width="28.33203125" customWidth="1"/>
    <col min="3" max="3" width="31.83203125" customWidth="1"/>
    <col min="5" max="5" width="33.1640625" customWidth="1"/>
  </cols>
  <sheetData>
    <row r="1" spans="2:5" ht="13.5" thickBot="1" x14ac:dyDescent="0.25"/>
    <row r="2" spans="2:5" ht="15" thickTop="1" x14ac:dyDescent="0.2">
      <c r="B2" s="654" t="s">
        <v>0</v>
      </c>
      <c r="C2" s="655"/>
    </row>
    <row r="3" spans="2:5" ht="43.5" thickBot="1" x14ac:dyDescent="0.25">
      <c r="B3" s="135" t="s">
        <v>1</v>
      </c>
      <c r="C3" s="136" t="s">
        <v>2</v>
      </c>
    </row>
    <row r="4" spans="2:5" ht="15" thickTop="1" x14ac:dyDescent="0.2">
      <c r="B4" s="137" t="s">
        <v>3</v>
      </c>
      <c r="C4" s="138">
        <v>740204439</v>
      </c>
      <c r="E4" s="50"/>
    </row>
    <row r="5" spans="2:5" ht="14.25" x14ac:dyDescent="0.2">
      <c r="B5" s="139" t="s">
        <v>4</v>
      </c>
      <c r="C5" s="140">
        <v>363542840</v>
      </c>
      <c r="E5" s="50"/>
    </row>
    <row r="6" spans="2:5" ht="14.25" x14ac:dyDescent="0.2">
      <c r="B6" s="141" t="s">
        <v>5</v>
      </c>
      <c r="C6" s="140">
        <v>0</v>
      </c>
    </row>
    <row r="7" spans="2:5" ht="14.25" x14ac:dyDescent="0.2">
      <c r="B7" s="141" t="s">
        <v>6</v>
      </c>
      <c r="C7" s="140">
        <v>2737148</v>
      </c>
    </row>
    <row r="8" spans="2:5" ht="14.25" x14ac:dyDescent="0.2">
      <c r="B8" s="141" t="s">
        <v>7</v>
      </c>
      <c r="C8" s="140">
        <v>1368574</v>
      </c>
    </row>
    <row r="9" spans="2:5" ht="14.25" x14ac:dyDescent="0.2">
      <c r="B9" s="141" t="s">
        <v>8</v>
      </c>
      <c r="C9" s="140">
        <v>684287</v>
      </c>
    </row>
    <row r="10" spans="2:5" ht="14.25" x14ac:dyDescent="0.2">
      <c r="B10" s="141" t="s">
        <v>9</v>
      </c>
      <c r="C10" s="140">
        <v>9149896</v>
      </c>
    </row>
    <row r="11" spans="2:5" ht="14.25" x14ac:dyDescent="0.2">
      <c r="B11" s="141" t="s">
        <v>10</v>
      </c>
      <c r="C11" s="140">
        <f>8400000*0.6</f>
        <v>5040000</v>
      </c>
    </row>
    <row r="12" spans="2:5" ht="14.25" x14ac:dyDescent="0.2">
      <c r="B12" s="141" t="s">
        <v>11</v>
      </c>
      <c r="C12" s="140">
        <v>1500000</v>
      </c>
    </row>
    <row r="13" spans="2:5" ht="14.25" x14ac:dyDescent="0.2">
      <c r="B13" s="141" t="s">
        <v>12</v>
      </c>
      <c r="C13" s="140">
        <v>300000</v>
      </c>
    </row>
    <row r="14" spans="2:5" ht="14.25" x14ac:dyDescent="0.2">
      <c r="B14" s="141" t="s">
        <v>13</v>
      </c>
      <c r="C14" s="140">
        <v>299131</v>
      </c>
    </row>
    <row r="15" spans="2:5" ht="14.25" x14ac:dyDescent="0.2">
      <c r="B15" s="141" t="s">
        <v>14</v>
      </c>
      <c r="C15" s="140">
        <v>60000</v>
      </c>
    </row>
    <row r="16" spans="2:5" ht="14.25" x14ac:dyDescent="0.2">
      <c r="B16" s="141" t="s">
        <v>15</v>
      </c>
      <c r="C16" s="140">
        <v>36000</v>
      </c>
    </row>
    <row r="17" spans="2:3" ht="14.25" x14ac:dyDescent="0.2">
      <c r="B17" s="141" t="s">
        <v>16</v>
      </c>
      <c r="C17" s="140">
        <v>6777710</v>
      </c>
    </row>
    <row r="18" spans="2:3" ht="14.25" x14ac:dyDescent="0.2">
      <c r="B18" s="141" t="s">
        <v>17</v>
      </c>
      <c r="C18" s="140">
        <v>80000</v>
      </c>
    </row>
    <row r="19" spans="2:3" ht="14.25" x14ac:dyDescent="0.2">
      <c r="B19" s="141" t="s">
        <v>18</v>
      </c>
      <c r="C19" s="140">
        <v>120700000</v>
      </c>
    </row>
    <row r="20" spans="2:3" ht="14.25" x14ac:dyDescent="0.2">
      <c r="B20" s="141" t="s">
        <v>19</v>
      </c>
      <c r="C20" s="140">
        <v>54580043</v>
      </c>
    </row>
    <row r="21" spans="2:3" ht="14.25" x14ac:dyDescent="0.2">
      <c r="B21" s="141" t="s">
        <v>20</v>
      </c>
      <c r="C21" s="140">
        <v>63201939</v>
      </c>
    </row>
    <row r="22" spans="2:3" ht="14.25" x14ac:dyDescent="0.2">
      <c r="B22" s="141" t="s">
        <v>21</v>
      </c>
      <c r="C22" s="140">
        <v>1955106</v>
      </c>
    </row>
    <row r="23" spans="2:3" ht="14.25" x14ac:dyDescent="0.2">
      <c r="B23" s="141" t="s">
        <v>22</v>
      </c>
      <c r="C23" s="140">
        <v>1260000</v>
      </c>
    </row>
    <row r="24" spans="2:3" ht="14.25" x14ac:dyDescent="0.2">
      <c r="B24" s="141" t="s">
        <v>23</v>
      </c>
      <c r="C24" s="140">
        <v>1824765.6</v>
      </c>
    </row>
    <row r="25" spans="2:3" ht="14.25" x14ac:dyDescent="0.2">
      <c r="B25" s="141" t="s">
        <v>24</v>
      </c>
      <c r="C25" s="140">
        <v>900000</v>
      </c>
    </row>
    <row r="26" spans="2:3" ht="14.25" x14ac:dyDescent="0.2">
      <c r="B26" s="141" t="s">
        <v>25</v>
      </c>
      <c r="C26" s="140">
        <v>273714.83999999997</v>
      </c>
    </row>
    <row r="27" spans="2:3" ht="14.25" x14ac:dyDescent="0.2">
      <c r="B27" s="141" t="s">
        <v>26</v>
      </c>
      <c r="C27" s="140">
        <v>1200000</v>
      </c>
    </row>
    <row r="28" spans="2:3" ht="14.25" x14ac:dyDescent="0.2">
      <c r="B28" s="141" t="s">
        <v>27</v>
      </c>
      <c r="C28" s="140">
        <v>185923</v>
      </c>
    </row>
    <row r="29" spans="2:3" ht="14.25" x14ac:dyDescent="0.2">
      <c r="B29" s="141" t="s">
        <v>28</v>
      </c>
      <c r="C29" s="140">
        <v>350600000</v>
      </c>
    </row>
    <row r="30" spans="2:3" ht="14.25" x14ac:dyDescent="0.2">
      <c r="B30" s="144" t="s">
        <v>29</v>
      </c>
      <c r="C30" s="146">
        <f>SUM(C4:C29)</f>
        <v>1728461516.4399998</v>
      </c>
    </row>
    <row r="31" spans="2:3" ht="15" thickBot="1" x14ac:dyDescent="0.25">
      <c r="B31" s="145" t="s">
        <v>30</v>
      </c>
      <c r="C31" s="147">
        <f>MROUND(C30,100)</f>
        <v>1728461500</v>
      </c>
    </row>
    <row r="32" spans="2:3" ht="15" thickTop="1" x14ac:dyDescent="0.2">
      <c r="B32" s="656" t="s">
        <v>31</v>
      </c>
      <c r="C32" s="657"/>
    </row>
    <row r="33" spans="2:3" ht="43.5" thickBot="1" x14ac:dyDescent="0.25">
      <c r="B33" s="135" t="s">
        <v>1</v>
      </c>
      <c r="C33" s="136" t="s">
        <v>2</v>
      </c>
    </row>
    <row r="34" spans="2:3" ht="44.25" thickTop="1" thickBot="1" x14ac:dyDescent="0.25">
      <c r="B34" s="142" t="s">
        <v>32</v>
      </c>
      <c r="C34" s="143">
        <v>161491755.59999999</v>
      </c>
    </row>
    <row r="35" spans="2:3" ht="13.5" thickTop="1" x14ac:dyDescent="0.2">
      <c r="B35" s="148" t="s">
        <v>33</v>
      </c>
    </row>
    <row r="37" spans="2:3" ht="9" customHeight="1" x14ac:dyDescent="0.2"/>
    <row r="38" spans="2:3" ht="9" customHeight="1" x14ac:dyDescent="0.2"/>
    <row r="39" spans="2:3" ht="9" customHeight="1" x14ac:dyDescent="0.2"/>
    <row r="40" spans="2:3" ht="9" customHeight="1" x14ac:dyDescent="0.2"/>
    <row r="41" spans="2:3" ht="9" customHeight="1" x14ac:dyDescent="0.2"/>
    <row r="42" spans="2:3" ht="9" customHeight="1" x14ac:dyDescent="0.2"/>
    <row r="43" spans="2:3" ht="9" customHeight="1" x14ac:dyDescent="0.2"/>
    <row r="44" spans="2:3" ht="9" customHeight="1" x14ac:dyDescent="0.2"/>
    <row r="45" spans="2:3" ht="9" customHeight="1" x14ac:dyDescent="0.2"/>
    <row r="46" spans="2:3" ht="9" customHeight="1" x14ac:dyDescent="0.2"/>
    <row r="47" spans="2:3" ht="9" customHeight="1" x14ac:dyDescent="0.2"/>
    <row r="48" spans="2:3" ht="9" customHeight="1" x14ac:dyDescent="0.2"/>
    <row r="49" spans="2:3" ht="9" customHeight="1" x14ac:dyDescent="0.2"/>
    <row r="51" spans="2:3" x14ac:dyDescent="0.2">
      <c r="B51" s="658"/>
      <c r="C51" s="658"/>
    </row>
  </sheetData>
  <mergeCells count="3">
    <mergeCell ref="B2:C2"/>
    <mergeCell ref="B32:C32"/>
    <mergeCell ref="B51:C5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A209-14B3-4203-8BF9-14C87E7E7273}">
  <sheetPr>
    <pageSetUpPr fitToPage="1"/>
  </sheetPr>
  <dimension ref="A1:AQ118"/>
  <sheetViews>
    <sheetView zoomScale="70" zoomScaleNormal="70" workbookViewId="0">
      <pane xSplit="2" topLeftCell="E1" activePane="topRight" state="frozen"/>
      <selection pane="topRight" activeCell="B115" sqref="B115"/>
    </sheetView>
  </sheetViews>
  <sheetFormatPr defaultRowHeight="12.75" customHeight="1" x14ac:dyDescent="0.2"/>
  <cols>
    <col min="1" max="1" width="3" style="1" customWidth="1"/>
    <col min="2" max="2" width="26.33203125" style="1" customWidth="1"/>
    <col min="3" max="3" width="11.5" style="1" customWidth="1"/>
    <col min="4" max="5" width="9.83203125" style="1" customWidth="1"/>
    <col min="6" max="6" width="18.33203125" style="1" customWidth="1"/>
    <col min="7" max="8" width="15.5" style="1" customWidth="1"/>
    <col min="9" max="9" width="13.1640625" style="1" customWidth="1"/>
    <col min="10" max="23" width="9.83203125" style="1" customWidth="1"/>
    <col min="24" max="25" width="9.83203125" customWidth="1"/>
    <col min="26" max="26" width="12.5" style="1" customWidth="1"/>
    <col min="27" max="27" width="9.83203125" style="1" customWidth="1"/>
    <col min="28" max="28" width="11.1640625" style="1" customWidth="1"/>
    <col min="29" max="35" width="9.83203125" style="1" customWidth="1"/>
    <col min="36" max="37" width="9.83203125" customWidth="1"/>
    <col min="38" max="39" width="12.33203125" style="5" customWidth="1"/>
    <col min="40" max="52" width="9.83203125" customWidth="1"/>
  </cols>
  <sheetData>
    <row r="1" spans="1:43" ht="13.5" thickBot="1" x14ac:dyDescent="0.25"/>
    <row r="2" spans="1:43" ht="17.45" customHeight="1" thickTop="1" thickBot="1" x14ac:dyDescent="0.25">
      <c r="B2" s="242"/>
      <c r="C2" s="660" t="s">
        <v>34</v>
      </c>
      <c r="D2" s="660"/>
      <c r="E2" s="659"/>
      <c r="F2" s="660" t="s">
        <v>35</v>
      </c>
      <c r="G2" s="660"/>
      <c r="H2" s="660"/>
      <c r="I2" s="659"/>
      <c r="J2" s="660" t="s">
        <v>36</v>
      </c>
      <c r="K2" s="659"/>
      <c r="L2" s="659"/>
      <c r="M2" s="659"/>
      <c r="N2" s="659"/>
      <c r="O2" s="659"/>
      <c r="P2" s="659" t="s">
        <v>37</v>
      </c>
      <c r="Q2" s="659"/>
      <c r="R2" s="659"/>
      <c r="S2" s="659"/>
      <c r="T2" s="659"/>
      <c r="U2" s="659"/>
      <c r="V2" s="659"/>
      <c r="W2" s="659"/>
      <c r="X2" s="659"/>
      <c r="Y2" s="659"/>
      <c r="Z2" s="660" t="s">
        <v>38</v>
      </c>
      <c r="AA2" s="659"/>
      <c r="AB2" s="659"/>
      <c r="AC2" s="659"/>
      <c r="AD2" s="659"/>
      <c r="AE2" s="663"/>
      <c r="AF2" s="39"/>
      <c r="AG2" s="39"/>
      <c r="AH2" s="664" t="s">
        <v>39</v>
      </c>
      <c r="AI2" s="665"/>
      <c r="AJ2" s="665"/>
      <c r="AK2" s="665"/>
      <c r="AL2" s="665"/>
      <c r="AM2" s="263"/>
      <c r="AN2" s="264"/>
    </row>
    <row r="3" spans="1:43" ht="129" thickTop="1" x14ac:dyDescent="0.2">
      <c r="B3" s="243"/>
      <c r="C3" s="244" t="s">
        <v>40</v>
      </c>
      <c r="D3" s="661" t="s">
        <v>41</v>
      </c>
      <c r="E3" s="662"/>
      <c r="F3" s="244" t="s">
        <v>42</v>
      </c>
      <c r="G3" s="244" t="s">
        <v>43</v>
      </c>
      <c r="H3" s="244" t="s">
        <v>44</v>
      </c>
      <c r="I3" s="244" t="s">
        <v>45</v>
      </c>
      <c r="J3" s="661" t="s">
        <v>46</v>
      </c>
      <c r="K3" s="661"/>
      <c r="L3" s="661" t="s">
        <v>47</v>
      </c>
      <c r="M3" s="661"/>
      <c r="N3" s="661" t="s">
        <v>48</v>
      </c>
      <c r="O3" s="661"/>
      <c r="P3" s="661" t="s">
        <v>49</v>
      </c>
      <c r="Q3" s="661"/>
      <c r="R3" s="661" t="s">
        <v>50</v>
      </c>
      <c r="S3" s="661"/>
      <c r="T3" s="661" t="s">
        <v>51</v>
      </c>
      <c r="U3" s="661"/>
      <c r="V3" s="661" t="s">
        <v>52</v>
      </c>
      <c r="W3" s="661"/>
      <c r="X3" s="661" t="s">
        <v>53</v>
      </c>
      <c r="Y3" s="661"/>
      <c r="Z3" s="661" t="s">
        <v>54</v>
      </c>
      <c r="AA3" s="661"/>
      <c r="AB3" s="661" t="s">
        <v>18</v>
      </c>
      <c r="AC3" s="661"/>
      <c r="AD3" s="661" t="s">
        <v>55</v>
      </c>
      <c r="AE3" s="666"/>
      <c r="AF3" s="40"/>
      <c r="AG3" s="40"/>
      <c r="AH3" s="265" t="s">
        <v>56</v>
      </c>
      <c r="AI3" s="266" t="s">
        <v>57</v>
      </c>
      <c r="AJ3" s="266" t="s">
        <v>58</v>
      </c>
      <c r="AK3" s="266" t="s">
        <v>59</v>
      </c>
      <c r="AL3" s="267" t="s">
        <v>60</v>
      </c>
      <c r="AM3" s="267" t="s">
        <v>61</v>
      </c>
      <c r="AN3" s="268" t="s">
        <v>62</v>
      </c>
    </row>
    <row r="4" spans="1:43" ht="14.25" x14ac:dyDescent="0.2">
      <c r="B4" s="139" t="s">
        <v>63</v>
      </c>
      <c r="C4" s="246"/>
      <c r="D4" s="247">
        <v>1169</v>
      </c>
      <c r="E4" s="246"/>
      <c r="F4" s="246"/>
      <c r="G4" s="246"/>
      <c r="H4" s="246"/>
      <c r="I4" s="246">
        <f>1863+56</f>
        <v>1919</v>
      </c>
      <c r="J4" s="246">
        <v>92.5</v>
      </c>
      <c r="K4" s="246"/>
      <c r="L4" s="246">
        <f>53.4+17+8</f>
        <v>78.400000000000006</v>
      </c>
      <c r="M4" s="246"/>
      <c r="N4" s="246">
        <f>44+53</f>
        <v>97</v>
      </c>
      <c r="O4" s="246"/>
      <c r="P4" s="246">
        <v>260</v>
      </c>
      <c r="Q4" s="246"/>
      <c r="R4" s="247">
        <f>134+59</f>
        <v>193</v>
      </c>
      <c r="S4" s="246"/>
      <c r="T4" s="246">
        <f>86.3+13</f>
        <v>99.3</v>
      </c>
      <c r="U4" s="246"/>
      <c r="V4" s="246">
        <v>79.8</v>
      </c>
      <c r="W4" s="246"/>
      <c r="X4" s="246">
        <v>270</v>
      </c>
      <c r="Y4" s="246"/>
      <c r="Z4" s="246">
        <v>260</v>
      </c>
      <c r="AA4" s="246"/>
      <c r="AB4" s="246">
        <v>629</v>
      </c>
      <c r="AC4" s="248"/>
      <c r="AD4" s="246">
        <f>674+117</f>
        <v>791</v>
      </c>
      <c r="AE4" s="249"/>
      <c r="AF4" s="41"/>
      <c r="AG4" s="41"/>
      <c r="AH4" s="265"/>
      <c r="AI4" s="266"/>
      <c r="AJ4" s="269"/>
      <c r="AK4" s="266"/>
      <c r="AL4" s="267"/>
      <c r="AM4" s="267"/>
      <c r="AN4" s="268"/>
    </row>
    <row r="5" spans="1:43" ht="28.5" x14ac:dyDescent="0.2">
      <c r="B5" s="139" t="s">
        <v>64</v>
      </c>
      <c r="C5" s="246"/>
      <c r="D5" s="246"/>
      <c r="E5" s="246"/>
      <c r="F5" s="246"/>
      <c r="G5" s="246"/>
      <c r="H5" s="246"/>
      <c r="I5" s="246">
        <v>0.81</v>
      </c>
      <c r="J5" s="246">
        <v>3.77</v>
      </c>
      <c r="K5" s="246"/>
      <c r="L5" s="246">
        <v>3.77</v>
      </c>
      <c r="M5" s="246"/>
      <c r="N5" s="246">
        <v>3.77</v>
      </c>
      <c r="O5" s="246"/>
      <c r="P5" s="246">
        <v>2.23</v>
      </c>
      <c r="Q5" s="246"/>
      <c r="R5" s="246">
        <v>2.23</v>
      </c>
      <c r="S5" s="246"/>
      <c r="T5" s="246">
        <v>2.23</v>
      </c>
      <c r="U5" s="246"/>
      <c r="V5" s="246">
        <v>2.23</v>
      </c>
      <c r="W5" s="246"/>
      <c r="X5" s="246">
        <v>2.23</v>
      </c>
      <c r="Y5" s="246"/>
      <c r="Z5" s="246">
        <v>2.23</v>
      </c>
      <c r="AA5" s="246"/>
      <c r="AB5" s="246">
        <v>2.23</v>
      </c>
      <c r="AC5" s="246"/>
      <c r="AD5" s="246">
        <v>2.23</v>
      </c>
      <c r="AE5" s="249"/>
      <c r="AF5" s="41"/>
      <c r="AG5" s="41"/>
      <c r="AH5" s="265"/>
      <c r="AI5" s="266"/>
      <c r="AJ5" s="269"/>
      <c r="AK5" s="266"/>
      <c r="AL5" s="267"/>
      <c r="AM5" s="267"/>
      <c r="AN5" s="268"/>
    </row>
    <row r="6" spans="1:43" s="6" customFormat="1" ht="28.5" x14ac:dyDescent="0.2">
      <c r="A6" s="70"/>
      <c r="B6" s="139" t="s">
        <v>65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50">
        <v>0.33</v>
      </c>
      <c r="Q6" s="246"/>
      <c r="R6" s="250">
        <v>0.33</v>
      </c>
      <c r="S6" s="246"/>
      <c r="T6" s="250">
        <v>0.33</v>
      </c>
      <c r="U6" s="246"/>
      <c r="V6" s="250">
        <v>0.33</v>
      </c>
      <c r="W6" s="246"/>
      <c r="X6" s="251">
        <v>0.33</v>
      </c>
      <c r="Y6" s="246"/>
      <c r="Z6" s="251">
        <v>0.33</v>
      </c>
      <c r="AA6" s="246"/>
      <c r="AB6" s="251">
        <v>0.33</v>
      </c>
      <c r="AC6" s="246"/>
      <c r="AD6" s="251">
        <v>0.33</v>
      </c>
      <c r="AE6" s="249"/>
      <c r="AF6" s="41"/>
      <c r="AG6" s="41"/>
      <c r="AH6" s="265"/>
      <c r="AI6" s="266"/>
      <c r="AJ6" s="269"/>
      <c r="AK6" s="266"/>
      <c r="AL6" s="267"/>
      <c r="AM6" s="267"/>
      <c r="AN6" s="268"/>
    </row>
    <row r="7" spans="1:43" ht="29.25" thickBot="1" x14ac:dyDescent="0.25">
      <c r="B7" s="335" t="s">
        <v>66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>
        <v>0.25</v>
      </c>
      <c r="Q7" s="252"/>
      <c r="R7" s="252">
        <v>0.25</v>
      </c>
      <c r="S7" s="252"/>
      <c r="T7" s="252">
        <v>0.25</v>
      </c>
      <c r="U7" s="252"/>
      <c r="V7" s="252">
        <v>0.25</v>
      </c>
      <c r="W7" s="252"/>
      <c r="X7" s="252">
        <v>0.25</v>
      </c>
      <c r="Y7" s="252"/>
      <c r="Z7" s="252">
        <v>0.25</v>
      </c>
      <c r="AA7" s="252"/>
      <c r="AB7" s="252">
        <v>0.25</v>
      </c>
      <c r="AC7" s="252"/>
      <c r="AD7" s="252">
        <v>0.25</v>
      </c>
      <c r="AE7" s="253"/>
      <c r="AF7" s="69"/>
      <c r="AG7" s="41"/>
      <c r="AH7" s="265"/>
      <c r="AI7" s="266"/>
      <c r="AJ7" s="266"/>
      <c r="AK7" s="266"/>
      <c r="AL7" s="267"/>
      <c r="AM7" s="267"/>
      <c r="AN7" s="268"/>
      <c r="AQ7" s="72"/>
    </row>
    <row r="8" spans="1:43" ht="17.25" thickTop="1" thickBot="1" x14ac:dyDescent="0.25">
      <c r="B8" s="254" t="s">
        <v>67</v>
      </c>
      <c r="C8" s="244" t="s">
        <v>68</v>
      </c>
      <c r="D8" s="244" t="s">
        <v>69</v>
      </c>
      <c r="E8" s="244" t="s">
        <v>68</v>
      </c>
      <c r="F8" s="244" t="s">
        <v>68</v>
      </c>
      <c r="G8" s="244" t="s">
        <v>68</v>
      </c>
      <c r="H8" s="244" t="s">
        <v>68</v>
      </c>
      <c r="I8" s="244" t="s">
        <v>68</v>
      </c>
      <c r="J8" s="244" t="s">
        <v>69</v>
      </c>
      <c r="K8" s="244" t="s">
        <v>68</v>
      </c>
      <c r="L8" s="244" t="s">
        <v>69</v>
      </c>
      <c r="M8" s="244" t="s">
        <v>68</v>
      </c>
      <c r="N8" s="244" t="s">
        <v>69</v>
      </c>
      <c r="O8" s="244" t="s">
        <v>68</v>
      </c>
      <c r="P8" s="244" t="s">
        <v>69</v>
      </c>
      <c r="Q8" s="244" t="s">
        <v>68</v>
      </c>
      <c r="R8" s="244" t="s">
        <v>69</v>
      </c>
      <c r="S8" s="244" t="s">
        <v>68</v>
      </c>
      <c r="T8" s="244" t="s">
        <v>69</v>
      </c>
      <c r="U8" s="244" t="s">
        <v>68</v>
      </c>
      <c r="V8" s="244" t="s">
        <v>69</v>
      </c>
      <c r="W8" s="244" t="s">
        <v>68</v>
      </c>
      <c r="X8" s="244" t="s">
        <v>69</v>
      </c>
      <c r="Y8" s="244" t="s">
        <v>68</v>
      </c>
      <c r="Z8" s="244" t="s">
        <v>69</v>
      </c>
      <c r="AA8" s="244" t="s">
        <v>68</v>
      </c>
      <c r="AB8" s="244" t="s">
        <v>69</v>
      </c>
      <c r="AC8" s="244" t="s">
        <v>68</v>
      </c>
      <c r="AD8" s="244" t="s">
        <v>69</v>
      </c>
      <c r="AE8" s="245" t="s">
        <v>68</v>
      </c>
      <c r="AF8" s="41"/>
      <c r="AG8" s="41"/>
      <c r="AH8" s="277"/>
      <c r="AI8" s="278" t="s">
        <v>70</v>
      </c>
      <c r="AJ8" s="278" t="s">
        <v>70</v>
      </c>
      <c r="AK8" s="278" t="s">
        <v>70</v>
      </c>
      <c r="AL8" s="279" t="s">
        <v>71</v>
      </c>
      <c r="AM8" s="279"/>
      <c r="AN8" s="280" t="s">
        <v>70</v>
      </c>
      <c r="AQ8" s="72"/>
    </row>
    <row r="9" spans="1:43" ht="14.25" x14ac:dyDescent="0.2">
      <c r="B9" s="155">
        <v>1</v>
      </c>
      <c r="C9" s="156">
        <v>119.52760302036199</v>
      </c>
      <c r="D9" s="156">
        <v>1169</v>
      </c>
      <c r="E9" s="156">
        <v>1410</v>
      </c>
      <c r="F9" s="157">
        <f>368-G9</f>
        <v>350</v>
      </c>
      <c r="G9" s="157">
        <v>18</v>
      </c>
      <c r="H9" s="158">
        <v>8.65</v>
      </c>
      <c r="I9" s="156">
        <f>(($I$4*($I$5/12))*325851)/(365*1440)</f>
        <v>80.304974614726021</v>
      </c>
      <c r="J9" s="157">
        <v>92.5</v>
      </c>
      <c r="K9" s="157">
        <f>((J9*($J$5/12))*325851)/(365*1440)</f>
        <v>18.01629724362633</v>
      </c>
      <c r="L9" s="157">
        <f>L4</f>
        <v>78.400000000000006</v>
      </c>
      <c r="M9" s="157">
        <f>((L9*($L$5/12))*325851)/(365*1440)</f>
        <v>15.270029231354643</v>
      </c>
      <c r="N9" s="157">
        <f>N4</f>
        <v>97</v>
      </c>
      <c r="O9" s="157">
        <f>((N9*($N$5/12))*325851)/(365*1440)</f>
        <v>18.892765758181124</v>
      </c>
      <c r="P9" s="156">
        <f>$P$4</f>
        <v>260</v>
      </c>
      <c r="Q9" s="156">
        <f>((((($P$5)/12)*P9)*325851)/(365*1440))+((((($P$6)/12)*P9)*325851)/(365*1440))</f>
        <v>34.38711719939117</v>
      </c>
      <c r="R9" s="156">
        <f>R4</f>
        <v>193</v>
      </c>
      <c r="S9" s="156">
        <f t="shared" ref="S9:S19" si="0">((((($R$5)/12)*R9)*325851)/(365*1440))+((((($R$6)/12)*R9)*325851)/(365*1440))</f>
        <v>25.525821613394218</v>
      </c>
      <c r="T9" s="156">
        <f>T4</f>
        <v>99.3</v>
      </c>
      <c r="U9" s="156">
        <f t="shared" ref="U9:U18" si="1">((((($T$5)/12)*T9)*325851)/(365*1440))+((((($T$6)/12)*T9)*325851)/(365*1440))</f>
        <v>13.133233607305934</v>
      </c>
      <c r="V9" s="156">
        <f>79.8</f>
        <v>79.8</v>
      </c>
      <c r="W9" s="156">
        <f t="shared" ref="W9:W18" si="2">((((($V$5)/12)*V9)*325851)/(365*1440))+((((($V$6)/12)*V9)*325851)/(365*1440))</f>
        <v>10.554199817351599</v>
      </c>
      <c r="X9" s="159">
        <v>270</v>
      </c>
      <c r="Y9" s="156">
        <f>((((($X$5)/12)*X9)*325851)/(365*1440))+((((($X$6)/12)*X9)*325851)/(365*1440))</f>
        <v>35.709698630136984</v>
      </c>
      <c r="Z9" s="160">
        <f>$Z$4-100</f>
        <v>160</v>
      </c>
      <c r="AA9" s="161">
        <f>((((($Z$5)/12)*Z9)*325851)/(365*1440))+((((($Z$6)/12)*Z9)*325851)/(365*1440))</f>
        <v>21.161302891933026</v>
      </c>
      <c r="AB9" s="156">
        <v>629</v>
      </c>
      <c r="AC9" s="161">
        <f t="shared" ref="AC9:AC17" si="3">((((($AB$5)/12)*AB9)*325851)/(365*1440))+((((($AB$6)/12)*AB9)*325851)/(365*1440))</f>
        <v>83.190371993911711</v>
      </c>
      <c r="AD9" s="156">
        <f>AD4</f>
        <v>791</v>
      </c>
      <c r="AE9" s="162">
        <f t="shared" ref="AE9:AE14" si="4">((((($AD$5)/12)*AD9)*325851)/(365*1440))+((((($AD$6)/12)*AD9)*325851)/(365*1440))</f>
        <v>104.61619117199392</v>
      </c>
      <c r="AF9" s="24"/>
      <c r="AG9" s="24"/>
      <c r="AH9" s="273" t="s">
        <v>72</v>
      </c>
      <c r="AI9" s="274">
        <f>F9+I9+K9+AA9+AC9+Q9+M9+G9+H9</f>
        <v>628.98009317494291</v>
      </c>
      <c r="AJ9" s="275">
        <f>O9+AE9+U9+W9+Y9+(S9*(59/193))</f>
        <v>190.70931942636986</v>
      </c>
      <c r="AK9" s="275">
        <f>C9+E9</f>
        <v>1529.527603020362</v>
      </c>
      <c r="AL9" s="275">
        <f t="shared" ref="AL9:AL40" si="5">(SUM($D$4:$AE$4)-$I$4)-(D9+L9+J9+N9+P9+R9+T9+V9+X9+Z9+AB9+AD9)</f>
        <v>100</v>
      </c>
      <c r="AM9" s="275">
        <f>AI9+AJ9</f>
        <v>819.68941260131282</v>
      </c>
      <c r="AN9" s="276" t="s">
        <v>73</v>
      </c>
      <c r="AQ9" s="50"/>
    </row>
    <row r="10" spans="1:43" ht="14.25" x14ac:dyDescent="0.2">
      <c r="B10" s="155">
        <f t="shared" ref="B10:B73" si="6">B9+1</f>
        <v>2</v>
      </c>
      <c r="C10" s="157">
        <v>119.91893513224164</v>
      </c>
      <c r="D10" s="156">
        <v>1169</v>
      </c>
      <c r="E10" s="156">
        <f>E9*0.95</f>
        <v>1339.5</v>
      </c>
      <c r="F10" s="157">
        <f t="shared" ref="F10:F73" si="7">368-G10</f>
        <v>350</v>
      </c>
      <c r="G10" s="157">
        <v>18</v>
      </c>
      <c r="H10" s="158">
        <v>8.65</v>
      </c>
      <c r="I10" s="156">
        <f t="shared" ref="I10:I73" si="8">(($I$4*($I$5/12))*325851)/(365*1440)</f>
        <v>80.304974614726021</v>
      </c>
      <c r="J10" s="157">
        <v>92.5</v>
      </c>
      <c r="K10" s="157">
        <f>((J10*($J$5/12))*325851)/(365*1440)</f>
        <v>18.01629724362633</v>
      </c>
      <c r="L10" s="157">
        <f>L9</f>
        <v>78.400000000000006</v>
      </c>
      <c r="M10" s="157">
        <f t="shared" ref="M10:M19" si="9">((L10*($L$5/12))*325851)/(365*1440)</f>
        <v>15.270029231354643</v>
      </c>
      <c r="N10" s="157">
        <f>N9</f>
        <v>97</v>
      </c>
      <c r="O10" s="157">
        <f>((N10*($N$5/12))*325851)/(365*1440)</f>
        <v>18.892765758181124</v>
      </c>
      <c r="P10" s="156">
        <f t="shared" ref="P10:P19" si="10">$P$4</f>
        <v>260</v>
      </c>
      <c r="Q10" s="156">
        <f t="shared" ref="Q10:Q19" si="11">((((($P$5)/12)*P10)*325851)/(365*1440))+((((($P$6)/12)*P10)*325851)/(365*1440))</f>
        <v>34.38711719939117</v>
      </c>
      <c r="R10" s="156">
        <f>R9</f>
        <v>193</v>
      </c>
      <c r="S10" s="156">
        <f t="shared" si="0"/>
        <v>25.525821613394218</v>
      </c>
      <c r="T10" s="156">
        <f>T9</f>
        <v>99.3</v>
      </c>
      <c r="U10" s="156">
        <f t="shared" si="1"/>
        <v>13.133233607305934</v>
      </c>
      <c r="V10" s="156">
        <f t="shared" ref="V10:V18" si="12">79.8</f>
        <v>79.8</v>
      </c>
      <c r="W10" s="156">
        <f t="shared" si="2"/>
        <v>10.554199817351599</v>
      </c>
      <c r="X10" s="163">
        <f>X9-100</f>
        <v>170</v>
      </c>
      <c r="Y10" s="161">
        <f t="shared" ref="Y10:Y17" si="13">((((($X$5)/12)*X10)*325851)/(365*1440))+((((($X$6)/12)*X10)*325851)/(365*1440))</f>
        <v>22.483884322678843</v>
      </c>
      <c r="Z10" s="160">
        <f>Z9-100</f>
        <v>60</v>
      </c>
      <c r="AA10" s="161">
        <f>((((($Z$5)/12)*Z10)*325851)/(365*1440))+((((($Z$6)/12)*Z10)*325851)/(365*1440))</f>
        <v>7.9354885844748848</v>
      </c>
      <c r="AB10" s="156">
        <v>629</v>
      </c>
      <c r="AC10" s="161">
        <f t="shared" si="3"/>
        <v>83.190371993911711</v>
      </c>
      <c r="AD10" s="156">
        <f>AD9</f>
        <v>791</v>
      </c>
      <c r="AE10" s="162">
        <f t="shared" si="4"/>
        <v>104.61619117199392</v>
      </c>
      <c r="AF10" s="24"/>
      <c r="AG10" s="24"/>
      <c r="AH10" s="149" t="s">
        <v>72</v>
      </c>
      <c r="AI10" s="150">
        <f t="shared" ref="AI10:AI73" si="14">F10+I10+K10+AA10+AC10+Q10+M10+G10+H10</f>
        <v>615.7542788674848</v>
      </c>
      <c r="AJ10" s="151">
        <f t="shared" ref="AJ10:AJ73" si="15">O10+AE10+U10+W10+Y10+(S10*(59/193))</f>
        <v>177.48350511891172</v>
      </c>
      <c r="AK10" s="151">
        <f t="shared" ref="AK10:AK40" si="16">C10+E10</f>
        <v>1459.4189351322416</v>
      </c>
      <c r="AL10" s="151">
        <f t="shared" si="5"/>
        <v>300</v>
      </c>
      <c r="AM10" s="151">
        <f>AI10+AJ10</f>
        <v>793.23778398639649</v>
      </c>
      <c r="AN10" s="270" t="s">
        <v>73</v>
      </c>
    </row>
    <row r="11" spans="1:43" ht="14.25" x14ac:dyDescent="0.2">
      <c r="B11" s="155">
        <f t="shared" si="6"/>
        <v>3</v>
      </c>
      <c r="C11" s="157">
        <v>120.46579293296242</v>
      </c>
      <c r="D11" s="156">
        <v>1169</v>
      </c>
      <c r="E11" s="156">
        <f t="shared" ref="E11:E28" si="17">E10*0.95</f>
        <v>1272.5249999999999</v>
      </c>
      <c r="F11" s="157">
        <f t="shared" si="7"/>
        <v>350</v>
      </c>
      <c r="G11" s="157">
        <v>18</v>
      </c>
      <c r="H11" s="158">
        <v>8.65</v>
      </c>
      <c r="I11" s="156">
        <f t="shared" si="8"/>
        <v>80.304974614726021</v>
      </c>
      <c r="J11" s="157">
        <v>92.5</v>
      </c>
      <c r="K11" s="157">
        <f t="shared" ref="K11:K73" si="18">((J11*($J$5/12))*325851)/(365*1440)</f>
        <v>18.01629724362633</v>
      </c>
      <c r="L11" s="157">
        <f t="shared" ref="L11:L21" si="19">L10</f>
        <v>78.400000000000006</v>
      </c>
      <c r="M11" s="157">
        <f t="shared" si="9"/>
        <v>15.270029231354643</v>
      </c>
      <c r="N11" s="157">
        <f t="shared" ref="N11:N20" si="20">N10</f>
        <v>97</v>
      </c>
      <c r="O11" s="157">
        <f t="shared" ref="O11:O73" si="21">((N11*($N$5/12))*325851)/(365*1440)</f>
        <v>18.892765758181124</v>
      </c>
      <c r="P11" s="156">
        <f t="shared" si="10"/>
        <v>260</v>
      </c>
      <c r="Q11" s="156">
        <f t="shared" si="11"/>
        <v>34.38711719939117</v>
      </c>
      <c r="R11" s="156">
        <f t="shared" ref="R11:R18" si="22">R10</f>
        <v>193</v>
      </c>
      <c r="S11" s="156">
        <f t="shared" si="0"/>
        <v>25.525821613394218</v>
      </c>
      <c r="T11" s="156">
        <f t="shared" ref="T11:T18" si="23">T10</f>
        <v>99.3</v>
      </c>
      <c r="U11" s="156">
        <f t="shared" si="1"/>
        <v>13.133233607305934</v>
      </c>
      <c r="V11" s="156">
        <f t="shared" si="12"/>
        <v>79.8</v>
      </c>
      <c r="W11" s="156">
        <f t="shared" si="2"/>
        <v>10.554199817351599</v>
      </c>
      <c r="X11" s="159">
        <v>170</v>
      </c>
      <c r="Y11" s="156">
        <f>((((($X$5)/12)*X11)*325851)/(365*1440))+((((($X$6)/12)*X11)*325851)/(365*1440))</f>
        <v>22.483884322678843</v>
      </c>
      <c r="Z11" s="160">
        <v>50</v>
      </c>
      <c r="AA11" s="161">
        <f>((((($Z$5)/12)*Z11)*325851)/(365*1440))+((((($Z$6)/12)*Z11)*325851)/(365*1440))</f>
        <v>6.6129071537290711</v>
      </c>
      <c r="AB11" s="156">
        <v>629</v>
      </c>
      <c r="AC11" s="161">
        <f t="shared" si="3"/>
        <v>83.190371993911711</v>
      </c>
      <c r="AD11" s="160">
        <f>AD10-190</f>
        <v>601</v>
      </c>
      <c r="AE11" s="162">
        <f t="shared" si="4"/>
        <v>79.487143987823444</v>
      </c>
      <c r="AF11" s="24"/>
      <c r="AG11" s="24"/>
      <c r="AH11" s="149" t="s">
        <v>72</v>
      </c>
      <c r="AI11" s="150">
        <f t="shared" si="14"/>
        <v>614.43169743673889</v>
      </c>
      <c r="AJ11" s="151">
        <f t="shared" si="15"/>
        <v>152.35445793474125</v>
      </c>
      <c r="AK11" s="151">
        <f t="shared" si="16"/>
        <v>1392.9907929329622</v>
      </c>
      <c r="AL11" s="151">
        <f t="shared" si="5"/>
        <v>500</v>
      </c>
      <c r="AM11" s="151">
        <f t="shared" ref="AM11:AM12" si="24">AI11+AJ11</f>
        <v>766.78615537148016</v>
      </c>
      <c r="AN11" s="270" t="s">
        <v>73</v>
      </c>
    </row>
    <row r="12" spans="1:43" ht="14.25" x14ac:dyDescent="0.2">
      <c r="B12" s="155">
        <f t="shared" si="6"/>
        <v>4</v>
      </c>
      <c r="C12" s="157">
        <v>116.4300392844888</v>
      </c>
      <c r="D12" s="156">
        <v>1169</v>
      </c>
      <c r="E12" s="156">
        <f t="shared" si="17"/>
        <v>1208.8987499999998</v>
      </c>
      <c r="F12" s="157">
        <f t="shared" si="7"/>
        <v>350</v>
      </c>
      <c r="G12" s="157">
        <v>18</v>
      </c>
      <c r="H12" s="158">
        <v>8.65</v>
      </c>
      <c r="I12" s="156">
        <f t="shared" si="8"/>
        <v>80.304974614726021</v>
      </c>
      <c r="J12" s="157">
        <v>92.5</v>
      </c>
      <c r="K12" s="157">
        <f t="shared" si="18"/>
        <v>18.01629724362633</v>
      </c>
      <c r="L12" s="157">
        <f t="shared" si="19"/>
        <v>78.400000000000006</v>
      </c>
      <c r="M12" s="157">
        <f t="shared" si="9"/>
        <v>15.270029231354643</v>
      </c>
      <c r="N12" s="157">
        <f t="shared" si="20"/>
        <v>97</v>
      </c>
      <c r="O12" s="157">
        <f t="shared" si="21"/>
        <v>18.892765758181124</v>
      </c>
      <c r="P12" s="156">
        <f t="shared" si="10"/>
        <v>260</v>
      </c>
      <c r="Q12" s="156">
        <f t="shared" si="11"/>
        <v>34.38711719939117</v>
      </c>
      <c r="R12" s="156">
        <f t="shared" si="22"/>
        <v>193</v>
      </c>
      <c r="S12" s="156">
        <f t="shared" si="0"/>
        <v>25.525821613394218</v>
      </c>
      <c r="T12" s="156">
        <f t="shared" si="23"/>
        <v>99.3</v>
      </c>
      <c r="U12" s="156">
        <f t="shared" si="1"/>
        <v>13.133233607305934</v>
      </c>
      <c r="V12" s="156">
        <f t="shared" si="12"/>
        <v>79.8</v>
      </c>
      <c r="W12" s="156">
        <f t="shared" si="2"/>
        <v>10.554199817351599</v>
      </c>
      <c r="X12" s="159">
        <f t="shared" ref="X12:X17" si="25">X11</f>
        <v>170</v>
      </c>
      <c r="Y12" s="156">
        <f t="shared" si="13"/>
        <v>22.483884322678843</v>
      </c>
      <c r="Z12" s="156">
        <v>50</v>
      </c>
      <c r="AA12" s="156">
        <f>AA11</f>
        <v>6.6129071537290711</v>
      </c>
      <c r="AB12" s="156">
        <v>629</v>
      </c>
      <c r="AC12" s="161">
        <f t="shared" si="3"/>
        <v>83.190371993911711</v>
      </c>
      <c r="AD12" s="160">
        <f>AD11-200</f>
        <v>401</v>
      </c>
      <c r="AE12" s="162">
        <f t="shared" si="4"/>
        <v>53.035515372907156</v>
      </c>
      <c r="AF12" s="24"/>
      <c r="AG12" s="24"/>
      <c r="AH12" s="149" t="s">
        <v>72</v>
      </c>
      <c r="AI12" s="150">
        <f t="shared" si="14"/>
        <v>614.43169743673889</v>
      </c>
      <c r="AJ12" s="151">
        <f t="shared" si="15"/>
        <v>125.90282931982497</v>
      </c>
      <c r="AK12" s="151">
        <f t="shared" si="16"/>
        <v>1325.3287892844887</v>
      </c>
      <c r="AL12" s="151">
        <f t="shared" si="5"/>
        <v>700</v>
      </c>
      <c r="AM12" s="151">
        <f t="shared" si="24"/>
        <v>740.33452675656383</v>
      </c>
      <c r="AN12" s="270" t="s">
        <v>73</v>
      </c>
    </row>
    <row r="13" spans="1:43" ht="14.25" x14ac:dyDescent="0.2">
      <c r="B13" s="155">
        <f t="shared" si="6"/>
        <v>5</v>
      </c>
      <c r="C13" s="157">
        <v>107.19226088294275</v>
      </c>
      <c r="D13" s="156">
        <v>1169</v>
      </c>
      <c r="E13" s="156">
        <f t="shared" si="17"/>
        <v>1148.4538124999997</v>
      </c>
      <c r="F13" s="157">
        <f t="shared" si="7"/>
        <v>350</v>
      </c>
      <c r="G13" s="157">
        <v>18</v>
      </c>
      <c r="H13" s="158">
        <v>8.65</v>
      </c>
      <c r="I13" s="156">
        <f t="shared" si="8"/>
        <v>80.304974614726021</v>
      </c>
      <c r="J13" s="157">
        <v>92.5</v>
      </c>
      <c r="K13" s="157">
        <f t="shared" si="18"/>
        <v>18.01629724362633</v>
      </c>
      <c r="L13" s="157">
        <f t="shared" si="19"/>
        <v>78.400000000000006</v>
      </c>
      <c r="M13" s="157">
        <f t="shared" si="9"/>
        <v>15.270029231354643</v>
      </c>
      <c r="N13" s="157">
        <f t="shared" si="20"/>
        <v>97</v>
      </c>
      <c r="O13" s="157">
        <f t="shared" si="21"/>
        <v>18.892765758181124</v>
      </c>
      <c r="P13" s="156">
        <f t="shared" si="10"/>
        <v>260</v>
      </c>
      <c r="Q13" s="156">
        <f t="shared" si="11"/>
        <v>34.38711719939117</v>
      </c>
      <c r="R13" s="156">
        <f t="shared" si="22"/>
        <v>193</v>
      </c>
      <c r="S13" s="156">
        <f t="shared" si="0"/>
        <v>25.525821613394218</v>
      </c>
      <c r="T13" s="156">
        <f t="shared" si="23"/>
        <v>99.3</v>
      </c>
      <c r="U13" s="156">
        <f t="shared" si="1"/>
        <v>13.133233607305934</v>
      </c>
      <c r="V13" s="156">
        <f t="shared" si="12"/>
        <v>79.8</v>
      </c>
      <c r="W13" s="156">
        <f t="shared" si="2"/>
        <v>10.554199817351599</v>
      </c>
      <c r="X13" s="159">
        <f t="shared" si="25"/>
        <v>170</v>
      </c>
      <c r="Y13" s="156">
        <f t="shared" si="13"/>
        <v>22.483884322678843</v>
      </c>
      <c r="Z13" s="156">
        <v>50</v>
      </c>
      <c r="AA13" s="156">
        <f t="shared" ref="AA13:AA76" si="26">AA12</f>
        <v>6.6129071537290711</v>
      </c>
      <c r="AB13" s="156">
        <v>629</v>
      </c>
      <c r="AC13" s="161">
        <f t="shared" si="3"/>
        <v>83.190371993911711</v>
      </c>
      <c r="AD13" s="160">
        <f>AD12-200</f>
        <v>201</v>
      </c>
      <c r="AE13" s="162">
        <f t="shared" si="4"/>
        <v>26.583886757990868</v>
      </c>
      <c r="AF13" s="24"/>
      <c r="AG13" s="24"/>
      <c r="AH13" s="149" t="s">
        <v>72</v>
      </c>
      <c r="AI13" s="150">
        <f t="shared" si="14"/>
        <v>614.43169743673889</v>
      </c>
      <c r="AJ13" s="151">
        <f t="shared" si="15"/>
        <v>99.451200704908672</v>
      </c>
      <c r="AK13" s="151">
        <f t="shared" si="16"/>
        <v>1255.6460733829424</v>
      </c>
      <c r="AL13" s="151">
        <f t="shared" si="5"/>
        <v>900</v>
      </c>
      <c r="AM13" s="151">
        <f>AI13+AJ13</f>
        <v>713.8828981416475</v>
      </c>
      <c r="AN13" s="270" t="s">
        <v>73</v>
      </c>
    </row>
    <row r="14" spans="1:43" s="1" customFormat="1" ht="14.25" x14ac:dyDescent="0.2">
      <c r="B14" s="155">
        <f t="shared" si="6"/>
        <v>6</v>
      </c>
      <c r="C14" s="157">
        <v>98.287569099526721</v>
      </c>
      <c r="D14" s="156">
        <v>1169</v>
      </c>
      <c r="E14" s="156">
        <f t="shared" si="17"/>
        <v>1091.0311218749996</v>
      </c>
      <c r="F14" s="157">
        <f t="shared" si="7"/>
        <v>350</v>
      </c>
      <c r="G14" s="157">
        <v>18</v>
      </c>
      <c r="H14" s="158">
        <v>8.65</v>
      </c>
      <c r="I14" s="156">
        <f t="shared" si="8"/>
        <v>80.304974614726021</v>
      </c>
      <c r="J14" s="157">
        <v>92.5</v>
      </c>
      <c r="K14" s="157">
        <f>((J14*($J$5/12))*325851)/(365*1440)</f>
        <v>18.01629724362633</v>
      </c>
      <c r="L14" s="157">
        <f t="shared" si="19"/>
        <v>78.400000000000006</v>
      </c>
      <c r="M14" s="157">
        <f t="shared" si="9"/>
        <v>15.270029231354643</v>
      </c>
      <c r="N14" s="157">
        <f t="shared" si="20"/>
        <v>97</v>
      </c>
      <c r="O14" s="157">
        <f t="shared" si="21"/>
        <v>18.892765758181124</v>
      </c>
      <c r="P14" s="156">
        <f t="shared" si="10"/>
        <v>260</v>
      </c>
      <c r="Q14" s="156">
        <f t="shared" si="11"/>
        <v>34.38711719939117</v>
      </c>
      <c r="R14" s="156">
        <f t="shared" si="22"/>
        <v>193</v>
      </c>
      <c r="S14" s="156">
        <f>((((($R$5)/12)*R14)*325851)/(365*1440))+((((($R$6)/12)*R14)*325851)/(365*1440))</f>
        <v>25.525821613394218</v>
      </c>
      <c r="T14" s="156">
        <f t="shared" si="23"/>
        <v>99.3</v>
      </c>
      <c r="U14" s="156">
        <f t="shared" si="1"/>
        <v>13.133233607305934</v>
      </c>
      <c r="V14" s="156">
        <f t="shared" si="12"/>
        <v>79.8</v>
      </c>
      <c r="W14" s="156">
        <f t="shared" si="2"/>
        <v>10.554199817351599</v>
      </c>
      <c r="X14" s="156">
        <f t="shared" si="25"/>
        <v>170</v>
      </c>
      <c r="Y14" s="156">
        <f t="shared" si="13"/>
        <v>22.483884322678843</v>
      </c>
      <c r="Z14" s="156">
        <v>50</v>
      </c>
      <c r="AA14" s="156">
        <f t="shared" si="26"/>
        <v>6.6129071537290711</v>
      </c>
      <c r="AB14" s="156">
        <v>629</v>
      </c>
      <c r="AC14" s="161">
        <f t="shared" si="3"/>
        <v>83.190371993911711</v>
      </c>
      <c r="AD14" s="160">
        <f>AD13-200</f>
        <v>1</v>
      </c>
      <c r="AE14" s="164">
        <f t="shared" si="4"/>
        <v>0.13225814307458142</v>
      </c>
      <c r="AF14" s="24"/>
      <c r="AG14" s="24"/>
      <c r="AH14" s="149" t="s">
        <v>74</v>
      </c>
      <c r="AI14" s="150">
        <f>F14+I14+K14+AA14+AC14+Q14+M14+G14+H14</f>
        <v>614.43169743673889</v>
      </c>
      <c r="AJ14" s="151">
        <f t="shared" si="15"/>
        <v>72.999572089992384</v>
      </c>
      <c r="AK14" s="150">
        <f t="shared" si="16"/>
        <v>1189.3186909745264</v>
      </c>
      <c r="AL14" s="150">
        <f t="shared" si="5"/>
        <v>1100</v>
      </c>
      <c r="AM14" s="150">
        <f>G14+I14+K14+M14+O14+Q14+U14+W14+Y14+AA14+AC14+AE14+H14+(S14*(59/193))</f>
        <v>337.43126952673134</v>
      </c>
      <c r="AN14" s="271">
        <f>C14+E14+F14</f>
        <v>1539.3186909745264</v>
      </c>
    </row>
    <row r="15" spans="1:43" ht="14.25" x14ac:dyDescent="0.2">
      <c r="B15" s="155">
        <f t="shared" si="6"/>
        <v>7</v>
      </c>
      <c r="C15" s="157">
        <v>90.247161825999299</v>
      </c>
      <c r="D15" s="156">
        <v>1169</v>
      </c>
      <c r="E15" s="156">
        <f t="shared" si="17"/>
        <v>1036.4795657812497</v>
      </c>
      <c r="F15" s="157">
        <f t="shared" si="7"/>
        <v>350</v>
      </c>
      <c r="G15" s="157">
        <v>18</v>
      </c>
      <c r="H15" s="158">
        <v>8.65</v>
      </c>
      <c r="I15" s="156">
        <f t="shared" si="8"/>
        <v>80.304974614726021</v>
      </c>
      <c r="J15" s="157">
        <v>92.5</v>
      </c>
      <c r="K15" s="157">
        <f t="shared" si="18"/>
        <v>18.01629724362633</v>
      </c>
      <c r="L15" s="157">
        <f t="shared" si="19"/>
        <v>78.400000000000006</v>
      </c>
      <c r="M15" s="157">
        <f t="shared" si="9"/>
        <v>15.270029231354643</v>
      </c>
      <c r="N15" s="157">
        <f t="shared" si="20"/>
        <v>97</v>
      </c>
      <c r="O15" s="157">
        <f t="shared" si="21"/>
        <v>18.892765758181124</v>
      </c>
      <c r="P15" s="156">
        <f t="shared" si="10"/>
        <v>260</v>
      </c>
      <c r="Q15" s="156">
        <f t="shared" si="11"/>
        <v>34.38711719939117</v>
      </c>
      <c r="R15" s="156">
        <f t="shared" si="22"/>
        <v>193</v>
      </c>
      <c r="S15" s="156">
        <f t="shared" si="0"/>
        <v>25.525821613394218</v>
      </c>
      <c r="T15" s="156">
        <f t="shared" si="23"/>
        <v>99.3</v>
      </c>
      <c r="U15" s="156">
        <f t="shared" si="1"/>
        <v>13.133233607305934</v>
      </c>
      <c r="V15" s="156">
        <f t="shared" si="12"/>
        <v>79.8</v>
      </c>
      <c r="W15" s="156">
        <f t="shared" si="2"/>
        <v>10.554199817351599</v>
      </c>
      <c r="X15" s="159">
        <f t="shared" si="25"/>
        <v>170</v>
      </c>
      <c r="Y15" s="156">
        <f t="shared" si="13"/>
        <v>22.483884322678843</v>
      </c>
      <c r="Z15" s="156">
        <v>50</v>
      </c>
      <c r="AA15" s="156">
        <f t="shared" si="26"/>
        <v>6.6129071537290711</v>
      </c>
      <c r="AB15" s="160">
        <v>430</v>
      </c>
      <c r="AC15" s="161">
        <f t="shared" si="3"/>
        <v>56.87100152207001</v>
      </c>
      <c r="AD15" s="160">
        <v>0</v>
      </c>
      <c r="AE15" s="165">
        <f t="shared" ref="AE15:AE46" si="27">((($AD$7/12)*$AD$4)*325851)/(365*1440)</f>
        <v>10.216424919140028</v>
      </c>
      <c r="AF15" s="24"/>
      <c r="AG15" s="24"/>
      <c r="AH15" s="149" t="s">
        <v>74</v>
      </c>
      <c r="AI15" s="150">
        <f t="shared" si="14"/>
        <v>588.11232696489719</v>
      </c>
      <c r="AJ15" s="151">
        <f t="shared" si="15"/>
        <v>83.083738866057828</v>
      </c>
      <c r="AK15" s="151">
        <f t="shared" si="16"/>
        <v>1126.7267276072489</v>
      </c>
      <c r="AL15" s="151">
        <f t="shared" si="5"/>
        <v>1300</v>
      </c>
      <c r="AM15" s="150">
        <f t="shared" ref="AM15:AM78" si="28">G15+I15+K15+M15+O15+Q15+U15+W15+Y15+AA15+AC15+AE15+H15+(S15*(59/193))</f>
        <v>321.19606583095509</v>
      </c>
      <c r="AN15" s="271">
        <f t="shared" ref="AN15:AN78" si="29">C15+E15+F15</f>
        <v>1476.7267276072489</v>
      </c>
    </row>
    <row r="16" spans="1:43" ht="14.25" x14ac:dyDescent="0.2">
      <c r="B16" s="155">
        <f t="shared" si="6"/>
        <v>8</v>
      </c>
      <c r="C16" s="157">
        <v>83.204068805968689</v>
      </c>
      <c r="D16" s="156">
        <v>1169</v>
      </c>
      <c r="E16" s="156">
        <f t="shared" si="17"/>
        <v>984.65558749218712</v>
      </c>
      <c r="F16" s="157">
        <f t="shared" si="7"/>
        <v>350</v>
      </c>
      <c r="G16" s="157">
        <v>18</v>
      </c>
      <c r="H16" s="158">
        <v>8.65</v>
      </c>
      <c r="I16" s="156">
        <f t="shared" si="8"/>
        <v>80.304974614726021</v>
      </c>
      <c r="J16" s="157">
        <v>92.5</v>
      </c>
      <c r="K16" s="157">
        <f t="shared" si="18"/>
        <v>18.01629724362633</v>
      </c>
      <c r="L16" s="157">
        <f t="shared" si="19"/>
        <v>78.400000000000006</v>
      </c>
      <c r="M16" s="157">
        <f t="shared" si="9"/>
        <v>15.270029231354643</v>
      </c>
      <c r="N16" s="157">
        <f t="shared" si="20"/>
        <v>97</v>
      </c>
      <c r="O16" s="157">
        <f t="shared" si="21"/>
        <v>18.892765758181124</v>
      </c>
      <c r="P16" s="156">
        <f t="shared" si="10"/>
        <v>260</v>
      </c>
      <c r="Q16" s="156">
        <f t="shared" si="11"/>
        <v>34.38711719939117</v>
      </c>
      <c r="R16" s="156">
        <f t="shared" si="22"/>
        <v>193</v>
      </c>
      <c r="S16" s="156">
        <f t="shared" si="0"/>
        <v>25.525821613394218</v>
      </c>
      <c r="T16" s="156">
        <f t="shared" si="23"/>
        <v>99.3</v>
      </c>
      <c r="U16" s="156">
        <f t="shared" si="1"/>
        <v>13.133233607305934</v>
      </c>
      <c r="V16" s="156">
        <f t="shared" si="12"/>
        <v>79.8</v>
      </c>
      <c r="W16" s="156">
        <f t="shared" si="2"/>
        <v>10.554199817351599</v>
      </c>
      <c r="X16" s="159">
        <f t="shared" si="25"/>
        <v>170</v>
      </c>
      <c r="Y16" s="156">
        <f t="shared" si="13"/>
        <v>22.483884322678843</v>
      </c>
      <c r="Z16" s="156">
        <v>50</v>
      </c>
      <c r="AA16" s="156">
        <f t="shared" si="26"/>
        <v>6.6129071537290711</v>
      </c>
      <c r="AB16" s="160">
        <f>AB15-200</f>
        <v>230</v>
      </c>
      <c r="AC16" s="161">
        <f t="shared" si="3"/>
        <v>30.419372907153729</v>
      </c>
      <c r="AD16" s="156">
        <f t="shared" ref="AD16:AD79" si="30">AD15</f>
        <v>0</v>
      </c>
      <c r="AE16" s="166">
        <f t="shared" si="27"/>
        <v>10.216424919140028</v>
      </c>
      <c r="AF16" s="24"/>
      <c r="AG16" s="24"/>
      <c r="AH16" s="149" t="s">
        <v>74</v>
      </c>
      <c r="AI16" s="150">
        <f t="shared" si="14"/>
        <v>561.66069834998098</v>
      </c>
      <c r="AJ16" s="151">
        <f t="shared" si="15"/>
        <v>83.083738866057828</v>
      </c>
      <c r="AK16" s="151">
        <f t="shared" si="16"/>
        <v>1067.8596562981559</v>
      </c>
      <c r="AL16" s="151">
        <f t="shared" si="5"/>
        <v>1500</v>
      </c>
      <c r="AM16" s="150">
        <f t="shared" si="28"/>
        <v>294.74443721603882</v>
      </c>
      <c r="AN16" s="271">
        <f t="shared" si="29"/>
        <v>1417.8596562981559</v>
      </c>
    </row>
    <row r="17" spans="2:40" ht="14.25" x14ac:dyDescent="0.2">
      <c r="B17" s="155">
        <f t="shared" si="6"/>
        <v>9</v>
      </c>
      <c r="C17" s="157">
        <v>77.131491810195655</v>
      </c>
      <c r="D17" s="156">
        <v>1169</v>
      </c>
      <c r="E17" s="156">
        <f t="shared" si="17"/>
        <v>935.42280811757769</v>
      </c>
      <c r="F17" s="157">
        <f t="shared" si="7"/>
        <v>350</v>
      </c>
      <c r="G17" s="157">
        <v>18</v>
      </c>
      <c r="H17" s="158">
        <v>8.65</v>
      </c>
      <c r="I17" s="156">
        <f t="shared" si="8"/>
        <v>80.304974614726021</v>
      </c>
      <c r="J17" s="157">
        <v>92.5</v>
      </c>
      <c r="K17" s="157">
        <f t="shared" si="18"/>
        <v>18.01629724362633</v>
      </c>
      <c r="L17" s="157">
        <f t="shared" si="19"/>
        <v>78.400000000000006</v>
      </c>
      <c r="M17" s="157">
        <f t="shared" si="9"/>
        <v>15.270029231354643</v>
      </c>
      <c r="N17" s="157">
        <f t="shared" si="20"/>
        <v>97</v>
      </c>
      <c r="O17" s="157">
        <f t="shared" si="21"/>
        <v>18.892765758181124</v>
      </c>
      <c r="P17" s="156">
        <f t="shared" si="10"/>
        <v>260</v>
      </c>
      <c r="Q17" s="156">
        <f t="shared" si="11"/>
        <v>34.38711719939117</v>
      </c>
      <c r="R17" s="156">
        <f t="shared" si="22"/>
        <v>193</v>
      </c>
      <c r="S17" s="156">
        <f t="shared" si="0"/>
        <v>25.525821613394218</v>
      </c>
      <c r="T17" s="156">
        <f t="shared" si="23"/>
        <v>99.3</v>
      </c>
      <c r="U17" s="156">
        <f t="shared" si="1"/>
        <v>13.133233607305934</v>
      </c>
      <c r="V17" s="156">
        <f t="shared" si="12"/>
        <v>79.8</v>
      </c>
      <c r="W17" s="156">
        <f t="shared" si="2"/>
        <v>10.554199817351599</v>
      </c>
      <c r="X17" s="159">
        <f t="shared" si="25"/>
        <v>170</v>
      </c>
      <c r="Y17" s="156">
        <f t="shared" si="13"/>
        <v>22.483884322678843</v>
      </c>
      <c r="Z17" s="156">
        <v>50</v>
      </c>
      <c r="AA17" s="156">
        <f>AA16</f>
        <v>6.6129071537290711</v>
      </c>
      <c r="AB17" s="160">
        <f>AB16-200</f>
        <v>30</v>
      </c>
      <c r="AC17" s="161">
        <f t="shared" si="3"/>
        <v>3.9677442922374424</v>
      </c>
      <c r="AD17" s="156">
        <f t="shared" si="30"/>
        <v>0</v>
      </c>
      <c r="AE17" s="166">
        <f t="shared" si="27"/>
        <v>10.216424919140028</v>
      </c>
      <c r="AF17" s="24"/>
      <c r="AG17" s="24"/>
      <c r="AH17" s="149" t="s">
        <v>74</v>
      </c>
      <c r="AI17" s="150">
        <f t="shared" si="14"/>
        <v>535.20906973506465</v>
      </c>
      <c r="AJ17" s="151">
        <f t="shared" si="15"/>
        <v>83.083738866057828</v>
      </c>
      <c r="AK17" s="151">
        <f t="shared" si="16"/>
        <v>1012.5542999277734</v>
      </c>
      <c r="AL17" s="151">
        <f t="shared" si="5"/>
        <v>1700</v>
      </c>
      <c r="AM17" s="150">
        <f t="shared" si="28"/>
        <v>268.29280860112254</v>
      </c>
      <c r="AN17" s="271">
        <f t="shared" si="29"/>
        <v>1362.5542999277734</v>
      </c>
    </row>
    <row r="18" spans="2:40" ht="14.25" x14ac:dyDescent="0.2">
      <c r="B18" s="155">
        <f t="shared" si="6"/>
        <v>10</v>
      </c>
      <c r="C18" s="157">
        <v>71.930031329392392</v>
      </c>
      <c r="D18" s="156">
        <v>1169</v>
      </c>
      <c r="E18" s="156">
        <f t="shared" si="17"/>
        <v>888.65166771169879</v>
      </c>
      <c r="F18" s="157">
        <f t="shared" si="7"/>
        <v>350</v>
      </c>
      <c r="G18" s="157">
        <v>18</v>
      </c>
      <c r="H18" s="158">
        <v>8.65</v>
      </c>
      <c r="I18" s="156">
        <f t="shared" si="8"/>
        <v>80.304974614726021</v>
      </c>
      <c r="J18" s="157">
        <v>92.5</v>
      </c>
      <c r="K18" s="157">
        <f t="shared" si="18"/>
        <v>18.01629724362633</v>
      </c>
      <c r="L18" s="157">
        <f t="shared" si="19"/>
        <v>78.400000000000006</v>
      </c>
      <c r="M18" s="157">
        <f t="shared" si="9"/>
        <v>15.270029231354643</v>
      </c>
      <c r="N18" s="157">
        <f t="shared" si="20"/>
        <v>97</v>
      </c>
      <c r="O18" s="157">
        <f t="shared" si="21"/>
        <v>18.892765758181124</v>
      </c>
      <c r="P18" s="156">
        <f t="shared" si="10"/>
        <v>260</v>
      </c>
      <c r="Q18" s="156">
        <f t="shared" si="11"/>
        <v>34.38711719939117</v>
      </c>
      <c r="R18" s="156">
        <f t="shared" si="22"/>
        <v>193</v>
      </c>
      <c r="S18" s="156">
        <f t="shared" si="0"/>
        <v>25.525821613394218</v>
      </c>
      <c r="T18" s="156">
        <f t="shared" si="23"/>
        <v>99.3</v>
      </c>
      <c r="U18" s="156">
        <f t="shared" si="1"/>
        <v>13.133233607305934</v>
      </c>
      <c r="V18" s="156">
        <f t="shared" si="12"/>
        <v>79.8</v>
      </c>
      <c r="W18" s="156">
        <f t="shared" si="2"/>
        <v>10.554199817351599</v>
      </c>
      <c r="X18" s="163">
        <v>0</v>
      </c>
      <c r="Y18" s="167">
        <f>((($X$7/12)*$X$4)*325851)/(365*1440)</f>
        <v>3.4872752568493151</v>
      </c>
      <c r="Z18" s="156">
        <v>50</v>
      </c>
      <c r="AA18" s="156">
        <f t="shared" si="26"/>
        <v>6.6129071537290711</v>
      </c>
      <c r="AB18" s="160">
        <v>0</v>
      </c>
      <c r="AC18" s="168">
        <f t="shared" ref="AC18:AC49" si="31">((($AB$7/12)*$AB$4)*325851)/(365*1440)</f>
        <v>8.1240597650304416</v>
      </c>
      <c r="AD18" s="156">
        <f t="shared" si="30"/>
        <v>0</v>
      </c>
      <c r="AE18" s="166">
        <f t="shared" si="27"/>
        <v>10.216424919140028</v>
      </c>
      <c r="AF18" s="24"/>
      <c r="AG18" s="24"/>
      <c r="AH18" s="149" t="s">
        <v>74</v>
      </c>
      <c r="AI18" s="150">
        <f t="shared" si="14"/>
        <v>539.36538520785768</v>
      </c>
      <c r="AJ18" s="151">
        <f t="shared" si="15"/>
        <v>64.087129800228297</v>
      </c>
      <c r="AK18" s="151">
        <f t="shared" si="16"/>
        <v>960.58169904109116</v>
      </c>
      <c r="AL18" s="151">
        <f t="shared" si="5"/>
        <v>1900</v>
      </c>
      <c r="AM18" s="150">
        <f t="shared" si="28"/>
        <v>253.45251500808598</v>
      </c>
      <c r="AN18" s="271">
        <f t="shared" si="29"/>
        <v>1310.5816990410913</v>
      </c>
    </row>
    <row r="19" spans="2:40" ht="14.25" x14ac:dyDescent="0.2">
      <c r="B19" s="155">
        <f t="shared" si="6"/>
        <v>11</v>
      </c>
      <c r="C19" s="157">
        <v>67.46821143065624</v>
      </c>
      <c r="D19" s="156">
        <v>1169</v>
      </c>
      <c r="E19" s="156">
        <f t="shared" si="17"/>
        <v>844.21908432611383</v>
      </c>
      <c r="F19" s="157">
        <f t="shared" si="7"/>
        <v>350</v>
      </c>
      <c r="G19" s="157">
        <v>18</v>
      </c>
      <c r="H19" s="158">
        <v>8.65</v>
      </c>
      <c r="I19" s="156">
        <f t="shared" si="8"/>
        <v>80.304974614726021</v>
      </c>
      <c r="J19" s="157">
        <v>92.5</v>
      </c>
      <c r="K19" s="157">
        <f t="shared" si="18"/>
        <v>18.01629724362633</v>
      </c>
      <c r="L19" s="157">
        <f t="shared" si="19"/>
        <v>78.400000000000006</v>
      </c>
      <c r="M19" s="157">
        <f t="shared" si="9"/>
        <v>15.270029231354643</v>
      </c>
      <c r="N19" s="157">
        <f t="shared" si="20"/>
        <v>97</v>
      </c>
      <c r="O19" s="157">
        <f t="shared" si="21"/>
        <v>18.892765758181124</v>
      </c>
      <c r="P19" s="156">
        <f t="shared" si="10"/>
        <v>260</v>
      </c>
      <c r="Q19" s="156">
        <f t="shared" si="11"/>
        <v>34.38711719939117</v>
      </c>
      <c r="R19" s="160">
        <v>172</v>
      </c>
      <c r="S19" s="161">
        <f t="shared" si="0"/>
        <v>22.748400608828003</v>
      </c>
      <c r="T19" s="160">
        <v>0</v>
      </c>
      <c r="U19" s="169">
        <f>((($T$7/12)*$T$4)*325851)/(365*1440)</f>
        <v>1.28254234446347</v>
      </c>
      <c r="V19" s="160">
        <v>0</v>
      </c>
      <c r="W19" s="168">
        <f t="shared" ref="W19:W50" si="32">((($V$7/12)*$V$4)*325851)/(365*1440)</f>
        <v>1.030683575913242</v>
      </c>
      <c r="X19" s="159">
        <v>0</v>
      </c>
      <c r="Y19" s="170">
        <f t="shared" ref="Y19:Y49" si="33">((($X$7/12)*$X$4)*325851)/(365*1440)</f>
        <v>3.4872752568493151</v>
      </c>
      <c r="Z19" s="156">
        <v>50</v>
      </c>
      <c r="AA19" s="156">
        <f t="shared" si="26"/>
        <v>6.6129071537290711</v>
      </c>
      <c r="AB19" s="156">
        <v>0</v>
      </c>
      <c r="AC19" s="171">
        <f t="shared" si="31"/>
        <v>8.1240597650304416</v>
      </c>
      <c r="AD19" s="156">
        <f t="shared" si="30"/>
        <v>0</v>
      </c>
      <c r="AE19" s="166">
        <f t="shared" si="27"/>
        <v>10.216424919140028</v>
      </c>
      <c r="AF19" s="24"/>
      <c r="AG19" s="24"/>
      <c r="AH19" s="149" t="s">
        <v>74</v>
      </c>
      <c r="AI19" s="150">
        <f t="shared" si="14"/>
        <v>539.36538520785768</v>
      </c>
      <c r="AJ19" s="151">
        <f t="shared" si="15"/>
        <v>41.863866133929832</v>
      </c>
      <c r="AK19" s="151">
        <f t="shared" si="16"/>
        <v>911.68729575677003</v>
      </c>
      <c r="AL19" s="151">
        <f t="shared" si="5"/>
        <v>2100.1</v>
      </c>
      <c r="AM19" s="150">
        <f t="shared" si="28"/>
        <v>231.22925134178752</v>
      </c>
      <c r="AN19" s="271">
        <f t="shared" si="29"/>
        <v>1261.68729575677</v>
      </c>
    </row>
    <row r="20" spans="2:40" ht="14.25" x14ac:dyDescent="0.2">
      <c r="B20" s="155">
        <f t="shared" si="6"/>
        <v>12</v>
      </c>
      <c r="C20" s="157">
        <v>63.624038221472823</v>
      </c>
      <c r="D20" s="156">
        <v>1169</v>
      </c>
      <c r="E20" s="156">
        <f t="shared" si="17"/>
        <v>802.00813010980812</v>
      </c>
      <c r="F20" s="157">
        <f t="shared" si="7"/>
        <v>350</v>
      </c>
      <c r="G20" s="157">
        <v>18</v>
      </c>
      <c r="H20" s="158">
        <v>8.65</v>
      </c>
      <c r="I20" s="156">
        <f t="shared" si="8"/>
        <v>80.304974614726021</v>
      </c>
      <c r="J20" s="157">
        <v>92.5</v>
      </c>
      <c r="K20" s="157">
        <f>((J20*($J$5/12))*325851)/(365*1440)</f>
        <v>18.01629724362633</v>
      </c>
      <c r="L20" s="157">
        <f t="shared" si="19"/>
        <v>78.400000000000006</v>
      </c>
      <c r="M20" s="157">
        <f>((L20*($L$5/12))*325851)/(365*1440)</f>
        <v>15.270029231354643</v>
      </c>
      <c r="N20" s="157">
        <f t="shared" si="20"/>
        <v>97</v>
      </c>
      <c r="O20" s="157">
        <f t="shared" si="21"/>
        <v>18.892765758181124</v>
      </c>
      <c r="P20" s="160">
        <v>232</v>
      </c>
      <c r="Q20" s="161">
        <f>((((($P$5)/12)*P20)*325851)/(365*1440))+((((($P$6)/12)*P20)*325851)/(365*1440))</f>
        <v>30.683889193302889</v>
      </c>
      <c r="R20" s="160">
        <v>0</v>
      </c>
      <c r="S20" s="169">
        <f>((($R$7/12)*$R$4)*325851)/(365*1440)</f>
        <v>2.4927560169330287</v>
      </c>
      <c r="T20" s="156">
        <v>0</v>
      </c>
      <c r="U20" s="171">
        <f t="shared" ref="U20:U50" si="34">((($T$7/12)*$T$4)*325851)/(365*1440)</f>
        <v>1.28254234446347</v>
      </c>
      <c r="V20" s="156">
        <v>0</v>
      </c>
      <c r="W20" s="171">
        <f t="shared" si="32"/>
        <v>1.030683575913242</v>
      </c>
      <c r="X20" s="159">
        <v>0</v>
      </c>
      <c r="Y20" s="170">
        <f t="shared" si="33"/>
        <v>3.4872752568493151</v>
      </c>
      <c r="Z20" s="156">
        <v>50</v>
      </c>
      <c r="AA20" s="156">
        <f t="shared" si="26"/>
        <v>6.6129071537290711</v>
      </c>
      <c r="AB20" s="156">
        <v>0</v>
      </c>
      <c r="AC20" s="171">
        <f t="shared" si="31"/>
        <v>8.1240597650304416</v>
      </c>
      <c r="AD20" s="156">
        <f t="shared" si="30"/>
        <v>0</v>
      </c>
      <c r="AE20" s="166">
        <f t="shared" si="27"/>
        <v>10.216424919140028</v>
      </c>
      <c r="AF20" s="24"/>
      <c r="AG20" s="24"/>
      <c r="AH20" s="149" t="s">
        <v>74</v>
      </c>
      <c r="AI20" s="150">
        <f t="shared" si="14"/>
        <v>535.66215720176945</v>
      </c>
      <c r="AJ20" s="151">
        <f t="shared" si="15"/>
        <v>35.671726077340175</v>
      </c>
      <c r="AK20" s="151">
        <f t="shared" si="16"/>
        <v>865.63216833128092</v>
      </c>
      <c r="AL20" s="151">
        <f t="shared" si="5"/>
        <v>2300.1</v>
      </c>
      <c r="AM20" s="150">
        <f t="shared" si="28"/>
        <v>221.33388327910959</v>
      </c>
      <c r="AN20" s="271">
        <f t="shared" si="29"/>
        <v>1215.6321683312808</v>
      </c>
    </row>
    <row r="21" spans="2:40" ht="14.25" x14ac:dyDescent="0.2">
      <c r="B21" s="155">
        <f t="shared" si="6"/>
        <v>13</v>
      </c>
      <c r="C21" s="157">
        <v>60.298856676212743</v>
      </c>
      <c r="D21" s="156">
        <v>1169</v>
      </c>
      <c r="E21" s="156">
        <f>E20*0.95</f>
        <v>761.90772360431765</v>
      </c>
      <c r="F21" s="157">
        <f t="shared" si="7"/>
        <v>350</v>
      </c>
      <c r="G21" s="157">
        <v>18</v>
      </c>
      <c r="H21" s="158">
        <v>8.65</v>
      </c>
      <c r="I21" s="156">
        <f t="shared" si="8"/>
        <v>80.304974614726021</v>
      </c>
      <c r="J21" s="157">
        <v>92.5</v>
      </c>
      <c r="K21" s="157">
        <f t="shared" si="18"/>
        <v>18.01629724362633</v>
      </c>
      <c r="L21" s="157">
        <f t="shared" si="19"/>
        <v>78.400000000000006</v>
      </c>
      <c r="M21" s="157">
        <f>((L21*($L$5/12))*325851)/(365*1440)</f>
        <v>15.270029231354643</v>
      </c>
      <c r="N21" s="157">
        <v>97</v>
      </c>
      <c r="O21" s="156">
        <f t="shared" si="21"/>
        <v>18.892765758181124</v>
      </c>
      <c r="P21" s="160">
        <v>32</v>
      </c>
      <c r="Q21" s="161">
        <f>((((($P$5)/12)*P21)*325851)/(365*1440))+((((($P$6)/12)*P21)*325851)/(365*1440))</f>
        <v>4.2322605783866054</v>
      </c>
      <c r="R21" s="156">
        <v>0</v>
      </c>
      <c r="S21" s="172">
        <f>((($R$7/12)*$R$4)*325851)/(365*1440)</f>
        <v>2.4927560169330287</v>
      </c>
      <c r="T21" s="156">
        <v>0</v>
      </c>
      <c r="U21" s="171">
        <f t="shared" si="34"/>
        <v>1.28254234446347</v>
      </c>
      <c r="V21" s="156">
        <v>0</v>
      </c>
      <c r="W21" s="171">
        <f t="shared" si="32"/>
        <v>1.030683575913242</v>
      </c>
      <c r="X21" s="159">
        <v>0</v>
      </c>
      <c r="Y21" s="170">
        <f t="shared" si="33"/>
        <v>3.4872752568493151</v>
      </c>
      <c r="Z21" s="156">
        <v>50</v>
      </c>
      <c r="AA21" s="156">
        <f t="shared" si="26"/>
        <v>6.6129071537290711</v>
      </c>
      <c r="AB21" s="156">
        <v>0</v>
      </c>
      <c r="AC21" s="171">
        <f t="shared" si="31"/>
        <v>8.1240597650304416</v>
      </c>
      <c r="AD21" s="156">
        <f t="shared" ref="AD21:AD75" si="35">AD20</f>
        <v>0</v>
      </c>
      <c r="AE21" s="166">
        <f t="shared" si="27"/>
        <v>10.216424919140028</v>
      </c>
      <c r="AF21" s="24"/>
      <c r="AG21" s="24"/>
      <c r="AH21" s="149" t="s">
        <v>74</v>
      </c>
      <c r="AI21" s="150">
        <f t="shared" si="14"/>
        <v>509.21052858685312</v>
      </c>
      <c r="AJ21" s="151">
        <f t="shared" si="15"/>
        <v>35.671726077340175</v>
      </c>
      <c r="AK21" s="151">
        <f t="shared" si="16"/>
        <v>822.20658028053037</v>
      </c>
      <c r="AL21" s="151">
        <f t="shared" si="5"/>
        <v>2500.1</v>
      </c>
      <c r="AM21" s="150">
        <f t="shared" si="28"/>
        <v>194.88225466419331</v>
      </c>
      <c r="AN21" s="271">
        <f t="shared" si="29"/>
        <v>1172.2065802805305</v>
      </c>
    </row>
    <row r="22" spans="2:40" ht="14.25" x14ac:dyDescent="0.2">
      <c r="B22" s="155">
        <f t="shared" si="6"/>
        <v>14</v>
      </c>
      <c r="C22" s="157">
        <v>57.407247180188897</v>
      </c>
      <c r="D22" s="156">
        <v>1169</v>
      </c>
      <c r="E22" s="156">
        <f t="shared" si="17"/>
        <v>723.81233742410177</v>
      </c>
      <c r="F22" s="157">
        <f t="shared" si="7"/>
        <v>350</v>
      </c>
      <c r="G22" s="157">
        <v>18</v>
      </c>
      <c r="H22" s="158">
        <v>8.65</v>
      </c>
      <c r="I22" s="156">
        <f t="shared" si="8"/>
        <v>80.304974614726021</v>
      </c>
      <c r="J22" s="157">
        <v>93</v>
      </c>
      <c r="K22" s="156">
        <f t="shared" si="18"/>
        <v>18.11368263413242</v>
      </c>
      <c r="L22" s="173">
        <v>7</v>
      </c>
      <c r="M22" s="161">
        <f>((L22*($L$5/12))*325851)/(365*1440)</f>
        <v>1.363395467085236</v>
      </c>
      <c r="N22" s="173">
        <v>0</v>
      </c>
      <c r="O22" s="161">
        <f>((N22*($N$5/12))*325851)/(365*1440)</f>
        <v>0</v>
      </c>
      <c r="P22" s="160">
        <v>0</v>
      </c>
      <c r="Q22" s="169">
        <f>((($P$7/12)*$P$4)*325851)/(365*1440)</f>
        <v>3.3581169140030438</v>
      </c>
      <c r="R22" s="156">
        <v>0</v>
      </c>
      <c r="S22" s="172">
        <f t="shared" ref="S22:S51" si="36">((($R$7/12)*$R$4)*325851)/(365*1440)</f>
        <v>2.4927560169330287</v>
      </c>
      <c r="T22" s="156">
        <v>0</v>
      </c>
      <c r="U22" s="171">
        <f t="shared" si="34"/>
        <v>1.28254234446347</v>
      </c>
      <c r="V22" s="156">
        <v>0</v>
      </c>
      <c r="W22" s="171">
        <f t="shared" si="32"/>
        <v>1.030683575913242</v>
      </c>
      <c r="X22" s="159">
        <v>0</v>
      </c>
      <c r="Y22" s="170">
        <f t="shared" si="33"/>
        <v>3.4872752568493151</v>
      </c>
      <c r="Z22" s="156">
        <v>50</v>
      </c>
      <c r="AA22" s="156">
        <f t="shared" si="26"/>
        <v>6.6129071537290711</v>
      </c>
      <c r="AB22" s="156">
        <v>0</v>
      </c>
      <c r="AC22" s="171">
        <f t="shared" si="31"/>
        <v>8.1240597650304416</v>
      </c>
      <c r="AD22" s="156">
        <f t="shared" si="35"/>
        <v>0</v>
      </c>
      <c r="AE22" s="166">
        <f t="shared" si="27"/>
        <v>10.216424919140028</v>
      </c>
      <c r="AF22" s="24"/>
      <c r="AG22" s="24"/>
      <c r="AH22" s="149" t="s">
        <v>74</v>
      </c>
      <c r="AI22" s="150">
        <f t="shared" si="14"/>
        <v>494.52713654870621</v>
      </c>
      <c r="AJ22" s="151">
        <f t="shared" si="15"/>
        <v>16.778960319159054</v>
      </c>
      <c r="AK22" s="151">
        <f t="shared" si="16"/>
        <v>781.21958460429062</v>
      </c>
      <c r="AL22" s="151">
        <f t="shared" si="5"/>
        <v>2700</v>
      </c>
      <c r="AM22" s="150">
        <f t="shared" si="28"/>
        <v>161.30609686786531</v>
      </c>
      <c r="AN22" s="271">
        <f t="shared" si="29"/>
        <v>1131.2195846042905</v>
      </c>
    </row>
    <row r="23" spans="2:40" ht="14.25" x14ac:dyDescent="0.2">
      <c r="B23" s="155">
        <f t="shared" si="6"/>
        <v>15</v>
      </c>
      <c r="C23" s="157">
        <v>54.862769296672361</v>
      </c>
      <c r="D23" s="160">
        <v>1069</v>
      </c>
      <c r="E23" s="156">
        <f t="shared" si="17"/>
        <v>687.6217205528967</v>
      </c>
      <c r="F23" s="157">
        <f t="shared" si="7"/>
        <v>350</v>
      </c>
      <c r="G23" s="157">
        <v>18</v>
      </c>
      <c r="H23" s="158">
        <v>8.65</v>
      </c>
      <c r="I23" s="156">
        <f t="shared" si="8"/>
        <v>80.304974614726021</v>
      </c>
      <c r="J23" s="173">
        <v>0</v>
      </c>
      <c r="K23" s="161">
        <f t="shared" si="18"/>
        <v>0</v>
      </c>
      <c r="L23" s="173">
        <v>0</v>
      </c>
      <c r="M23" s="161">
        <f t="shared" ref="M23:M74" si="37">((L23*($N$5/12))*325851)/(365*1440)</f>
        <v>0</v>
      </c>
      <c r="N23" s="157">
        <v>0</v>
      </c>
      <c r="O23" s="157">
        <f t="shared" si="21"/>
        <v>0</v>
      </c>
      <c r="P23" s="156">
        <v>0</v>
      </c>
      <c r="Q23" s="172">
        <f t="shared" ref="Q23:Q52" si="38">((($P$7/12)*$P$4)*325851)/(365*1440)</f>
        <v>3.3581169140030438</v>
      </c>
      <c r="R23" s="156">
        <v>0</v>
      </c>
      <c r="S23" s="172">
        <f t="shared" si="36"/>
        <v>2.4927560169330287</v>
      </c>
      <c r="T23" s="156">
        <v>0</v>
      </c>
      <c r="U23" s="171">
        <f t="shared" si="34"/>
        <v>1.28254234446347</v>
      </c>
      <c r="V23" s="156">
        <v>0</v>
      </c>
      <c r="W23" s="171">
        <f t="shared" si="32"/>
        <v>1.030683575913242</v>
      </c>
      <c r="X23" s="159">
        <v>0</v>
      </c>
      <c r="Y23" s="170">
        <f t="shared" si="33"/>
        <v>3.4872752568493151</v>
      </c>
      <c r="Z23" s="156">
        <v>50</v>
      </c>
      <c r="AA23" s="156">
        <f t="shared" si="26"/>
        <v>6.6129071537290711</v>
      </c>
      <c r="AB23" s="156">
        <v>0</v>
      </c>
      <c r="AC23" s="171">
        <f t="shared" si="31"/>
        <v>8.1240597650304416</v>
      </c>
      <c r="AD23" s="156">
        <f t="shared" si="35"/>
        <v>0</v>
      </c>
      <c r="AE23" s="166">
        <f t="shared" si="27"/>
        <v>10.216424919140028</v>
      </c>
      <c r="AF23" s="24"/>
      <c r="AG23" s="24"/>
      <c r="AH23" s="149" t="s">
        <v>74</v>
      </c>
      <c r="AI23" s="150">
        <f t="shared" si="14"/>
        <v>475.05005844748854</v>
      </c>
      <c r="AJ23" s="151">
        <f t="shared" si="15"/>
        <v>16.778960319159054</v>
      </c>
      <c r="AK23" s="151">
        <f t="shared" si="16"/>
        <v>742.48448984956906</v>
      </c>
      <c r="AL23" s="151">
        <f t="shared" si="5"/>
        <v>2900</v>
      </c>
      <c r="AM23" s="150">
        <f t="shared" si="28"/>
        <v>141.82901876664764</v>
      </c>
      <c r="AN23" s="271">
        <f t="shared" si="29"/>
        <v>1092.4844898495689</v>
      </c>
    </row>
    <row r="24" spans="2:40" ht="14.25" x14ac:dyDescent="0.2">
      <c r="B24" s="155">
        <f t="shared" si="6"/>
        <v>16</v>
      </c>
      <c r="C24" s="157">
        <v>52.620527336028076</v>
      </c>
      <c r="D24" s="160">
        <f>D23-200</f>
        <v>869</v>
      </c>
      <c r="E24" s="156">
        <f t="shared" si="17"/>
        <v>653.24063452525183</v>
      </c>
      <c r="F24" s="157">
        <f t="shared" si="7"/>
        <v>350</v>
      </c>
      <c r="G24" s="157">
        <v>18</v>
      </c>
      <c r="H24" s="158">
        <v>8.65</v>
      </c>
      <c r="I24" s="156">
        <f t="shared" si="8"/>
        <v>80.304974614726021</v>
      </c>
      <c r="J24" s="157">
        <v>0</v>
      </c>
      <c r="K24" s="157">
        <f t="shared" si="18"/>
        <v>0</v>
      </c>
      <c r="L24" s="157">
        <v>0</v>
      </c>
      <c r="M24" s="157">
        <f t="shared" si="37"/>
        <v>0</v>
      </c>
      <c r="N24" s="157">
        <v>0</v>
      </c>
      <c r="O24" s="157">
        <f t="shared" si="21"/>
        <v>0</v>
      </c>
      <c r="P24" s="156">
        <v>0</v>
      </c>
      <c r="Q24" s="172">
        <f t="shared" si="38"/>
        <v>3.3581169140030438</v>
      </c>
      <c r="R24" s="156">
        <v>0</v>
      </c>
      <c r="S24" s="172">
        <f t="shared" si="36"/>
        <v>2.4927560169330287</v>
      </c>
      <c r="T24" s="156">
        <v>0</v>
      </c>
      <c r="U24" s="171">
        <f t="shared" si="34"/>
        <v>1.28254234446347</v>
      </c>
      <c r="V24" s="156">
        <v>0</v>
      </c>
      <c r="W24" s="171">
        <f t="shared" si="32"/>
        <v>1.030683575913242</v>
      </c>
      <c r="X24" s="159">
        <v>0</v>
      </c>
      <c r="Y24" s="170">
        <f t="shared" si="33"/>
        <v>3.4872752568493151</v>
      </c>
      <c r="Z24" s="156">
        <v>50</v>
      </c>
      <c r="AA24" s="156">
        <f t="shared" si="26"/>
        <v>6.6129071537290711</v>
      </c>
      <c r="AB24" s="156">
        <v>0</v>
      </c>
      <c r="AC24" s="171">
        <f t="shared" si="31"/>
        <v>8.1240597650304416</v>
      </c>
      <c r="AD24" s="156">
        <f t="shared" si="35"/>
        <v>0</v>
      </c>
      <c r="AE24" s="166">
        <f t="shared" si="27"/>
        <v>10.216424919140028</v>
      </c>
      <c r="AF24" s="24"/>
      <c r="AG24" s="24"/>
      <c r="AH24" s="149" t="s">
        <v>74</v>
      </c>
      <c r="AI24" s="150">
        <f t="shared" si="14"/>
        <v>475.05005844748854</v>
      </c>
      <c r="AJ24" s="151">
        <f t="shared" si="15"/>
        <v>16.778960319159054</v>
      </c>
      <c r="AK24" s="151">
        <f t="shared" si="16"/>
        <v>705.86116186127992</v>
      </c>
      <c r="AL24" s="151">
        <f t="shared" si="5"/>
        <v>3100</v>
      </c>
      <c r="AM24" s="150">
        <f t="shared" si="28"/>
        <v>141.82901876664764</v>
      </c>
      <c r="AN24" s="271">
        <f t="shared" si="29"/>
        <v>1055.8611618612799</v>
      </c>
    </row>
    <row r="25" spans="2:40" ht="14.25" x14ac:dyDescent="0.2">
      <c r="B25" s="155">
        <f t="shared" si="6"/>
        <v>17</v>
      </c>
      <c r="C25" s="157">
        <v>50.611714772441346</v>
      </c>
      <c r="D25" s="160">
        <f t="shared" ref="D25:D26" si="39">D24-200</f>
        <v>669</v>
      </c>
      <c r="E25" s="156">
        <f t="shared" si="17"/>
        <v>620.57860279898921</v>
      </c>
      <c r="F25" s="157">
        <f t="shared" si="7"/>
        <v>350</v>
      </c>
      <c r="G25" s="157">
        <v>18</v>
      </c>
      <c r="H25" s="158">
        <v>8.65</v>
      </c>
      <c r="I25" s="156">
        <f t="shared" si="8"/>
        <v>80.304974614726021</v>
      </c>
      <c r="J25" s="157">
        <v>0</v>
      </c>
      <c r="K25" s="157">
        <f t="shared" si="18"/>
        <v>0</v>
      </c>
      <c r="L25" s="157">
        <v>0</v>
      </c>
      <c r="M25" s="157">
        <f t="shared" si="37"/>
        <v>0</v>
      </c>
      <c r="N25" s="157">
        <v>0</v>
      </c>
      <c r="O25" s="157">
        <f t="shared" si="21"/>
        <v>0</v>
      </c>
      <c r="P25" s="156">
        <v>0</v>
      </c>
      <c r="Q25" s="172">
        <f t="shared" si="38"/>
        <v>3.3581169140030438</v>
      </c>
      <c r="R25" s="156">
        <v>0</v>
      </c>
      <c r="S25" s="172">
        <f t="shared" si="36"/>
        <v>2.4927560169330287</v>
      </c>
      <c r="T25" s="156">
        <v>0</v>
      </c>
      <c r="U25" s="171">
        <f t="shared" si="34"/>
        <v>1.28254234446347</v>
      </c>
      <c r="V25" s="156">
        <v>0</v>
      </c>
      <c r="W25" s="171">
        <f t="shared" si="32"/>
        <v>1.030683575913242</v>
      </c>
      <c r="X25" s="159">
        <v>0</v>
      </c>
      <c r="Y25" s="170">
        <f t="shared" si="33"/>
        <v>3.4872752568493151</v>
      </c>
      <c r="Z25" s="156">
        <v>50</v>
      </c>
      <c r="AA25" s="156">
        <f t="shared" si="26"/>
        <v>6.6129071537290711</v>
      </c>
      <c r="AB25" s="156">
        <v>0</v>
      </c>
      <c r="AC25" s="171">
        <f t="shared" si="31"/>
        <v>8.1240597650304416</v>
      </c>
      <c r="AD25" s="156">
        <f>AD24</f>
        <v>0</v>
      </c>
      <c r="AE25" s="166">
        <f t="shared" si="27"/>
        <v>10.216424919140028</v>
      </c>
      <c r="AF25" s="24"/>
      <c r="AG25" s="24"/>
      <c r="AH25" s="149" t="s">
        <v>74</v>
      </c>
      <c r="AI25" s="150">
        <f t="shared" si="14"/>
        <v>475.05005844748854</v>
      </c>
      <c r="AJ25" s="151">
        <f t="shared" si="15"/>
        <v>16.778960319159054</v>
      </c>
      <c r="AK25" s="151">
        <f t="shared" si="16"/>
        <v>671.19031757143057</v>
      </c>
      <c r="AL25" s="151">
        <f t="shared" si="5"/>
        <v>3300</v>
      </c>
      <c r="AM25" s="150">
        <f t="shared" si="28"/>
        <v>141.82901876664764</v>
      </c>
      <c r="AN25" s="271">
        <f t="shared" si="29"/>
        <v>1021.1903175714306</v>
      </c>
    </row>
    <row r="26" spans="2:40" ht="14.25" x14ac:dyDescent="0.2">
      <c r="B26" s="155">
        <f t="shared" si="6"/>
        <v>18</v>
      </c>
      <c r="C26" s="157">
        <v>48.80148312352123</v>
      </c>
      <c r="D26" s="160">
        <f t="shared" si="39"/>
        <v>469</v>
      </c>
      <c r="E26" s="156">
        <f t="shared" si="17"/>
        <v>589.54967265903974</v>
      </c>
      <c r="F26" s="157">
        <f t="shared" si="7"/>
        <v>350</v>
      </c>
      <c r="G26" s="157">
        <v>18</v>
      </c>
      <c r="H26" s="158">
        <v>8.65</v>
      </c>
      <c r="I26" s="156">
        <f t="shared" si="8"/>
        <v>80.304974614726021</v>
      </c>
      <c r="J26" s="157">
        <v>0</v>
      </c>
      <c r="K26" s="157">
        <f t="shared" si="18"/>
        <v>0</v>
      </c>
      <c r="L26" s="157">
        <v>0</v>
      </c>
      <c r="M26" s="157">
        <f t="shared" si="37"/>
        <v>0</v>
      </c>
      <c r="N26" s="157">
        <v>0</v>
      </c>
      <c r="O26" s="157">
        <f t="shared" si="21"/>
        <v>0</v>
      </c>
      <c r="P26" s="156">
        <v>0</v>
      </c>
      <c r="Q26" s="172">
        <f t="shared" si="38"/>
        <v>3.3581169140030438</v>
      </c>
      <c r="R26" s="156">
        <v>0</v>
      </c>
      <c r="S26" s="172">
        <f t="shared" si="36"/>
        <v>2.4927560169330287</v>
      </c>
      <c r="T26" s="156">
        <v>0</v>
      </c>
      <c r="U26" s="171">
        <f t="shared" si="34"/>
        <v>1.28254234446347</v>
      </c>
      <c r="V26" s="156">
        <v>0</v>
      </c>
      <c r="W26" s="171">
        <f t="shared" si="32"/>
        <v>1.030683575913242</v>
      </c>
      <c r="X26" s="159">
        <v>0</v>
      </c>
      <c r="Y26" s="170">
        <f t="shared" si="33"/>
        <v>3.4872752568493151</v>
      </c>
      <c r="Z26" s="156">
        <v>50</v>
      </c>
      <c r="AA26" s="156">
        <f t="shared" si="26"/>
        <v>6.6129071537290711</v>
      </c>
      <c r="AB26" s="156">
        <v>0</v>
      </c>
      <c r="AC26" s="171">
        <f t="shared" si="31"/>
        <v>8.1240597650304416</v>
      </c>
      <c r="AD26" s="156">
        <f t="shared" si="35"/>
        <v>0</v>
      </c>
      <c r="AE26" s="166">
        <f t="shared" si="27"/>
        <v>10.216424919140028</v>
      </c>
      <c r="AF26" s="24"/>
      <c r="AG26" s="24"/>
      <c r="AH26" s="149" t="s">
        <v>74</v>
      </c>
      <c r="AI26" s="150">
        <f t="shared" si="14"/>
        <v>475.05005844748854</v>
      </c>
      <c r="AJ26" s="151">
        <f t="shared" si="15"/>
        <v>16.778960319159054</v>
      </c>
      <c r="AK26" s="151">
        <f t="shared" si="16"/>
        <v>638.35115578256102</v>
      </c>
      <c r="AL26" s="151">
        <f t="shared" si="5"/>
        <v>3500</v>
      </c>
      <c r="AM26" s="150">
        <f t="shared" si="28"/>
        <v>141.82901876664764</v>
      </c>
      <c r="AN26" s="271">
        <f t="shared" si="29"/>
        <v>988.35115578256102</v>
      </c>
    </row>
    <row r="27" spans="2:40" ht="14.25" x14ac:dyDescent="0.2">
      <c r="B27" s="155">
        <f t="shared" si="6"/>
        <v>19</v>
      </c>
      <c r="C27" s="157">
        <v>47.15017224113695</v>
      </c>
      <c r="D27" s="160">
        <f>D26-200</f>
        <v>269</v>
      </c>
      <c r="E27" s="156">
        <f t="shared" si="17"/>
        <v>560.0721890260877</v>
      </c>
      <c r="F27" s="157">
        <f t="shared" si="7"/>
        <v>350</v>
      </c>
      <c r="G27" s="157">
        <v>18</v>
      </c>
      <c r="H27" s="158">
        <v>8.65</v>
      </c>
      <c r="I27" s="156">
        <f t="shared" si="8"/>
        <v>80.304974614726021</v>
      </c>
      <c r="J27" s="157">
        <v>0</v>
      </c>
      <c r="K27" s="157">
        <f t="shared" si="18"/>
        <v>0</v>
      </c>
      <c r="L27" s="157">
        <v>0</v>
      </c>
      <c r="M27" s="157">
        <f t="shared" si="37"/>
        <v>0</v>
      </c>
      <c r="N27" s="157">
        <v>0</v>
      </c>
      <c r="O27" s="157">
        <f t="shared" si="21"/>
        <v>0</v>
      </c>
      <c r="P27" s="156">
        <v>0</v>
      </c>
      <c r="Q27" s="172">
        <f t="shared" si="38"/>
        <v>3.3581169140030438</v>
      </c>
      <c r="R27" s="156">
        <v>0</v>
      </c>
      <c r="S27" s="172">
        <f t="shared" si="36"/>
        <v>2.4927560169330287</v>
      </c>
      <c r="T27" s="156">
        <v>0</v>
      </c>
      <c r="U27" s="171">
        <f t="shared" si="34"/>
        <v>1.28254234446347</v>
      </c>
      <c r="V27" s="156">
        <v>0</v>
      </c>
      <c r="W27" s="171">
        <f t="shared" si="32"/>
        <v>1.030683575913242</v>
      </c>
      <c r="X27" s="159">
        <v>0</v>
      </c>
      <c r="Y27" s="170">
        <f t="shared" si="33"/>
        <v>3.4872752568493151</v>
      </c>
      <c r="Z27" s="156">
        <v>50</v>
      </c>
      <c r="AA27" s="156">
        <f t="shared" si="26"/>
        <v>6.6129071537290711</v>
      </c>
      <c r="AB27" s="156">
        <v>0</v>
      </c>
      <c r="AC27" s="171">
        <f t="shared" si="31"/>
        <v>8.1240597650304416</v>
      </c>
      <c r="AD27" s="156">
        <f t="shared" si="35"/>
        <v>0</v>
      </c>
      <c r="AE27" s="166">
        <f t="shared" si="27"/>
        <v>10.216424919140028</v>
      </c>
      <c r="AF27" s="24"/>
      <c r="AG27" s="24"/>
      <c r="AH27" s="149" t="s">
        <v>74</v>
      </c>
      <c r="AI27" s="150">
        <f t="shared" si="14"/>
        <v>475.05005844748854</v>
      </c>
      <c r="AJ27" s="151">
        <f t="shared" si="15"/>
        <v>16.778960319159054</v>
      </c>
      <c r="AK27" s="151">
        <f t="shared" si="16"/>
        <v>607.22236126722464</v>
      </c>
      <c r="AL27" s="151">
        <f t="shared" si="5"/>
        <v>3700</v>
      </c>
      <c r="AM27" s="150">
        <f t="shared" si="28"/>
        <v>141.82901876664764</v>
      </c>
      <c r="AN27" s="271">
        <f t="shared" si="29"/>
        <v>957.22236126722464</v>
      </c>
    </row>
    <row r="28" spans="2:40" ht="14.25" x14ac:dyDescent="0.2">
      <c r="B28" s="155">
        <f t="shared" si="6"/>
        <v>20</v>
      </c>
      <c r="C28" s="157">
        <v>45.624944165862132</v>
      </c>
      <c r="D28" s="160">
        <f>D27-200</f>
        <v>69</v>
      </c>
      <c r="E28" s="156">
        <f t="shared" si="17"/>
        <v>532.06857957478326</v>
      </c>
      <c r="F28" s="157">
        <f t="shared" si="7"/>
        <v>350</v>
      </c>
      <c r="G28" s="157">
        <v>18</v>
      </c>
      <c r="H28" s="158">
        <v>8.65</v>
      </c>
      <c r="I28" s="156">
        <f t="shared" si="8"/>
        <v>80.304974614726021</v>
      </c>
      <c r="J28" s="157">
        <v>0</v>
      </c>
      <c r="K28" s="157">
        <f t="shared" si="18"/>
        <v>0</v>
      </c>
      <c r="L28" s="157">
        <v>0</v>
      </c>
      <c r="M28" s="157">
        <f t="shared" si="37"/>
        <v>0</v>
      </c>
      <c r="N28" s="157">
        <v>0</v>
      </c>
      <c r="O28" s="157">
        <f t="shared" si="21"/>
        <v>0</v>
      </c>
      <c r="P28" s="156">
        <v>0</v>
      </c>
      <c r="Q28" s="172">
        <f t="shared" si="38"/>
        <v>3.3581169140030438</v>
      </c>
      <c r="R28" s="156">
        <v>0</v>
      </c>
      <c r="S28" s="172">
        <f t="shared" si="36"/>
        <v>2.4927560169330287</v>
      </c>
      <c r="T28" s="156">
        <v>0</v>
      </c>
      <c r="U28" s="171">
        <f t="shared" si="34"/>
        <v>1.28254234446347</v>
      </c>
      <c r="V28" s="156">
        <v>0</v>
      </c>
      <c r="W28" s="171">
        <f t="shared" si="32"/>
        <v>1.030683575913242</v>
      </c>
      <c r="X28" s="159">
        <v>0</v>
      </c>
      <c r="Y28" s="170">
        <f t="shared" si="33"/>
        <v>3.4872752568493151</v>
      </c>
      <c r="Z28" s="156">
        <v>50</v>
      </c>
      <c r="AA28" s="156">
        <f t="shared" si="26"/>
        <v>6.6129071537290711</v>
      </c>
      <c r="AB28" s="156">
        <v>0</v>
      </c>
      <c r="AC28" s="171">
        <f t="shared" si="31"/>
        <v>8.1240597650304416</v>
      </c>
      <c r="AD28" s="156">
        <f t="shared" si="35"/>
        <v>0</v>
      </c>
      <c r="AE28" s="166">
        <f t="shared" si="27"/>
        <v>10.216424919140028</v>
      </c>
      <c r="AF28" s="24"/>
      <c r="AG28" s="24"/>
      <c r="AH28" s="149" t="s">
        <v>74</v>
      </c>
      <c r="AI28" s="150">
        <f t="shared" si="14"/>
        <v>475.05005844748854</v>
      </c>
      <c r="AJ28" s="151">
        <f t="shared" si="15"/>
        <v>16.778960319159054</v>
      </c>
      <c r="AK28" s="151">
        <f t="shared" si="16"/>
        <v>577.69352374064533</v>
      </c>
      <c r="AL28" s="151">
        <f t="shared" si="5"/>
        <v>3900</v>
      </c>
      <c r="AM28" s="150">
        <f t="shared" si="28"/>
        <v>141.82901876664764</v>
      </c>
      <c r="AN28" s="271">
        <f t="shared" si="29"/>
        <v>927.69352374064533</v>
      </c>
    </row>
    <row r="29" spans="2:40" ht="14.25" x14ac:dyDescent="0.2">
      <c r="B29" s="155">
        <f t="shared" si="6"/>
        <v>21</v>
      </c>
      <c r="C29" s="157">
        <v>44.201857524228679</v>
      </c>
      <c r="D29" s="156">
        <v>0</v>
      </c>
      <c r="E29" s="156">
        <v>525</v>
      </c>
      <c r="F29" s="157">
        <f t="shared" si="7"/>
        <v>350</v>
      </c>
      <c r="G29" s="157">
        <v>18</v>
      </c>
      <c r="H29" s="158">
        <v>8.65</v>
      </c>
      <c r="I29" s="156">
        <f t="shared" si="8"/>
        <v>80.304974614726021</v>
      </c>
      <c r="J29" s="157">
        <v>0</v>
      </c>
      <c r="K29" s="157">
        <f t="shared" si="18"/>
        <v>0</v>
      </c>
      <c r="L29" s="157">
        <v>0</v>
      </c>
      <c r="M29" s="157">
        <f t="shared" si="37"/>
        <v>0</v>
      </c>
      <c r="N29" s="157">
        <v>0</v>
      </c>
      <c r="O29" s="157">
        <f t="shared" si="21"/>
        <v>0</v>
      </c>
      <c r="P29" s="156">
        <v>0</v>
      </c>
      <c r="Q29" s="172">
        <f t="shared" si="38"/>
        <v>3.3581169140030438</v>
      </c>
      <c r="R29" s="156">
        <v>0</v>
      </c>
      <c r="S29" s="172">
        <f t="shared" si="36"/>
        <v>2.4927560169330287</v>
      </c>
      <c r="T29" s="156">
        <v>0</v>
      </c>
      <c r="U29" s="171">
        <f t="shared" si="34"/>
        <v>1.28254234446347</v>
      </c>
      <c r="V29" s="156">
        <v>0</v>
      </c>
      <c r="W29" s="171">
        <f t="shared" si="32"/>
        <v>1.030683575913242</v>
      </c>
      <c r="X29" s="159">
        <v>0</v>
      </c>
      <c r="Y29" s="170">
        <f t="shared" si="33"/>
        <v>3.4872752568493151</v>
      </c>
      <c r="Z29" s="156">
        <v>50</v>
      </c>
      <c r="AA29" s="156">
        <f t="shared" si="26"/>
        <v>6.6129071537290711</v>
      </c>
      <c r="AB29" s="156">
        <v>0</v>
      </c>
      <c r="AC29" s="171">
        <f t="shared" si="31"/>
        <v>8.1240597650304416</v>
      </c>
      <c r="AD29" s="156">
        <f t="shared" si="35"/>
        <v>0</v>
      </c>
      <c r="AE29" s="166">
        <f t="shared" si="27"/>
        <v>10.216424919140028</v>
      </c>
      <c r="AF29" s="24"/>
      <c r="AG29" s="24"/>
      <c r="AH29" s="149" t="s">
        <v>74</v>
      </c>
      <c r="AI29" s="150">
        <f t="shared" si="14"/>
        <v>475.05005844748854</v>
      </c>
      <c r="AJ29" s="151">
        <f t="shared" si="15"/>
        <v>16.778960319159054</v>
      </c>
      <c r="AK29" s="151">
        <f t="shared" si="16"/>
        <v>569.20185752422867</v>
      </c>
      <c r="AL29" s="151">
        <f t="shared" si="5"/>
        <v>3969</v>
      </c>
      <c r="AM29" s="150">
        <f t="shared" si="28"/>
        <v>141.82901876664764</v>
      </c>
      <c r="AN29" s="271">
        <f t="shared" si="29"/>
        <v>919.20185752422867</v>
      </c>
    </row>
    <row r="30" spans="2:40" ht="14.25" x14ac:dyDescent="0.2">
      <c r="B30" s="155">
        <f t="shared" si="6"/>
        <v>22</v>
      </c>
      <c r="C30" s="157">
        <v>42.860890155186055</v>
      </c>
      <c r="D30" s="156">
        <f t="shared" ref="D30:E93" si="40">D29</f>
        <v>0</v>
      </c>
      <c r="E30" s="156">
        <v>525</v>
      </c>
      <c r="F30" s="157">
        <f t="shared" si="7"/>
        <v>350</v>
      </c>
      <c r="G30" s="157">
        <v>18</v>
      </c>
      <c r="H30" s="158">
        <v>8.65</v>
      </c>
      <c r="I30" s="156">
        <f t="shared" si="8"/>
        <v>80.304974614726021</v>
      </c>
      <c r="J30" s="157">
        <v>0</v>
      </c>
      <c r="K30" s="157">
        <f t="shared" si="18"/>
        <v>0</v>
      </c>
      <c r="L30" s="157">
        <v>0</v>
      </c>
      <c r="M30" s="157">
        <f t="shared" si="37"/>
        <v>0</v>
      </c>
      <c r="N30" s="157">
        <v>0</v>
      </c>
      <c r="O30" s="157">
        <f t="shared" si="21"/>
        <v>0</v>
      </c>
      <c r="P30" s="156">
        <v>0</v>
      </c>
      <c r="Q30" s="172">
        <f t="shared" si="38"/>
        <v>3.3581169140030438</v>
      </c>
      <c r="R30" s="156">
        <v>0</v>
      </c>
      <c r="S30" s="172">
        <f t="shared" si="36"/>
        <v>2.4927560169330287</v>
      </c>
      <c r="T30" s="156">
        <v>0</v>
      </c>
      <c r="U30" s="171">
        <f t="shared" si="34"/>
        <v>1.28254234446347</v>
      </c>
      <c r="V30" s="156">
        <v>0</v>
      </c>
      <c r="W30" s="171">
        <f t="shared" si="32"/>
        <v>1.030683575913242</v>
      </c>
      <c r="X30" s="159">
        <v>0</v>
      </c>
      <c r="Y30" s="170">
        <f t="shared" si="33"/>
        <v>3.4872752568493151</v>
      </c>
      <c r="Z30" s="156">
        <v>50</v>
      </c>
      <c r="AA30" s="156">
        <f t="shared" si="26"/>
        <v>6.6129071537290711</v>
      </c>
      <c r="AB30" s="156">
        <v>0</v>
      </c>
      <c r="AC30" s="171">
        <f t="shared" si="31"/>
        <v>8.1240597650304416</v>
      </c>
      <c r="AD30" s="156">
        <f t="shared" si="35"/>
        <v>0</v>
      </c>
      <c r="AE30" s="166">
        <f t="shared" si="27"/>
        <v>10.216424919140028</v>
      </c>
      <c r="AF30" s="24"/>
      <c r="AG30" s="24"/>
      <c r="AH30" s="149" t="s">
        <v>74</v>
      </c>
      <c r="AI30" s="150">
        <f t="shared" si="14"/>
        <v>475.05005844748854</v>
      </c>
      <c r="AJ30" s="151">
        <f t="shared" si="15"/>
        <v>16.778960319159054</v>
      </c>
      <c r="AK30" s="151">
        <f t="shared" si="16"/>
        <v>567.8608901551861</v>
      </c>
      <c r="AL30" s="151">
        <f t="shared" si="5"/>
        <v>3969</v>
      </c>
      <c r="AM30" s="150">
        <f t="shared" si="28"/>
        <v>141.82901876664764</v>
      </c>
      <c r="AN30" s="271">
        <f t="shared" si="29"/>
        <v>917.8608901551861</v>
      </c>
    </row>
    <row r="31" spans="2:40" ht="14.25" x14ac:dyDescent="0.2">
      <c r="B31" s="155">
        <f t="shared" si="6"/>
        <v>23</v>
      </c>
      <c r="C31" s="157">
        <v>41.581751829336987</v>
      </c>
      <c r="D31" s="156">
        <f t="shared" si="40"/>
        <v>0</v>
      </c>
      <c r="E31" s="156">
        <v>525</v>
      </c>
      <c r="F31" s="157">
        <f t="shared" si="7"/>
        <v>350</v>
      </c>
      <c r="G31" s="157">
        <v>18</v>
      </c>
      <c r="H31" s="158">
        <v>8.65</v>
      </c>
      <c r="I31" s="156">
        <f t="shared" si="8"/>
        <v>80.304974614726021</v>
      </c>
      <c r="J31" s="157">
        <v>0</v>
      </c>
      <c r="K31" s="157">
        <f t="shared" si="18"/>
        <v>0</v>
      </c>
      <c r="L31" s="157">
        <v>0</v>
      </c>
      <c r="M31" s="157">
        <f t="shared" si="37"/>
        <v>0</v>
      </c>
      <c r="N31" s="157">
        <v>0</v>
      </c>
      <c r="O31" s="157">
        <f t="shared" si="21"/>
        <v>0</v>
      </c>
      <c r="P31" s="156">
        <v>0</v>
      </c>
      <c r="Q31" s="172">
        <f t="shared" si="38"/>
        <v>3.3581169140030438</v>
      </c>
      <c r="R31" s="156">
        <v>0</v>
      </c>
      <c r="S31" s="172">
        <f t="shared" si="36"/>
        <v>2.4927560169330287</v>
      </c>
      <c r="T31" s="156">
        <v>0</v>
      </c>
      <c r="U31" s="171">
        <f t="shared" si="34"/>
        <v>1.28254234446347</v>
      </c>
      <c r="V31" s="156">
        <v>0</v>
      </c>
      <c r="W31" s="171">
        <f t="shared" si="32"/>
        <v>1.030683575913242</v>
      </c>
      <c r="X31" s="159">
        <v>0</v>
      </c>
      <c r="Y31" s="170">
        <f t="shared" si="33"/>
        <v>3.4872752568493151</v>
      </c>
      <c r="Z31" s="156">
        <v>50</v>
      </c>
      <c r="AA31" s="156">
        <f t="shared" si="26"/>
        <v>6.6129071537290711</v>
      </c>
      <c r="AB31" s="156">
        <v>0</v>
      </c>
      <c r="AC31" s="171">
        <f t="shared" si="31"/>
        <v>8.1240597650304416</v>
      </c>
      <c r="AD31" s="156">
        <f t="shared" si="35"/>
        <v>0</v>
      </c>
      <c r="AE31" s="166">
        <f t="shared" si="27"/>
        <v>10.216424919140028</v>
      </c>
      <c r="AF31" s="24"/>
      <c r="AG31" s="24"/>
      <c r="AH31" s="149" t="s">
        <v>74</v>
      </c>
      <c r="AI31" s="150">
        <f t="shared" si="14"/>
        <v>475.05005844748854</v>
      </c>
      <c r="AJ31" s="151">
        <f t="shared" si="15"/>
        <v>16.778960319159054</v>
      </c>
      <c r="AK31" s="151">
        <f t="shared" si="16"/>
        <v>566.58175182933701</v>
      </c>
      <c r="AL31" s="151">
        <f t="shared" si="5"/>
        <v>3969</v>
      </c>
      <c r="AM31" s="150">
        <f t="shared" si="28"/>
        <v>141.82901876664764</v>
      </c>
      <c r="AN31" s="271">
        <f t="shared" si="29"/>
        <v>916.58175182933701</v>
      </c>
    </row>
    <row r="32" spans="2:40" ht="14.25" x14ac:dyDescent="0.2">
      <c r="B32" s="155">
        <f t="shared" si="6"/>
        <v>24</v>
      </c>
      <c r="C32" s="157">
        <v>40.34790703973534</v>
      </c>
      <c r="D32" s="156">
        <f t="shared" si="40"/>
        <v>0</v>
      </c>
      <c r="E32" s="156">
        <v>525</v>
      </c>
      <c r="F32" s="157">
        <f t="shared" si="7"/>
        <v>350</v>
      </c>
      <c r="G32" s="157">
        <v>18</v>
      </c>
      <c r="H32" s="158">
        <v>8.65</v>
      </c>
      <c r="I32" s="156">
        <f t="shared" si="8"/>
        <v>80.304974614726021</v>
      </c>
      <c r="J32" s="157">
        <v>0</v>
      </c>
      <c r="K32" s="157">
        <f t="shared" si="18"/>
        <v>0</v>
      </c>
      <c r="L32" s="157">
        <v>0</v>
      </c>
      <c r="M32" s="157">
        <f t="shared" si="37"/>
        <v>0</v>
      </c>
      <c r="N32" s="157">
        <v>0</v>
      </c>
      <c r="O32" s="157">
        <f t="shared" si="21"/>
        <v>0</v>
      </c>
      <c r="P32" s="156">
        <v>0</v>
      </c>
      <c r="Q32" s="172">
        <f t="shared" si="38"/>
        <v>3.3581169140030438</v>
      </c>
      <c r="R32" s="156">
        <v>0</v>
      </c>
      <c r="S32" s="172">
        <f t="shared" si="36"/>
        <v>2.4927560169330287</v>
      </c>
      <c r="T32" s="156">
        <v>0</v>
      </c>
      <c r="U32" s="171">
        <f t="shared" si="34"/>
        <v>1.28254234446347</v>
      </c>
      <c r="V32" s="156">
        <v>0</v>
      </c>
      <c r="W32" s="171">
        <f t="shared" si="32"/>
        <v>1.030683575913242</v>
      </c>
      <c r="X32" s="159">
        <v>0</v>
      </c>
      <c r="Y32" s="170">
        <f t="shared" si="33"/>
        <v>3.4872752568493151</v>
      </c>
      <c r="Z32" s="156">
        <v>50</v>
      </c>
      <c r="AA32" s="156">
        <f t="shared" si="26"/>
        <v>6.6129071537290711</v>
      </c>
      <c r="AB32" s="156">
        <v>0</v>
      </c>
      <c r="AC32" s="171">
        <f t="shared" si="31"/>
        <v>8.1240597650304416</v>
      </c>
      <c r="AD32" s="156">
        <f t="shared" si="35"/>
        <v>0</v>
      </c>
      <c r="AE32" s="166">
        <f t="shared" si="27"/>
        <v>10.216424919140028</v>
      </c>
      <c r="AF32" s="24"/>
      <c r="AG32" s="24"/>
      <c r="AH32" s="149" t="s">
        <v>74</v>
      </c>
      <c r="AI32" s="150">
        <f t="shared" si="14"/>
        <v>475.05005844748854</v>
      </c>
      <c r="AJ32" s="151">
        <f t="shared" si="15"/>
        <v>16.778960319159054</v>
      </c>
      <c r="AK32" s="151">
        <f t="shared" si="16"/>
        <v>565.34790703973533</v>
      </c>
      <c r="AL32" s="151">
        <f t="shared" si="5"/>
        <v>3969</v>
      </c>
      <c r="AM32" s="150">
        <f t="shared" si="28"/>
        <v>141.82901876664764</v>
      </c>
      <c r="AN32" s="271">
        <f t="shared" si="29"/>
        <v>915.34790703973533</v>
      </c>
    </row>
    <row r="33" spans="2:40" ht="14.25" x14ac:dyDescent="0.2">
      <c r="B33" s="155">
        <f t="shared" si="6"/>
        <v>25</v>
      </c>
      <c r="C33" s="157">
        <v>39.1491567556738</v>
      </c>
      <c r="D33" s="156">
        <f t="shared" si="40"/>
        <v>0</v>
      </c>
      <c r="E33" s="156">
        <v>525</v>
      </c>
      <c r="F33" s="157">
        <f t="shared" si="7"/>
        <v>350</v>
      </c>
      <c r="G33" s="157">
        <v>18</v>
      </c>
      <c r="H33" s="158">
        <v>8.65</v>
      </c>
      <c r="I33" s="156">
        <f t="shared" si="8"/>
        <v>80.304974614726021</v>
      </c>
      <c r="J33" s="157">
        <v>0</v>
      </c>
      <c r="K33" s="157">
        <f t="shared" si="18"/>
        <v>0</v>
      </c>
      <c r="L33" s="157">
        <v>0</v>
      </c>
      <c r="M33" s="157">
        <f t="shared" si="37"/>
        <v>0</v>
      </c>
      <c r="N33" s="157">
        <v>0</v>
      </c>
      <c r="O33" s="157">
        <f t="shared" si="21"/>
        <v>0</v>
      </c>
      <c r="P33" s="156">
        <v>0</v>
      </c>
      <c r="Q33" s="172">
        <f t="shared" si="38"/>
        <v>3.3581169140030438</v>
      </c>
      <c r="R33" s="156">
        <v>0</v>
      </c>
      <c r="S33" s="172">
        <f t="shared" si="36"/>
        <v>2.4927560169330287</v>
      </c>
      <c r="T33" s="156">
        <v>0</v>
      </c>
      <c r="U33" s="171">
        <f t="shared" si="34"/>
        <v>1.28254234446347</v>
      </c>
      <c r="V33" s="156">
        <v>0</v>
      </c>
      <c r="W33" s="171">
        <f t="shared" si="32"/>
        <v>1.030683575913242</v>
      </c>
      <c r="X33" s="159">
        <v>0</v>
      </c>
      <c r="Y33" s="170">
        <f t="shared" si="33"/>
        <v>3.4872752568493151</v>
      </c>
      <c r="Z33" s="156">
        <v>50</v>
      </c>
      <c r="AA33" s="156">
        <f t="shared" si="26"/>
        <v>6.6129071537290711</v>
      </c>
      <c r="AB33" s="156">
        <v>0</v>
      </c>
      <c r="AC33" s="171">
        <f t="shared" si="31"/>
        <v>8.1240597650304416</v>
      </c>
      <c r="AD33" s="156">
        <f t="shared" si="35"/>
        <v>0</v>
      </c>
      <c r="AE33" s="166">
        <f t="shared" si="27"/>
        <v>10.216424919140028</v>
      </c>
      <c r="AF33" s="24"/>
      <c r="AG33" s="24"/>
      <c r="AH33" s="149" t="s">
        <v>74</v>
      </c>
      <c r="AI33" s="150">
        <f t="shared" si="14"/>
        <v>475.05005844748854</v>
      </c>
      <c r="AJ33" s="151">
        <f t="shared" si="15"/>
        <v>16.778960319159054</v>
      </c>
      <c r="AK33" s="151">
        <f t="shared" si="16"/>
        <v>564.14915675567386</v>
      </c>
      <c r="AL33" s="151">
        <f t="shared" si="5"/>
        <v>3969</v>
      </c>
      <c r="AM33" s="150">
        <f t="shared" si="28"/>
        <v>141.82901876664764</v>
      </c>
      <c r="AN33" s="271">
        <f t="shared" si="29"/>
        <v>914.14915675567386</v>
      </c>
    </row>
    <row r="34" spans="2:40" ht="14.25" x14ac:dyDescent="0.2">
      <c r="B34" s="155">
        <f t="shared" si="6"/>
        <v>26</v>
      </c>
      <c r="C34" s="157">
        <v>37.977994042555295</v>
      </c>
      <c r="D34" s="156">
        <f t="shared" si="40"/>
        <v>0</v>
      </c>
      <c r="E34" s="156">
        <v>525</v>
      </c>
      <c r="F34" s="157">
        <f t="shared" si="7"/>
        <v>350</v>
      </c>
      <c r="G34" s="157">
        <v>18</v>
      </c>
      <c r="H34" s="158">
        <v>8.65</v>
      </c>
      <c r="I34" s="156">
        <f t="shared" si="8"/>
        <v>80.304974614726021</v>
      </c>
      <c r="J34" s="157">
        <v>0</v>
      </c>
      <c r="K34" s="157">
        <f t="shared" si="18"/>
        <v>0</v>
      </c>
      <c r="L34" s="157">
        <v>0</v>
      </c>
      <c r="M34" s="157">
        <f t="shared" si="37"/>
        <v>0</v>
      </c>
      <c r="N34" s="157">
        <v>0</v>
      </c>
      <c r="O34" s="157">
        <f t="shared" si="21"/>
        <v>0</v>
      </c>
      <c r="P34" s="156">
        <v>0</v>
      </c>
      <c r="Q34" s="172">
        <f t="shared" si="38"/>
        <v>3.3581169140030438</v>
      </c>
      <c r="R34" s="156">
        <v>0</v>
      </c>
      <c r="S34" s="172">
        <f t="shared" si="36"/>
        <v>2.4927560169330287</v>
      </c>
      <c r="T34" s="156">
        <v>0</v>
      </c>
      <c r="U34" s="171">
        <f t="shared" si="34"/>
        <v>1.28254234446347</v>
      </c>
      <c r="V34" s="156">
        <v>0</v>
      </c>
      <c r="W34" s="171">
        <f t="shared" si="32"/>
        <v>1.030683575913242</v>
      </c>
      <c r="X34" s="159">
        <v>0</v>
      </c>
      <c r="Y34" s="170">
        <f t="shared" si="33"/>
        <v>3.4872752568493151</v>
      </c>
      <c r="Z34" s="156">
        <v>50</v>
      </c>
      <c r="AA34" s="156">
        <f t="shared" si="26"/>
        <v>6.6129071537290711</v>
      </c>
      <c r="AB34" s="156">
        <v>0</v>
      </c>
      <c r="AC34" s="171">
        <f t="shared" si="31"/>
        <v>8.1240597650304416</v>
      </c>
      <c r="AD34" s="156">
        <f t="shared" si="35"/>
        <v>0</v>
      </c>
      <c r="AE34" s="166">
        <f t="shared" si="27"/>
        <v>10.216424919140028</v>
      </c>
      <c r="AF34" s="24"/>
      <c r="AG34" s="24"/>
      <c r="AH34" s="149" t="s">
        <v>74</v>
      </c>
      <c r="AI34" s="150">
        <f t="shared" si="14"/>
        <v>475.05005844748854</v>
      </c>
      <c r="AJ34" s="151">
        <f t="shared" si="15"/>
        <v>16.778960319159054</v>
      </c>
      <c r="AK34" s="151">
        <f t="shared" si="16"/>
        <v>562.97799404255534</v>
      </c>
      <c r="AL34" s="151">
        <f t="shared" si="5"/>
        <v>3969</v>
      </c>
      <c r="AM34" s="150">
        <f t="shared" si="28"/>
        <v>141.82901876664764</v>
      </c>
      <c r="AN34" s="271">
        <f t="shared" si="29"/>
        <v>912.97799404255534</v>
      </c>
    </row>
    <row r="35" spans="2:40" ht="14.25" x14ac:dyDescent="0.2">
      <c r="B35" s="155">
        <f t="shared" si="6"/>
        <v>27</v>
      </c>
      <c r="C35" s="157">
        <v>36.826261696412445</v>
      </c>
      <c r="D35" s="156">
        <f t="shared" si="40"/>
        <v>0</v>
      </c>
      <c r="E35" s="156">
        <f>E34</f>
        <v>525</v>
      </c>
      <c r="F35" s="157">
        <f t="shared" si="7"/>
        <v>350</v>
      </c>
      <c r="G35" s="157">
        <v>18</v>
      </c>
      <c r="H35" s="158">
        <v>8.65</v>
      </c>
      <c r="I35" s="156">
        <f t="shared" si="8"/>
        <v>80.304974614726021</v>
      </c>
      <c r="J35" s="157">
        <v>0</v>
      </c>
      <c r="K35" s="157">
        <f t="shared" si="18"/>
        <v>0</v>
      </c>
      <c r="L35" s="157">
        <v>0</v>
      </c>
      <c r="M35" s="157">
        <f t="shared" si="37"/>
        <v>0</v>
      </c>
      <c r="N35" s="157">
        <v>0</v>
      </c>
      <c r="O35" s="157">
        <f t="shared" si="21"/>
        <v>0</v>
      </c>
      <c r="P35" s="156">
        <v>0</v>
      </c>
      <c r="Q35" s="172">
        <f t="shared" si="38"/>
        <v>3.3581169140030438</v>
      </c>
      <c r="R35" s="156">
        <v>0</v>
      </c>
      <c r="S35" s="172">
        <f t="shared" si="36"/>
        <v>2.4927560169330287</v>
      </c>
      <c r="T35" s="156">
        <v>0</v>
      </c>
      <c r="U35" s="171">
        <f t="shared" si="34"/>
        <v>1.28254234446347</v>
      </c>
      <c r="V35" s="156">
        <v>0</v>
      </c>
      <c r="W35" s="171">
        <f t="shared" si="32"/>
        <v>1.030683575913242</v>
      </c>
      <c r="X35" s="159">
        <v>0</v>
      </c>
      <c r="Y35" s="170">
        <f t="shared" si="33"/>
        <v>3.4872752568493151</v>
      </c>
      <c r="Z35" s="156">
        <v>50</v>
      </c>
      <c r="AA35" s="156">
        <f t="shared" si="26"/>
        <v>6.6129071537290711</v>
      </c>
      <c r="AB35" s="156">
        <v>0</v>
      </c>
      <c r="AC35" s="171">
        <f t="shared" si="31"/>
        <v>8.1240597650304416</v>
      </c>
      <c r="AD35" s="156">
        <f t="shared" si="35"/>
        <v>0</v>
      </c>
      <c r="AE35" s="166">
        <f t="shared" si="27"/>
        <v>10.216424919140028</v>
      </c>
      <c r="AF35" s="24"/>
      <c r="AG35" s="24"/>
      <c r="AH35" s="149" t="s">
        <v>74</v>
      </c>
      <c r="AI35" s="150">
        <f t="shared" si="14"/>
        <v>475.05005844748854</v>
      </c>
      <c r="AJ35" s="151">
        <f t="shared" si="15"/>
        <v>16.778960319159054</v>
      </c>
      <c r="AK35" s="151">
        <f t="shared" si="16"/>
        <v>561.82626169641242</v>
      </c>
      <c r="AL35" s="151">
        <f t="shared" si="5"/>
        <v>3969</v>
      </c>
      <c r="AM35" s="150">
        <f t="shared" si="28"/>
        <v>141.82901876664764</v>
      </c>
      <c r="AN35" s="271">
        <f t="shared" si="29"/>
        <v>911.82626169641242</v>
      </c>
    </row>
    <row r="36" spans="2:40" ht="14.25" x14ac:dyDescent="0.2">
      <c r="B36" s="155">
        <f t="shared" si="6"/>
        <v>28</v>
      </c>
      <c r="C36" s="157">
        <v>35.688322392324245</v>
      </c>
      <c r="D36" s="156">
        <f t="shared" si="40"/>
        <v>0</v>
      </c>
      <c r="E36" s="156">
        <f t="shared" si="40"/>
        <v>525</v>
      </c>
      <c r="F36" s="157">
        <f t="shared" si="7"/>
        <v>350</v>
      </c>
      <c r="G36" s="157">
        <v>18</v>
      </c>
      <c r="H36" s="158">
        <v>8.65</v>
      </c>
      <c r="I36" s="156">
        <f t="shared" si="8"/>
        <v>80.304974614726021</v>
      </c>
      <c r="J36" s="157">
        <v>0</v>
      </c>
      <c r="K36" s="157">
        <f t="shared" si="18"/>
        <v>0</v>
      </c>
      <c r="L36" s="157">
        <v>0</v>
      </c>
      <c r="M36" s="157">
        <f t="shared" si="37"/>
        <v>0</v>
      </c>
      <c r="N36" s="157">
        <v>0</v>
      </c>
      <c r="O36" s="157">
        <f t="shared" si="21"/>
        <v>0</v>
      </c>
      <c r="P36" s="156">
        <v>0</v>
      </c>
      <c r="Q36" s="172">
        <f t="shared" si="38"/>
        <v>3.3581169140030438</v>
      </c>
      <c r="R36" s="156">
        <v>0</v>
      </c>
      <c r="S36" s="172">
        <f t="shared" si="36"/>
        <v>2.4927560169330287</v>
      </c>
      <c r="T36" s="156">
        <v>0</v>
      </c>
      <c r="U36" s="171">
        <f t="shared" si="34"/>
        <v>1.28254234446347</v>
      </c>
      <c r="V36" s="156">
        <v>0</v>
      </c>
      <c r="W36" s="171">
        <f t="shared" si="32"/>
        <v>1.030683575913242</v>
      </c>
      <c r="X36" s="159">
        <v>0</v>
      </c>
      <c r="Y36" s="170">
        <f t="shared" si="33"/>
        <v>3.4872752568493151</v>
      </c>
      <c r="Z36" s="156">
        <v>50</v>
      </c>
      <c r="AA36" s="156">
        <f t="shared" si="26"/>
        <v>6.6129071537290711</v>
      </c>
      <c r="AB36" s="156">
        <v>0</v>
      </c>
      <c r="AC36" s="171">
        <f t="shared" si="31"/>
        <v>8.1240597650304416</v>
      </c>
      <c r="AD36" s="156">
        <f t="shared" si="35"/>
        <v>0</v>
      </c>
      <c r="AE36" s="166">
        <f t="shared" si="27"/>
        <v>10.216424919140028</v>
      </c>
      <c r="AF36" s="24"/>
      <c r="AG36" s="24"/>
      <c r="AH36" s="149" t="s">
        <v>74</v>
      </c>
      <c r="AI36" s="150">
        <f t="shared" si="14"/>
        <v>475.05005844748854</v>
      </c>
      <c r="AJ36" s="151">
        <f t="shared" si="15"/>
        <v>16.778960319159054</v>
      </c>
      <c r="AK36" s="151">
        <f t="shared" si="16"/>
        <v>560.68832239232427</v>
      </c>
      <c r="AL36" s="151">
        <f t="shared" si="5"/>
        <v>3969</v>
      </c>
      <c r="AM36" s="150">
        <f t="shared" si="28"/>
        <v>141.82901876664764</v>
      </c>
      <c r="AN36" s="271">
        <f t="shared" si="29"/>
        <v>910.68832239232427</v>
      </c>
    </row>
    <row r="37" spans="2:40" ht="14.25" x14ac:dyDescent="0.2">
      <c r="B37" s="155">
        <f t="shared" si="6"/>
        <v>29</v>
      </c>
      <c r="C37" s="157">
        <v>34.563938458685627</v>
      </c>
      <c r="D37" s="156">
        <f t="shared" si="40"/>
        <v>0</v>
      </c>
      <c r="E37" s="156">
        <f t="shared" si="40"/>
        <v>525</v>
      </c>
      <c r="F37" s="157">
        <f t="shared" si="7"/>
        <v>350</v>
      </c>
      <c r="G37" s="157">
        <v>18</v>
      </c>
      <c r="H37" s="158">
        <v>8.65</v>
      </c>
      <c r="I37" s="156">
        <f t="shared" si="8"/>
        <v>80.304974614726021</v>
      </c>
      <c r="J37" s="157">
        <v>0</v>
      </c>
      <c r="K37" s="157">
        <f t="shared" si="18"/>
        <v>0</v>
      </c>
      <c r="L37" s="157">
        <v>0</v>
      </c>
      <c r="M37" s="157">
        <f t="shared" si="37"/>
        <v>0</v>
      </c>
      <c r="N37" s="157">
        <v>0</v>
      </c>
      <c r="O37" s="157">
        <f t="shared" si="21"/>
        <v>0</v>
      </c>
      <c r="P37" s="156">
        <v>0</v>
      </c>
      <c r="Q37" s="172">
        <f t="shared" si="38"/>
        <v>3.3581169140030438</v>
      </c>
      <c r="R37" s="156">
        <v>0</v>
      </c>
      <c r="S37" s="172">
        <f t="shared" si="36"/>
        <v>2.4927560169330287</v>
      </c>
      <c r="T37" s="156">
        <v>0</v>
      </c>
      <c r="U37" s="171">
        <f t="shared" si="34"/>
        <v>1.28254234446347</v>
      </c>
      <c r="V37" s="156">
        <v>0</v>
      </c>
      <c r="W37" s="171">
        <f t="shared" si="32"/>
        <v>1.030683575913242</v>
      </c>
      <c r="X37" s="159">
        <v>0</v>
      </c>
      <c r="Y37" s="170">
        <f t="shared" si="33"/>
        <v>3.4872752568493151</v>
      </c>
      <c r="Z37" s="156">
        <v>50</v>
      </c>
      <c r="AA37" s="156">
        <f t="shared" si="26"/>
        <v>6.6129071537290711</v>
      </c>
      <c r="AB37" s="156">
        <v>0</v>
      </c>
      <c r="AC37" s="171">
        <f t="shared" si="31"/>
        <v>8.1240597650304416</v>
      </c>
      <c r="AD37" s="156">
        <f t="shared" si="35"/>
        <v>0</v>
      </c>
      <c r="AE37" s="166">
        <f t="shared" si="27"/>
        <v>10.216424919140028</v>
      </c>
      <c r="AF37" s="24"/>
      <c r="AG37" s="24"/>
      <c r="AH37" s="149" t="s">
        <v>74</v>
      </c>
      <c r="AI37" s="150">
        <f t="shared" si="14"/>
        <v>475.05005844748854</v>
      </c>
      <c r="AJ37" s="151">
        <f t="shared" si="15"/>
        <v>16.778960319159054</v>
      </c>
      <c r="AK37" s="151">
        <f t="shared" si="16"/>
        <v>559.56393845868558</v>
      </c>
      <c r="AL37" s="151">
        <f t="shared" si="5"/>
        <v>3969</v>
      </c>
      <c r="AM37" s="150">
        <f t="shared" si="28"/>
        <v>141.82901876664764</v>
      </c>
      <c r="AN37" s="271">
        <f t="shared" si="29"/>
        <v>909.56393845868558</v>
      </c>
    </row>
    <row r="38" spans="2:40" ht="14.25" x14ac:dyDescent="0.2">
      <c r="B38" s="155">
        <f t="shared" si="6"/>
        <v>30</v>
      </c>
      <c r="C38" s="157">
        <v>33.454908433424336</v>
      </c>
      <c r="D38" s="156">
        <f t="shared" si="40"/>
        <v>0</v>
      </c>
      <c r="E38" s="156">
        <f t="shared" si="40"/>
        <v>525</v>
      </c>
      <c r="F38" s="157">
        <f t="shared" si="7"/>
        <v>350</v>
      </c>
      <c r="G38" s="157">
        <v>18</v>
      </c>
      <c r="H38" s="158">
        <v>8.65</v>
      </c>
      <c r="I38" s="156">
        <f t="shared" si="8"/>
        <v>80.304974614726021</v>
      </c>
      <c r="J38" s="157">
        <v>0</v>
      </c>
      <c r="K38" s="157">
        <f t="shared" si="18"/>
        <v>0</v>
      </c>
      <c r="L38" s="157">
        <v>0</v>
      </c>
      <c r="M38" s="157">
        <f t="shared" si="37"/>
        <v>0</v>
      </c>
      <c r="N38" s="157">
        <v>0</v>
      </c>
      <c r="O38" s="157">
        <f t="shared" si="21"/>
        <v>0</v>
      </c>
      <c r="P38" s="156">
        <v>0</v>
      </c>
      <c r="Q38" s="172">
        <f t="shared" si="38"/>
        <v>3.3581169140030438</v>
      </c>
      <c r="R38" s="156">
        <v>0</v>
      </c>
      <c r="S38" s="172">
        <f t="shared" si="36"/>
        <v>2.4927560169330287</v>
      </c>
      <c r="T38" s="156">
        <v>0</v>
      </c>
      <c r="U38" s="171">
        <f t="shared" si="34"/>
        <v>1.28254234446347</v>
      </c>
      <c r="V38" s="156">
        <v>0</v>
      </c>
      <c r="W38" s="171">
        <f t="shared" si="32"/>
        <v>1.030683575913242</v>
      </c>
      <c r="X38" s="159">
        <v>0</v>
      </c>
      <c r="Y38" s="170">
        <f t="shared" si="33"/>
        <v>3.4872752568493151</v>
      </c>
      <c r="Z38" s="156">
        <v>50</v>
      </c>
      <c r="AA38" s="156">
        <f t="shared" si="26"/>
        <v>6.6129071537290711</v>
      </c>
      <c r="AB38" s="156">
        <v>0</v>
      </c>
      <c r="AC38" s="171">
        <f t="shared" si="31"/>
        <v>8.1240597650304416</v>
      </c>
      <c r="AD38" s="156">
        <f t="shared" si="35"/>
        <v>0</v>
      </c>
      <c r="AE38" s="166">
        <f t="shared" si="27"/>
        <v>10.216424919140028</v>
      </c>
      <c r="AF38" s="24"/>
      <c r="AG38" s="24"/>
      <c r="AH38" s="149" t="s">
        <v>74</v>
      </c>
      <c r="AI38" s="150">
        <f t="shared" si="14"/>
        <v>475.05005844748854</v>
      </c>
      <c r="AJ38" s="151">
        <f t="shared" si="15"/>
        <v>16.778960319159054</v>
      </c>
      <c r="AK38" s="151">
        <f t="shared" si="16"/>
        <v>558.45490843342429</v>
      </c>
      <c r="AL38" s="151">
        <f t="shared" si="5"/>
        <v>3969</v>
      </c>
      <c r="AM38" s="150">
        <f t="shared" si="28"/>
        <v>141.82901876664764</v>
      </c>
      <c r="AN38" s="271">
        <f t="shared" si="29"/>
        <v>908.45490843342429</v>
      </c>
    </row>
    <row r="39" spans="2:40" ht="14.25" x14ac:dyDescent="0.2">
      <c r="B39" s="155">
        <f t="shared" si="6"/>
        <v>31</v>
      </c>
      <c r="C39" s="157">
        <v>32.361696120903567</v>
      </c>
      <c r="D39" s="156">
        <f t="shared" si="40"/>
        <v>0</v>
      </c>
      <c r="E39" s="156">
        <f t="shared" si="40"/>
        <v>525</v>
      </c>
      <c r="F39" s="157">
        <f t="shared" si="7"/>
        <v>350</v>
      </c>
      <c r="G39" s="157">
        <v>18</v>
      </c>
      <c r="H39" s="158">
        <v>8.65</v>
      </c>
      <c r="I39" s="156">
        <f t="shared" si="8"/>
        <v>80.304974614726021</v>
      </c>
      <c r="J39" s="157">
        <v>0</v>
      </c>
      <c r="K39" s="157">
        <f t="shared" si="18"/>
        <v>0</v>
      </c>
      <c r="L39" s="157">
        <v>0</v>
      </c>
      <c r="M39" s="157">
        <f t="shared" si="37"/>
        <v>0</v>
      </c>
      <c r="N39" s="157">
        <v>0</v>
      </c>
      <c r="O39" s="157">
        <f t="shared" si="21"/>
        <v>0</v>
      </c>
      <c r="P39" s="156">
        <v>0</v>
      </c>
      <c r="Q39" s="172">
        <f t="shared" si="38"/>
        <v>3.3581169140030438</v>
      </c>
      <c r="R39" s="156">
        <v>0</v>
      </c>
      <c r="S39" s="172">
        <f t="shared" si="36"/>
        <v>2.4927560169330287</v>
      </c>
      <c r="T39" s="156">
        <v>0</v>
      </c>
      <c r="U39" s="171">
        <f t="shared" si="34"/>
        <v>1.28254234446347</v>
      </c>
      <c r="V39" s="156">
        <v>0</v>
      </c>
      <c r="W39" s="171">
        <f t="shared" si="32"/>
        <v>1.030683575913242</v>
      </c>
      <c r="X39" s="159">
        <v>0</v>
      </c>
      <c r="Y39" s="170">
        <f t="shared" si="33"/>
        <v>3.4872752568493151</v>
      </c>
      <c r="Z39" s="156">
        <v>50</v>
      </c>
      <c r="AA39" s="156">
        <f t="shared" si="26"/>
        <v>6.6129071537290711</v>
      </c>
      <c r="AB39" s="156">
        <v>0</v>
      </c>
      <c r="AC39" s="171">
        <f t="shared" si="31"/>
        <v>8.1240597650304416</v>
      </c>
      <c r="AD39" s="156">
        <f t="shared" si="35"/>
        <v>0</v>
      </c>
      <c r="AE39" s="166">
        <f t="shared" si="27"/>
        <v>10.216424919140028</v>
      </c>
      <c r="AF39" s="24"/>
      <c r="AG39" s="24"/>
      <c r="AH39" s="149" t="s">
        <v>74</v>
      </c>
      <c r="AI39" s="150">
        <f t="shared" si="14"/>
        <v>475.05005844748854</v>
      </c>
      <c r="AJ39" s="151">
        <f t="shared" si="15"/>
        <v>16.778960319159054</v>
      </c>
      <c r="AK39" s="151">
        <f t="shared" si="16"/>
        <v>557.36169612090362</v>
      </c>
      <c r="AL39" s="151">
        <f t="shared" si="5"/>
        <v>3969</v>
      </c>
      <c r="AM39" s="150">
        <f t="shared" si="28"/>
        <v>141.82901876664764</v>
      </c>
      <c r="AN39" s="271">
        <f t="shared" si="29"/>
        <v>907.36169612090362</v>
      </c>
    </row>
    <row r="40" spans="2:40" ht="14.25" x14ac:dyDescent="0.2">
      <c r="B40" s="155">
        <f t="shared" si="6"/>
        <v>32</v>
      </c>
      <c r="C40" s="157">
        <v>31.286322724696909</v>
      </c>
      <c r="D40" s="156">
        <f t="shared" si="40"/>
        <v>0</v>
      </c>
      <c r="E40" s="156">
        <f t="shared" si="40"/>
        <v>525</v>
      </c>
      <c r="F40" s="157">
        <f t="shared" si="7"/>
        <v>350</v>
      </c>
      <c r="G40" s="157">
        <v>18</v>
      </c>
      <c r="H40" s="158">
        <v>8.65</v>
      </c>
      <c r="I40" s="156">
        <f t="shared" si="8"/>
        <v>80.304974614726021</v>
      </c>
      <c r="J40" s="157">
        <v>0</v>
      </c>
      <c r="K40" s="157">
        <f t="shared" si="18"/>
        <v>0</v>
      </c>
      <c r="L40" s="157">
        <v>0</v>
      </c>
      <c r="M40" s="157">
        <f t="shared" si="37"/>
        <v>0</v>
      </c>
      <c r="N40" s="157">
        <v>0</v>
      </c>
      <c r="O40" s="157">
        <f t="shared" si="21"/>
        <v>0</v>
      </c>
      <c r="P40" s="156">
        <v>0</v>
      </c>
      <c r="Q40" s="172">
        <f t="shared" si="38"/>
        <v>3.3581169140030438</v>
      </c>
      <c r="R40" s="156">
        <v>0</v>
      </c>
      <c r="S40" s="172">
        <f t="shared" si="36"/>
        <v>2.4927560169330287</v>
      </c>
      <c r="T40" s="156">
        <v>0</v>
      </c>
      <c r="U40" s="171">
        <f t="shared" si="34"/>
        <v>1.28254234446347</v>
      </c>
      <c r="V40" s="156">
        <v>0</v>
      </c>
      <c r="W40" s="171">
        <f t="shared" si="32"/>
        <v>1.030683575913242</v>
      </c>
      <c r="X40" s="159">
        <v>0</v>
      </c>
      <c r="Y40" s="170">
        <f t="shared" si="33"/>
        <v>3.4872752568493151</v>
      </c>
      <c r="Z40" s="156">
        <v>50</v>
      </c>
      <c r="AA40" s="156">
        <f t="shared" si="26"/>
        <v>6.6129071537290711</v>
      </c>
      <c r="AB40" s="156">
        <v>0</v>
      </c>
      <c r="AC40" s="171">
        <f t="shared" si="31"/>
        <v>8.1240597650304416</v>
      </c>
      <c r="AD40" s="156">
        <f t="shared" si="35"/>
        <v>0</v>
      </c>
      <c r="AE40" s="166">
        <f t="shared" si="27"/>
        <v>10.216424919140028</v>
      </c>
      <c r="AF40" s="24"/>
      <c r="AG40" s="24"/>
      <c r="AH40" s="149" t="s">
        <v>74</v>
      </c>
      <c r="AI40" s="150">
        <f t="shared" si="14"/>
        <v>475.05005844748854</v>
      </c>
      <c r="AJ40" s="151">
        <f t="shared" si="15"/>
        <v>16.778960319159054</v>
      </c>
      <c r="AK40" s="151">
        <f t="shared" si="16"/>
        <v>556.2863227246969</v>
      </c>
      <c r="AL40" s="151">
        <f t="shared" si="5"/>
        <v>3969</v>
      </c>
      <c r="AM40" s="150">
        <f t="shared" si="28"/>
        <v>141.82901876664764</v>
      </c>
      <c r="AN40" s="271">
        <f t="shared" si="29"/>
        <v>906.2863227246969</v>
      </c>
    </row>
    <row r="41" spans="2:40" ht="14.25" x14ac:dyDescent="0.2">
      <c r="B41" s="155">
        <f t="shared" si="6"/>
        <v>33</v>
      </c>
      <c r="C41" s="157">
        <v>30.235021845399174</v>
      </c>
      <c r="D41" s="156">
        <f t="shared" si="40"/>
        <v>0</v>
      </c>
      <c r="E41" s="156">
        <f t="shared" si="40"/>
        <v>525</v>
      </c>
      <c r="F41" s="157">
        <f t="shared" si="7"/>
        <v>350</v>
      </c>
      <c r="G41" s="157">
        <v>18</v>
      </c>
      <c r="H41" s="158">
        <v>8.65</v>
      </c>
      <c r="I41" s="156">
        <f t="shared" si="8"/>
        <v>80.304974614726021</v>
      </c>
      <c r="J41" s="157">
        <v>0</v>
      </c>
      <c r="K41" s="157">
        <f t="shared" si="18"/>
        <v>0</v>
      </c>
      <c r="L41" s="157">
        <v>0</v>
      </c>
      <c r="M41" s="157">
        <f t="shared" si="37"/>
        <v>0</v>
      </c>
      <c r="N41" s="157">
        <v>0</v>
      </c>
      <c r="O41" s="157">
        <f t="shared" si="21"/>
        <v>0</v>
      </c>
      <c r="P41" s="156">
        <v>0</v>
      </c>
      <c r="Q41" s="172">
        <f t="shared" si="38"/>
        <v>3.3581169140030438</v>
      </c>
      <c r="R41" s="156">
        <v>0</v>
      </c>
      <c r="S41" s="172">
        <f t="shared" si="36"/>
        <v>2.4927560169330287</v>
      </c>
      <c r="T41" s="156">
        <v>0</v>
      </c>
      <c r="U41" s="171">
        <f t="shared" si="34"/>
        <v>1.28254234446347</v>
      </c>
      <c r="V41" s="156">
        <v>0</v>
      </c>
      <c r="W41" s="171">
        <f t="shared" si="32"/>
        <v>1.030683575913242</v>
      </c>
      <c r="X41" s="159">
        <v>0</v>
      </c>
      <c r="Y41" s="170">
        <f t="shared" si="33"/>
        <v>3.4872752568493151</v>
      </c>
      <c r="Z41" s="156">
        <v>50</v>
      </c>
      <c r="AA41" s="156">
        <f t="shared" si="26"/>
        <v>6.6129071537290711</v>
      </c>
      <c r="AB41" s="156">
        <v>0</v>
      </c>
      <c r="AC41" s="171">
        <f t="shared" si="31"/>
        <v>8.1240597650304416</v>
      </c>
      <c r="AD41" s="156">
        <f t="shared" si="35"/>
        <v>0</v>
      </c>
      <c r="AE41" s="166">
        <f t="shared" si="27"/>
        <v>10.216424919140028</v>
      </c>
      <c r="AF41" s="24"/>
      <c r="AG41" s="24"/>
      <c r="AH41" s="149" t="s">
        <v>74</v>
      </c>
      <c r="AI41" s="150">
        <f t="shared" si="14"/>
        <v>475.05005844748854</v>
      </c>
      <c r="AJ41" s="151">
        <f t="shared" si="15"/>
        <v>16.778960319159054</v>
      </c>
      <c r="AK41" s="151">
        <f t="shared" ref="AK41:AK72" si="41">C41+E41</f>
        <v>555.23502184539916</v>
      </c>
      <c r="AL41" s="151">
        <f t="shared" ref="AL41:AL72" si="42">(SUM($D$4:$AE$4)-$I$4)-(D41+L41+J41+N41+P41+R41+T41+V41+X41+Z41+AB41+AD41)</f>
        <v>3969</v>
      </c>
      <c r="AM41" s="150">
        <f t="shared" si="28"/>
        <v>141.82901876664764</v>
      </c>
      <c r="AN41" s="271">
        <f t="shared" si="29"/>
        <v>905.23502184539916</v>
      </c>
    </row>
    <row r="42" spans="2:40" ht="14.25" x14ac:dyDescent="0.2">
      <c r="B42" s="155">
        <f t="shared" si="6"/>
        <v>34</v>
      </c>
      <c r="C42" s="157">
        <v>29.214778546130646</v>
      </c>
      <c r="D42" s="156">
        <f t="shared" si="40"/>
        <v>0</v>
      </c>
      <c r="E42" s="156">
        <f t="shared" si="40"/>
        <v>525</v>
      </c>
      <c r="F42" s="157">
        <f t="shared" si="7"/>
        <v>350</v>
      </c>
      <c r="G42" s="157">
        <v>18</v>
      </c>
      <c r="H42" s="158">
        <v>8.65</v>
      </c>
      <c r="I42" s="156">
        <f t="shared" si="8"/>
        <v>80.304974614726021</v>
      </c>
      <c r="J42" s="157">
        <v>0</v>
      </c>
      <c r="K42" s="157">
        <f t="shared" si="18"/>
        <v>0</v>
      </c>
      <c r="L42" s="157">
        <v>0</v>
      </c>
      <c r="M42" s="157">
        <f t="shared" si="37"/>
        <v>0</v>
      </c>
      <c r="N42" s="157">
        <v>0</v>
      </c>
      <c r="O42" s="157">
        <f t="shared" si="21"/>
        <v>0</v>
      </c>
      <c r="P42" s="156">
        <v>0</v>
      </c>
      <c r="Q42" s="172">
        <f t="shared" si="38"/>
        <v>3.3581169140030438</v>
      </c>
      <c r="R42" s="156">
        <v>0</v>
      </c>
      <c r="S42" s="172">
        <f t="shared" si="36"/>
        <v>2.4927560169330287</v>
      </c>
      <c r="T42" s="156">
        <v>0</v>
      </c>
      <c r="U42" s="171">
        <f t="shared" si="34"/>
        <v>1.28254234446347</v>
      </c>
      <c r="V42" s="156">
        <v>0</v>
      </c>
      <c r="W42" s="171">
        <f t="shared" si="32"/>
        <v>1.030683575913242</v>
      </c>
      <c r="X42" s="159">
        <v>0</v>
      </c>
      <c r="Y42" s="170">
        <f t="shared" si="33"/>
        <v>3.4872752568493151</v>
      </c>
      <c r="Z42" s="156">
        <v>50</v>
      </c>
      <c r="AA42" s="156">
        <f t="shared" si="26"/>
        <v>6.6129071537290711</v>
      </c>
      <c r="AB42" s="156">
        <v>0</v>
      </c>
      <c r="AC42" s="171">
        <f t="shared" si="31"/>
        <v>8.1240597650304416</v>
      </c>
      <c r="AD42" s="156">
        <f t="shared" si="35"/>
        <v>0</v>
      </c>
      <c r="AE42" s="166">
        <f t="shared" si="27"/>
        <v>10.216424919140028</v>
      </c>
      <c r="AF42" s="24"/>
      <c r="AG42" s="24"/>
      <c r="AH42" s="149" t="s">
        <v>74</v>
      </c>
      <c r="AI42" s="150">
        <f t="shared" si="14"/>
        <v>475.05005844748854</v>
      </c>
      <c r="AJ42" s="151">
        <f t="shared" si="15"/>
        <v>16.778960319159054</v>
      </c>
      <c r="AK42" s="151">
        <f t="shared" si="41"/>
        <v>554.21477854613067</v>
      </c>
      <c r="AL42" s="151">
        <f t="shared" si="42"/>
        <v>3969</v>
      </c>
      <c r="AM42" s="150">
        <f t="shared" si="28"/>
        <v>141.82901876664764</v>
      </c>
      <c r="AN42" s="271">
        <f t="shared" si="29"/>
        <v>904.21477854613067</v>
      </c>
    </row>
    <row r="43" spans="2:40" ht="14.25" x14ac:dyDescent="0.2">
      <c r="B43" s="155">
        <f t="shared" si="6"/>
        <v>35</v>
      </c>
      <c r="C43" s="157">
        <v>28.22885261613251</v>
      </c>
      <c r="D43" s="156">
        <f t="shared" si="40"/>
        <v>0</v>
      </c>
      <c r="E43" s="156">
        <f t="shared" si="40"/>
        <v>525</v>
      </c>
      <c r="F43" s="157">
        <f t="shared" si="7"/>
        <v>350</v>
      </c>
      <c r="G43" s="157">
        <v>18</v>
      </c>
      <c r="H43" s="158">
        <v>8.65</v>
      </c>
      <c r="I43" s="156">
        <f t="shared" si="8"/>
        <v>80.304974614726021</v>
      </c>
      <c r="J43" s="157">
        <v>0</v>
      </c>
      <c r="K43" s="157">
        <f t="shared" si="18"/>
        <v>0</v>
      </c>
      <c r="L43" s="157">
        <v>0</v>
      </c>
      <c r="M43" s="157">
        <f t="shared" si="37"/>
        <v>0</v>
      </c>
      <c r="N43" s="157">
        <v>0</v>
      </c>
      <c r="O43" s="157">
        <f t="shared" si="21"/>
        <v>0</v>
      </c>
      <c r="P43" s="156">
        <v>0</v>
      </c>
      <c r="Q43" s="172">
        <f t="shared" si="38"/>
        <v>3.3581169140030438</v>
      </c>
      <c r="R43" s="156">
        <v>0</v>
      </c>
      <c r="S43" s="172">
        <f t="shared" si="36"/>
        <v>2.4927560169330287</v>
      </c>
      <c r="T43" s="156">
        <v>0</v>
      </c>
      <c r="U43" s="171">
        <f t="shared" si="34"/>
        <v>1.28254234446347</v>
      </c>
      <c r="V43" s="156">
        <v>0</v>
      </c>
      <c r="W43" s="171">
        <f t="shared" si="32"/>
        <v>1.030683575913242</v>
      </c>
      <c r="X43" s="159">
        <v>0</v>
      </c>
      <c r="Y43" s="170">
        <f t="shared" si="33"/>
        <v>3.4872752568493151</v>
      </c>
      <c r="Z43" s="156">
        <v>50</v>
      </c>
      <c r="AA43" s="156">
        <f t="shared" si="26"/>
        <v>6.6129071537290711</v>
      </c>
      <c r="AB43" s="156">
        <v>0</v>
      </c>
      <c r="AC43" s="171">
        <f t="shared" si="31"/>
        <v>8.1240597650304416</v>
      </c>
      <c r="AD43" s="156">
        <f t="shared" si="35"/>
        <v>0</v>
      </c>
      <c r="AE43" s="166">
        <f t="shared" si="27"/>
        <v>10.216424919140028</v>
      </c>
      <c r="AF43" s="24"/>
      <c r="AG43" s="24"/>
      <c r="AH43" s="149" t="s">
        <v>74</v>
      </c>
      <c r="AI43" s="150">
        <f t="shared" si="14"/>
        <v>475.05005844748854</v>
      </c>
      <c r="AJ43" s="151">
        <f t="shared" si="15"/>
        <v>16.778960319159054</v>
      </c>
      <c r="AK43" s="151">
        <f t="shared" si="41"/>
        <v>553.22885261613249</v>
      </c>
      <c r="AL43" s="151">
        <f t="shared" si="42"/>
        <v>3969</v>
      </c>
      <c r="AM43" s="150">
        <f t="shared" si="28"/>
        <v>141.82901876664764</v>
      </c>
      <c r="AN43" s="271">
        <f t="shared" si="29"/>
        <v>903.22885261613249</v>
      </c>
    </row>
    <row r="44" spans="2:40" ht="14.25" x14ac:dyDescent="0.2">
      <c r="B44" s="155">
        <f t="shared" si="6"/>
        <v>36</v>
      </c>
      <c r="C44" s="157">
        <v>27.25760532748555</v>
      </c>
      <c r="D44" s="156">
        <f t="shared" si="40"/>
        <v>0</v>
      </c>
      <c r="E44" s="156">
        <f t="shared" si="40"/>
        <v>525</v>
      </c>
      <c r="F44" s="157">
        <f t="shared" si="7"/>
        <v>350</v>
      </c>
      <c r="G44" s="157">
        <v>18</v>
      </c>
      <c r="H44" s="158">
        <v>8.65</v>
      </c>
      <c r="I44" s="156">
        <f t="shared" si="8"/>
        <v>80.304974614726021</v>
      </c>
      <c r="J44" s="157">
        <v>0</v>
      </c>
      <c r="K44" s="157">
        <f t="shared" si="18"/>
        <v>0</v>
      </c>
      <c r="L44" s="157">
        <v>0</v>
      </c>
      <c r="M44" s="157">
        <f t="shared" si="37"/>
        <v>0</v>
      </c>
      <c r="N44" s="157">
        <v>0</v>
      </c>
      <c r="O44" s="157">
        <f t="shared" si="21"/>
        <v>0</v>
      </c>
      <c r="P44" s="156">
        <v>0</v>
      </c>
      <c r="Q44" s="172">
        <f t="shared" si="38"/>
        <v>3.3581169140030438</v>
      </c>
      <c r="R44" s="156">
        <v>0</v>
      </c>
      <c r="S44" s="172">
        <f t="shared" si="36"/>
        <v>2.4927560169330287</v>
      </c>
      <c r="T44" s="156">
        <v>0</v>
      </c>
      <c r="U44" s="171">
        <f t="shared" si="34"/>
        <v>1.28254234446347</v>
      </c>
      <c r="V44" s="156">
        <v>0</v>
      </c>
      <c r="W44" s="171">
        <f t="shared" si="32"/>
        <v>1.030683575913242</v>
      </c>
      <c r="X44" s="159">
        <v>0</v>
      </c>
      <c r="Y44" s="170">
        <f t="shared" si="33"/>
        <v>3.4872752568493151</v>
      </c>
      <c r="Z44" s="156">
        <v>50</v>
      </c>
      <c r="AA44" s="156">
        <f t="shared" si="26"/>
        <v>6.6129071537290711</v>
      </c>
      <c r="AB44" s="156">
        <v>0</v>
      </c>
      <c r="AC44" s="171">
        <f t="shared" si="31"/>
        <v>8.1240597650304416</v>
      </c>
      <c r="AD44" s="156">
        <f t="shared" si="35"/>
        <v>0</v>
      </c>
      <c r="AE44" s="166">
        <f t="shared" si="27"/>
        <v>10.216424919140028</v>
      </c>
      <c r="AF44" s="24"/>
      <c r="AG44" s="24"/>
      <c r="AH44" s="149" t="s">
        <v>74</v>
      </c>
      <c r="AI44" s="150">
        <f t="shared" si="14"/>
        <v>475.05005844748854</v>
      </c>
      <c r="AJ44" s="151">
        <f t="shared" si="15"/>
        <v>16.778960319159054</v>
      </c>
      <c r="AK44" s="151">
        <f t="shared" si="41"/>
        <v>552.25760532748552</v>
      </c>
      <c r="AL44" s="151">
        <f t="shared" si="42"/>
        <v>3969</v>
      </c>
      <c r="AM44" s="150">
        <f t="shared" si="28"/>
        <v>141.82901876664764</v>
      </c>
      <c r="AN44" s="271">
        <f t="shared" si="29"/>
        <v>902.25760532748552</v>
      </c>
    </row>
    <row r="45" spans="2:40" ht="14.25" x14ac:dyDescent="0.2">
      <c r="B45" s="155">
        <f t="shared" si="6"/>
        <v>37</v>
      </c>
      <c r="C45" s="157">
        <v>26.286126198173449</v>
      </c>
      <c r="D45" s="156">
        <f t="shared" si="40"/>
        <v>0</v>
      </c>
      <c r="E45" s="156">
        <f t="shared" si="40"/>
        <v>525</v>
      </c>
      <c r="F45" s="157">
        <f t="shared" si="7"/>
        <v>350</v>
      </c>
      <c r="G45" s="157">
        <v>18</v>
      </c>
      <c r="H45" s="158">
        <v>8.65</v>
      </c>
      <c r="I45" s="156">
        <f t="shared" si="8"/>
        <v>80.304974614726021</v>
      </c>
      <c r="J45" s="157">
        <v>0</v>
      </c>
      <c r="K45" s="157">
        <f t="shared" si="18"/>
        <v>0</v>
      </c>
      <c r="L45" s="157">
        <v>0</v>
      </c>
      <c r="M45" s="157">
        <f t="shared" si="37"/>
        <v>0</v>
      </c>
      <c r="N45" s="157">
        <v>0</v>
      </c>
      <c r="O45" s="157">
        <f t="shared" si="21"/>
        <v>0</v>
      </c>
      <c r="P45" s="156">
        <v>0</v>
      </c>
      <c r="Q45" s="172">
        <f t="shared" si="38"/>
        <v>3.3581169140030438</v>
      </c>
      <c r="R45" s="156">
        <v>0</v>
      </c>
      <c r="S45" s="172">
        <f t="shared" si="36"/>
        <v>2.4927560169330287</v>
      </c>
      <c r="T45" s="156">
        <v>0</v>
      </c>
      <c r="U45" s="171">
        <f t="shared" si="34"/>
        <v>1.28254234446347</v>
      </c>
      <c r="V45" s="156">
        <v>0</v>
      </c>
      <c r="W45" s="171">
        <f t="shared" si="32"/>
        <v>1.030683575913242</v>
      </c>
      <c r="X45" s="159">
        <v>0</v>
      </c>
      <c r="Y45" s="170">
        <f t="shared" si="33"/>
        <v>3.4872752568493151</v>
      </c>
      <c r="Z45" s="156">
        <v>50</v>
      </c>
      <c r="AA45" s="156">
        <f t="shared" si="26"/>
        <v>6.6129071537290711</v>
      </c>
      <c r="AB45" s="156">
        <v>0</v>
      </c>
      <c r="AC45" s="171">
        <f t="shared" si="31"/>
        <v>8.1240597650304416</v>
      </c>
      <c r="AD45" s="156">
        <f t="shared" si="35"/>
        <v>0</v>
      </c>
      <c r="AE45" s="166">
        <f t="shared" si="27"/>
        <v>10.216424919140028</v>
      </c>
      <c r="AF45" s="24"/>
      <c r="AG45" s="24"/>
      <c r="AH45" s="149" t="s">
        <v>74</v>
      </c>
      <c r="AI45" s="150">
        <f t="shared" si="14"/>
        <v>475.05005844748854</v>
      </c>
      <c r="AJ45" s="151">
        <f t="shared" si="15"/>
        <v>16.778960319159054</v>
      </c>
      <c r="AK45" s="151">
        <f t="shared" si="41"/>
        <v>551.28612619817341</v>
      </c>
      <c r="AL45" s="151">
        <f t="shared" si="42"/>
        <v>3969</v>
      </c>
      <c r="AM45" s="150">
        <f t="shared" si="28"/>
        <v>141.82901876664764</v>
      </c>
      <c r="AN45" s="271">
        <f t="shared" si="29"/>
        <v>901.28612619817341</v>
      </c>
    </row>
    <row r="46" spans="2:40" ht="14.25" x14ac:dyDescent="0.2">
      <c r="B46" s="155">
        <f t="shared" si="6"/>
        <v>38</v>
      </c>
      <c r="C46" s="157">
        <v>25.318442991088215</v>
      </c>
      <c r="D46" s="156">
        <f t="shared" si="40"/>
        <v>0</v>
      </c>
      <c r="E46" s="156">
        <f t="shared" si="40"/>
        <v>525</v>
      </c>
      <c r="F46" s="157">
        <f t="shared" si="7"/>
        <v>350</v>
      </c>
      <c r="G46" s="157">
        <v>18</v>
      </c>
      <c r="H46" s="158">
        <v>8.65</v>
      </c>
      <c r="I46" s="156">
        <f t="shared" si="8"/>
        <v>80.304974614726021</v>
      </c>
      <c r="J46" s="157">
        <v>0</v>
      </c>
      <c r="K46" s="157">
        <f t="shared" si="18"/>
        <v>0</v>
      </c>
      <c r="L46" s="157">
        <v>0</v>
      </c>
      <c r="M46" s="157">
        <f t="shared" si="37"/>
        <v>0</v>
      </c>
      <c r="N46" s="157">
        <v>0</v>
      </c>
      <c r="O46" s="157">
        <f t="shared" si="21"/>
        <v>0</v>
      </c>
      <c r="P46" s="156">
        <v>0</v>
      </c>
      <c r="Q46" s="172">
        <f t="shared" si="38"/>
        <v>3.3581169140030438</v>
      </c>
      <c r="R46" s="156">
        <v>0</v>
      </c>
      <c r="S46" s="172">
        <f t="shared" si="36"/>
        <v>2.4927560169330287</v>
      </c>
      <c r="T46" s="156">
        <v>0</v>
      </c>
      <c r="U46" s="171">
        <f t="shared" si="34"/>
        <v>1.28254234446347</v>
      </c>
      <c r="V46" s="156">
        <v>0</v>
      </c>
      <c r="W46" s="171">
        <f t="shared" si="32"/>
        <v>1.030683575913242</v>
      </c>
      <c r="X46" s="159">
        <v>0</v>
      </c>
      <c r="Y46" s="170">
        <f t="shared" si="33"/>
        <v>3.4872752568493151</v>
      </c>
      <c r="Z46" s="156">
        <v>50</v>
      </c>
      <c r="AA46" s="156">
        <f t="shared" si="26"/>
        <v>6.6129071537290711</v>
      </c>
      <c r="AB46" s="156">
        <v>0</v>
      </c>
      <c r="AC46" s="171">
        <f t="shared" si="31"/>
        <v>8.1240597650304416</v>
      </c>
      <c r="AD46" s="156">
        <f t="shared" si="35"/>
        <v>0</v>
      </c>
      <c r="AE46" s="166">
        <f t="shared" si="27"/>
        <v>10.216424919140028</v>
      </c>
      <c r="AF46" s="24"/>
      <c r="AG46" s="24"/>
      <c r="AH46" s="149" t="s">
        <v>74</v>
      </c>
      <c r="AI46" s="150">
        <f t="shared" si="14"/>
        <v>475.05005844748854</v>
      </c>
      <c r="AJ46" s="151">
        <f t="shared" si="15"/>
        <v>16.778960319159054</v>
      </c>
      <c r="AK46" s="151">
        <f t="shared" si="41"/>
        <v>550.3184429910882</v>
      </c>
      <c r="AL46" s="151">
        <f t="shared" si="42"/>
        <v>3969</v>
      </c>
      <c r="AM46" s="150">
        <f t="shared" si="28"/>
        <v>141.82901876664764</v>
      </c>
      <c r="AN46" s="271">
        <f t="shared" si="29"/>
        <v>900.3184429910882</v>
      </c>
    </row>
    <row r="47" spans="2:40" ht="14.25" x14ac:dyDescent="0.2">
      <c r="B47" s="155">
        <f t="shared" si="6"/>
        <v>39</v>
      </c>
      <c r="C47" s="157">
        <v>24.356425037060319</v>
      </c>
      <c r="D47" s="156">
        <f t="shared" si="40"/>
        <v>0</v>
      </c>
      <c r="E47" s="156">
        <f t="shared" si="40"/>
        <v>525</v>
      </c>
      <c r="F47" s="157">
        <f t="shared" si="7"/>
        <v>350</v>
      </c>
      <c r="G47" s="157">
        <v>18</v>
      </c>
      <c r="H47" s="158">
        <v>8.65</v>
      </c>
      <c r="I47" s="156">
        <f t="shared" si="8"/>
        <v>80.304974614726021</v>
      </c>
      <c r="J47" s="157">
        <v>0</v>
      </c>
      <c r="K47" s="157">
        <f t="shared" si="18"/>
        <v>0</v>
      </c>
      <c r="L47" s="157">
        <v>0</v>
      </c>
      <c r="M47" s="157">
        <f t="shared" si="37"/>
        <v>0</v>
      </c>
      <c r="N47" s="157">
        <v>0</v>
      </c>
      <c r="O47" s="157">
        <f t="shared" si="21"/>
        <v>0</v>
      </c>
      <c r="P47" s="156">
        <v>0</v>
      </c>
      <c r="Q47" s="172">
        <f t="shared" si="38"/>
        <v>3.3581169140030438</v>
      </c>
      <c r="R47" s="156">
        <v>0</v>
      </c>
      <c r="S47" s="172">
        <f t="shared" si="36"/>
        <v>2.4927560169330287</v>
      </c>
      <c r="T47" s="156">
        <v>0</v>
      </c>
      <c r="U47" s="171">
        <f t="shared" si="34"/>
        <v>1.28254234446347</v>
      </c>
      <c r="V47" s="156">
        <v>0</v>
      </c>
      <c r="W47" s="171">
        <f t="shared" si="32"/>
        <v>1.030683575913242</v>
      </c>
      <c r="X47" s="159">
        <v>0</v>
      </c>
      <c r="Y47" s="170">
        <f t="shared" si="33"/>
        <v>3.4872752568493151</v>
      </c>
      <c r="Z47" s="156">
        <v>50</v>
      </c>
      <c r="AA47" s="156">
        <f t="shared" si="26"/>
        <v>6.6129071537290711</v>
      </c>
      <c r="AB47" s="156">
        <v>0</v>
      </c>
      <c r="AC47" s="171">
        <f t="shared" si="31"/>
        <v>8.1240597650304416</v>
      </c>
      <c r="AD47" s="156">
        <f t="shared" si="35"/>
        <v>0</v>
      </c>
      <c r="AE47" s="166">
        <f t="shared" ref="AE47:AE78" si="43">((($AD$7/12)*$AD$4)*325851)/(365*1440)</f>
        <v>10.216424919140028</v>
      </c>
      <c r="AF47" s="24"/>
      <c r="AG47" s="24"/>
      <c r="AH47" s="149" t="s">
        <v>74</v>
      </c>
      <c r="AI47" s="150">
        <f t="shared" si="14"/>
        <v>475.05005844748854</v>
      </c>
      <c r="AJ47" s="151">
        <f t="shared" si="15"/>
        <v>16.778960319159054</v>
      </c>
      <c r="AK47" s="151">
        <f t="shared" si="41"/>
        <v>549.35642503706026</v>
      </c>
      <c r="AL47" s="151">
        <f t="shared" si="42"/>
        <v>3969</v>
      </c>
      <c r="AM47" s="150">
        <f t="shared" si="28"/>
        <v>141.82901876664764</v>
      </c>
      <c r="AN47" s="271">
        <f t="shared" si="29"/>
        <v>899.35642503706026</v>
      </c>
    </row>
    <row r="48" spans="2:40" ht="14.25" x14ac:dyDescent="0.2">
      <c r="B48" s="155">
        <f t="shared" si="6"/>
        <v>40</v>
      </c>
      <c r="C48" s="157">
        <v>23.401727696184011</v>
      </c>
      <c r="D48" s="156">
        <f t="shared" si="40"/>
        <v>0</v>
      </c>
      <c r="E48" s="156">
        <f t="shared" si="40"/>
        <v>525</v>
      </c>
      <c r="F48" s="157">
        <f t="shared" si="7"/>
        <v>350</v>
      </c>
      <c r="G48" s="157">
        <v>18</v>
      </c>
      <c r="H48" s="158">
        <v>8.65</v>
      </c>
      <c r="I48" s="156">
        <f t="shared" si="8"/>
        <v>80.304974614726021</v>
      </c>
      <c r="J48" s="157">
        <v>0</v>
      </c>
      <c r="K48" s="157">
        <f t="shared" si="18"/>
        <v>0</v>
      </c>
      <c r="L48" s="157">
        <v>0</v>
      </c>
      <c r="M48" s="157">
        <f t="shared" si="37"/>
        <v>0</v>
      </c>
      <c r="N48" s="157">
        <v>0</v>
      </c>
      <c r="O48" s="157">
        <f t="shared" si="21"/>
        <v>0</v>
      </c>
      <c r="P48" s="156">
        <v>0</v>
      </c>
      <c r="Q48" s="172">
        <f t="shared" si="38"/>
        <v>3.3581169140030438</v>
      </c>
      <c r="R48" s="156">
        <v>0</v>
      </c>
      <c r="S48" s="172">
        <f t="shared" si="36"/>
        <v>2.4927560169330287</v>
      </c>
      <c r="T48" s="156">
        <v>0</v>
      </c>
      <c r="U48" s="171">
        <f t="shared" si="34"/>
        <v>1.28254234446347</v>
      </c>
      <c r="V48" s="156">
        <v>0</v>
      </c>
      <c r="W48" s="171">
        <f t="shared" si="32"/>
        <v>1.030683575913242</v>
      </c>
      <c r="X48" s="159">
        <v>0</v>
      </c>
      <c r="Y48" s="170">
        <f t="shared" si="33"/>
        <v>3.4872752568493151</v>
      </c>
      <c r="Z48" s="156">
        <v>50</v>
      </c>
      <c r="AA48" s="156">
        <f t="shared" si="26"/>
        <v>6.6129071537290711</v>
      </c>
      <c r="AB48" s="156">
        <v>0</v>
      </c>
      <c r="AC48" s="171">
        <f t="shared" si="31"/>
        <v>8.1240597650304416</v>
      </c>
      <c r="AD48" s="156">
        <f t="shared" si="35"/>
        <v>0</v>
      </c>
      <c r="AE48" s="166">
        <f t="shared" si="43"/>
        <v>10.216424919140028</v>
      </c>
      <c r="AF48" s="24"/>
      <c r="AG48" s="24"/>
      <c r="AH48" s="149" t="s">
        <v>74</v>
      </c>
      <c r="AI48" s="150">
        <f t="shared" si="14"/>
        <v>475.05005844748854</v>
      </c>
      <c r="AJ48" s="151">
        <f t="shared" si="15"/>
        <v>16.778960319159054</v>
      </c>
      <c r="AK48" s="151">
        <f t="shared" si="41"/>
        <v>548.40172769618403</v>
      </c>
      <c r="AL48" s="151">
        <f t="shared" si="42"/>
        <v>3969</v>
      </c>
      <c r="AM48" s="150">
        <f t="shared" si="28"/>
        <v>141.82901876664764</v>
      </c>
      <c r="AN48" s="271">
        <f t="shared" si="29"/>
        <v>898.40172769618403</v>
      </c>
    </row>
    <row r="49" spans="2:40" ht="14.25" x14ac:dyDescent="0.2">
      <c r="B49" s="155">
        <f t="shared" si="6"/>
        <v>41</v>
      </c>
      <c r="C49" s="157">
        <v>22.458280839863143</v>
      </c>
      <c r="D49" s="156">
        <f t="shared" si="40"/>
        <v>0</v>
      </c>
      <c r="E49" s="156">
        <f t="shared" si="40"/>
        <v>525</v>
      </c>
      <c r="F49" s="157">
        <f t="shared" si="7"/>
        <v>350</v>
      </c>
      <c r="G49" s="157">
        <v>18</v>
      </c>
      <c r="H49" s="158">
        <v>8.65</v>
      </c>
      <c r="I49" s="156">
        <f t="shared" si="8"/>
        <v>80.304974614726021</v>
      </c>
      <c r="J49" s="157">
        <v>0</v>
      </c>
      <c r="K49" s="157">
        <f t="shared" si="18"/>
        <v>0</v>
      </c>
      <c r="L49" s="157">
        <v>0</v>
      </c>
      <c r="M49" s="157">
        <f t="shared" si="37"/>
        <v>0</v>
      </c>
      <c r="N49" s="157">
        <v>0</v>
      </c>
      <c r="O49" s="157">
        <f t="shared" si="21"/>
        <v>0</v>
      </c>
      <c r="P49" s="156">
        <v>0</v>
      </c>
      <c r="Q49" s="172">
        <f t="shared" si="38"/>
        <v>3.3581169140030438</v>
      </c>
      <c r="R49" s="156">
        <v>0</v>
      </c>
      <c r="S49" s="172">
        <f t="shared" si="36"/>
        <v>2.4927560169330287</v>
      </c>
      <c r="T49" s="156">
        <v>0</v>
      </c>
      <c r="U49" s="171">
        <f t="shared" si="34"/>
        <v>1.28254234446347</v>
      </c>
      <c r="V49" s="156">
        <v>0</v>
      </c>
      <c r="W49" s="171">
        <f t="shared" si="32"/>
        <v>1.030683575913242</v>
      </c>
      <c r="X49" s="159">
        <v>0</v>
      </c>
      <c r="Y49" s="170">
        <f t="shared" si="33"/>
        <v>3.4872752568493151</v>
      </c>
      <c r="Z49" s="156">
        <v>50</v>
      </c>
      <c r="AA49" s="156">
        <f t="shared" si="26"/>
        <v>6.6129071537290711</v>
      </c>
      <c r="AB49" s="156">
        <v>0</v>
      </c>
      <c r="AC49" s="171">
        <f t="shared" si="31"/>
        <v>8.1240597650304416</v>
      </c>
      <c r="AD49" s="156">
        <f t="shared" si="35"/>
        <v>0</v>
      </c>
      <c r="AE49" s="166">
        <f t="shared" si="43"/>
        <v>10.216424919140028</v>
      </c>
      <c r="AF49" s="24"/>
      <c r="AG49" s="24"/>
      <c r="AH49" s="149" t="s">
        <v>74</v>
      </c>
      <c r="AI49" s="150">
        <f t="shared" si="14"/>
        <v>475.05005844748854</v>
      </c>
      <c r="AJ49" s="151">
        <f t="shared" si="15"/>
        <v>16.778960319159054</v>
      </c>
      <c r="AK49" s="151">
        <f t="shared" si="41"/>
        <v>547.45828083986316</v>
      </c>
      <c r="AL49" s="151">
        <f t="shared" si="42"/>
        <v>3969</v>
      </c>
      <c r="AM49" s="150">
        <f t="shared" si="28"/>
        <v>141.82901876664764</v>
      </c>
      <c r="AN49" s="271">
        <f t="shared" si="29"/>
        <v>897.45828083986316</v>
      </c>
    </row>
    <row r="50" spans="2:40" ht="14.25" x14ac:dyDescent="0.2">
      <c r="B50" s="155">
        <f t="shared" si="6"/>
        <v>42</v>
      </c>
      <c r="C50" s="157">
        <v>21.529547924149171</v>
      </c>
      <c r="D50" s="156">
        <f t="shared" si="40"/>
        <v>0</v>
      </c>
      <c r="E50" s="156">
        <f t="shared" si="40"/>
        <v>525</v>
      </c>
      <c r="F50" s="157">
        <f t="shared" si="7"/>
        <v>350</v>
      </c>
      <c r="G50" s="157">
        <v>18</v>
      </c>
      <c r="H50" s="158">
        <v>8.65</v>
      </c>
      <c r="I50" s="156">
        <f t="shared" si="8"/>
        <v>80.304974614726021</v>
      </c>
      <c r="J50" s="157">
        <v>0</v>
      </c>
      <c r="K50" s="157">
        <f t="shared" si="18"/>
        <v>0</v>
      </c>
      <c r="L50" s="157">
        <v>0</v>
      </c>
      <c r="M50" s="157">
        <f t="shared" si="37"/>
        <v>0</v>
      </c>
      <c r="N50" s="157">
        <v>0</v>
      </c>
      <c r="O50" s="157">
        <f t="shared" si="21"/>
        <v>0</v>
      </c>
      <c r="P50" s="156">
        <v>0</v>
      </c>
      <c r="Q50" s="172">
        <f t="shared" si="38"/>
        <v>3.3581169140030438</v>
      </c>
      <c r="R50" s="156">
        <v>0</v>
      </c>
      <c r="S50" s="172">
        <f t="shared" si="36"/>
        <v>2.4927560169330287</v>
      </c>
      <c r="T50" s="156">
        <v>0</v>
      </c>
      <c r="U50" s="171">
        <f t="shared" si="34"/>
        <v>1.28254234446347</v>
      </c>
      <c r="V50" s="156">
        <v>0</v>
      </c>
      <c r="W50" s="171">
        <f t="shared" si="32"/>
        <v>1.030683575913242</v>
      </c>
      <c r="X50" s="159">
        <v>0</v>
      </c>
      <c r="Y50" s="170">
        <f t="shared" ref="Y50:Y81" si="44">((($X$7/12)*$X$4)*325851)/(365*1440)</f>
        <v>3.4872752568493151</v>
      </c>
      <c r="Z50" s="156">
        <v>50</v>
      </c>
      <c r="AA50" s="156">
        <f t="shared" si="26"/>
        <v>6.6129071537290711</v>
      </c>
      <c r="AB50" s="156">
        <v>0</v>
      </c>
      <c r="AC50" s="171">
        <f t="shared" ref="AC50:AC81" si="45">((($AB$7/12)*$AB$4)*325851)/(365*1440)</f>
        <v>8.1240597650304416</v>
      </c>
      <c r="AD50" s="156">
        <f t="shared" si="35"/>
        <v>0</v>
      </c>
      <c r="AE50" s="166">
        <f t="shared" si="43"/>
        <v>10.216424919140028</v>
      </c>
      <c r="AF50" s="24"/>
      <c r="AG50" s="24"/>
      <c r="AH50" s="149" t="s">
        <v>74</v>
      </c>
      <c r="AI50" s="150">
        <f t="shared" si="14"/>
        <v>475.05005844748854</v>
      </c>
      <c r="AJ50" s="151">
        <f t="shared" si="15"/>
        <v>16.778960319159054</v>
      </c>
      <c r="AK50" s="151">
        <f t="shared" si="41"/>
        <v>546.52954792414914</v>
      </c>
      <c r="AL50" s="151">
        <f t="shared" si="42"/>
        <v>3969</v>
      </c>
      <c r="AM50" s="150">
        <f t="shared" si="28"/>
        <v>141.82901876664764</v>
      </c>
      <c r="AN50" s="271">
        <f t="shared" si="29"/>
        <v>896.52954792414914</v>
      </c>
    </row>
    <row r="51" spans="2:40" ht="14.25" x14ac:dyDescent="0.2">
      <c r="B51" s="155">
        <f t="shared" si="6"/>
        <v>43</v>
      </c>
      <c r="C51" s="157">
        <v>20.61595618483868</v>
      </c>
      <c r="D51" s="156">
        <f t="shared" si="40"/>
        <v>0</v>
      </c>
      <c r="E51" s="156">
        <f t="shared" si="40"/>
        <v>525</v>
      </c>
      <c r="F51" s="157">
        <f t="shared" si="7"/>
        <v>350</v>
      </c>
      <c r="G51" s="157">
        <v>18</v>
      </c>
      <c r="H51" s="158">
        <v>8.65</v>
      </c>
      <c r="I51" s="156">
        <f t="shared" si="8"/>
        <v>80.304974614726021</v>
      </c>
      <c r="J51" s="157">
        <v>0</v>
      </c>
      <c r="K51" s="157">
        <f t="shared" si="18"/>
        <v>0</v>
      </c>
      <c r="L51" s="157">
        <v>0</v>
      </c>
      <c r="M51" s="157">
        <f t="shared" si="37"/>
        <v>0</v>
      </c>
      <c r="N51" s="157">
        <v>0</v>
      </c>
      <c r="O51" s="157">
        <f t="shared" si="21"/>
        <v>0</v>
      </c>
      <c r="P51" s="156">
        <v>0</v>
      </c>
      <c r="Q51" s="172">
        <f t="shared" si="38"/>
        <v>3.3581169140030438</v>
      </c>
      <c r="R51" s="156">
        <v>0</v>
      </c>
      <c r="S51" s="172">
        <f t="shared" si="36"/>
        <v>2.4927560169330287</v>
      </c>
      <c r="T51" s="156">
        <v>0</v>
      </c>
      <c r="U51" s="171">
        <f t="shared" ref="U51:U82" si="46">((($T$7/12)*$T$4)*325851)/(365*1440)</f>
        <v>1.28254234446347</v>
      </c>
      <c r="V51" s="156">
        <v>0</v>
      </c>
      <c r="W51" s="171">
        <f t="shared" ref="W51:W82" si="47">((($V$7/12)*$V$4)*325851)/(365*1440)</f>
        <v>1.030683575913242</v>
      </c>
      <c r="X51" s="159">
        <v>0</v>
      </c>
      <c r="Y51" s="170">
        <f t="shared" si="44"/>
        <v>3.4872752568493151</v>
      </c>
      <c r="Z51" s="156">
        <v>50</v>
      </c>
      <c r="AA51" s="156">
        <f t="shared" si="26"/>
        <v>6.6129071537290711</v>
      </c>
      <c r="AB51" s="156">
        <v>0</v>
      </c>
      <c r="AC51" s="171">
        <f t="shared" si="45"/>
        <v>8.1240597650304416</v>
      </c>
      <c r="AD51" s="156">
        <f t="shared" si="35"/>
        <v>0</v>
      </c>
      <c r="AE51" s="166">
        <f t="shared" si="43"/>
        <v>10.216424919140028</v>
      </c>
      <c r="AF51" s="24"/>
      <c r="AG51" s="24"/>
      <c r="AH51" s="149" t="s">
        <v>74</v>
      </c>
      <c r="AI51" s="150">
        <f t="shared" si="14"/>
        <v>475.05005844748854</v>
      </c>
      <c r="AJ51" s="151">
        <f t="shared" si="15"/>
        <v>16.778960319159054</v>
      </c>
      <c r="AK51" s="151">
        <f t="shared" si="41"/>
        <v>545.61595618483864</v>
      </c>
      <c r="AL51" s="151">
        <f t="shared" si="42"/>
        <v>3969</v>
      </c>
      <c r="AM51" s="150">
        <f t="shared" si="28"/>
        <v>141.82901876664764</v>
      </c>
      <c r="AN51" s="271">
        <f t="shared" si="29"/>
        <v>895.61595618483864</v>
      </c>
    </row>
    <row r="52" spans="2:40" ht="14.25" x14ac:dyDescent="0.2">
      <c r="B52" s="155">
        <f t="shared" si="6"/>
        <v>44</v>
      </c>
      <c r="C52" s="157">
        <v>19.717557816741458</v>
      </c>
      <c r="D52" s="156">
        <f t="shared" si="40"/>
        <v>0</v>
      </c>
      <c r="E52" s="156">
        <f t="shared" si="40"/>
        <v>525</v>
      </c>
      <c r="F52" s="157">
        <f t="shared" si="7"/>
        <v>350</v>
      </c>
      <c r="G52" s="157">
        <v>18</v>
      </c>
      <c r="H52" s="158">
        <v>8.65</v>
      </c>
      <c r="I52" s="156">
        <f t="shared" si="8"/>
        <v>80.304974614726021</v>
      </c>
      <c r="J52" s="157">
        <v>0</v>
      </c>
      <c r="K52" s="157">
        <f t="shared" si="18"/>
        <v>0</v>
      </c>
      <c r="L52" s="157">
        <v>0</v>
      </c>
      <c r="M52" s="157">
        <f t="shared" si="37"/>
        <v>0</v>
      </c>
      <c r="N52" s="157">
        <v>0</v>
      </c>
      <c r="O52" s="157">
        <f t="shared" si="21"/>
        <v>0</v>
      </c>
      <c r="P52" s="156">
        <v>0</v>
      </c>
      <c r="Q52" s="172">
        <f t="shared" si="38"/>
        <v>3.3581169140030438</v>
      </c>
      <c r="R52" s="156">
        <v>0</v>
      </c>
      <c r="S52" s="172">
        <f t="shared" ref="S52:S83" si="48">((($R$7/12)*$R$4)*325851)/(365*1440)</f>
        <v>2.4927560169330287</v>
      </c>
      <c r="T52" s="156">
        <v>0</v>
      </c>
      <c r="U52" s="171">
        <f t="shared" si="46"/>
        <v>1.28254234446347</v>
      </c>
      <c r="V52" s="156">
        <v>0</v>
      </c>
      <c r="W52" s="171">
        <f t="shared" si="47"/>
        <v>1.030683575913242</v>
      </c>
      <c r="X52" s="159">
        <v>0</v>
      </c>
      <c r="Y52" s="170">
        <f t="shared" si="44"/>
        <v>3.4872752568493151</v>
      </c>
      <c r="Z52" s="156">
        <v>50</v>
      </c>
      <c r="AA52" s="156">
        <f t="shared" si="26"/>
        <v>6.6129071537290711</v>
      </c>
      <c r="AB52" s="156">
        <v>0</v>
      </c>
      <c r="AC52" s="171">
        <f t="shared" si="45"/>
        <v>8.1240597650304416</v>
      </c>
      <c r="AD52" s="156">
        <f t="shared" si="35"/>
        <v>0</v>
      </c>
      <c r="AE52" s="166">
        <f t="shared" si="43"/>
        <v>10.216424919140028</v>
      </c>
      <c r="AF52" s="24"/>
      <c r="AG52" s="24"/>
      <c r="AH52" s="149" t="s">
        <v>74</v>
      </c>
      <c r="AI52" s="150">
        <f t="shared" si="14"/>
        <v>475.05005844748854</v>
      </c>
      <c r="AJ52" s="151">
        <f t="shared" si="15"/>
        <v>16.778960319159054</v>
      </c>
      <c r="AK52" s="151">
        <f t="shared" si="41"/>
        <v>544.71755781674142</v>
      </c>
      <c r="AL52" s="151">
        <f t="shared" si="42"/>
        <v>3969</v>
      </c>
      <c r="AM52" s="150">
        <f t="shared" si="28"/>
        <v>141.82901876664764</v>
      </c>
      <c r="AN52" s="271">
        <f t="shared" si="29"/>
        <v>894.71755781674142</v>
      </c>
    </row>
    <row r="53" spans="2:40" ht="14.25" x14ac:dyDescent="0.2">
      <c r="B53" s="155">
        <f t="shared" si="6"/>
        <v>45</v>
      </c>
      <c r="C53" s="157">
        <v>18.836423807957498</v>
      </c>
      <c r="D53" s="156">
        <f t="shared" si="40"/>
        <v>0</v>
      </c>
      <c r="E53" s="156">
        <f t="shared" si="40"/>
        <v>525</v>
      </c>
      <c r="F53" s="157">
        <f t="shared" si="7"/>
        <v>350</v>
      </c>
      <c r="G53" s="157">
        <v>18</v>
      </c>
      <c r="H53" s="158">
        <v>8.65</v>
      </c>
      <c r="I53" s="156">
        <f t="shared" si="8"/>
        <v>80.304974614726021</v>
      </c>
      <c r="J53" s="157">
        <v>0</v>
      </c>
      <c r="K53" s="157">
        <f t="shared" si="18"/>
        <v>0</v>
      </c>
      <c r="L53" s="157">
        <v>0</v>
      </c>
      <c r="M53" s="157">
        <f t="shared" si="37"/>
        <v>0</v>
      </c>
      <c r="N53" s="157">
        <v>0</v>
      </c>
      <c r="O53" s="157">
        <f t="shared" si="21"/>
        <v>0</v>
      </c>
      <c r="P53" s="156">
        <v>0</v>
      </c>
      <c r="Q53" s="172">
        <f t="shared" ref="Q53:Q84" si="49">((($P$7/12)*$P$4)*325851)/(365*1440)</f>
        <v>3.3581169140030438</v>
      </c>
      <c r="R53" s="156">
        <v>0</v>
      </c>
      <c r="S53" s="172">
        <f t="shared" si="48"/>
        <v>2.4927560169330287</v>
      </c>
      <c r="T53" s="156">
        <v>0</v>
      </c>
      <c r="U53" s="171">
        <f t="shared" si="46"/>
        <v>1.28254234446347</v>
      </c>
      <c r="V53" s="156">
        <v>0</v>
      </c>
      <c r="W53" s="171">
        <f t="shared" si="47"/>
        <v>1.030683575913242</v>
      </c>
      <c r="X53" s="159">
        <v>0</v>
      </c>
      <c r="Y53" s="170">
        <f t="shared" si="44"/>
        <v>3.4872752568493151</v>
      </c>
      <c r="Z53" s="156">
        <v>50</v>
      </c>
      <c r="AA53" s="156">
        <f t="shared" si="26"/>
        <v>6.6129071537290711</v>
      </c>
      <c r="AB53" s="156">
        <v>0</v>
      </c>
      <c r="AC53" s="171">
        <f t="shared" si="45"/>
        <v>8.1240597650304416</v>
      </c>
      <c r="AD53" s="156">
        <f t="shared" si="35"/>
        <v>0</v>
      </c>
      <c r="AE53" s="166">
        <f t="shared" si="43"/>
        <v>10.216424919140028</v>
      </c>
      <c r="AF53" s="24"/>
      <c r="AG53" s="24"/>
      <c r="AH53" s="149" t="s">
        <v>74</v>
      </c>
      <c r="AI53" s="150">
        <f t="shared" si="14"/>
        <v>475.05005844748854</v>
      </c>
      <c r="AJ53" s="151">
        <f t="shared" si="15"/>
        <v>16.778960319159054</v>
      </c>
      <c r="AK53" s="151">
        <f t="shared" si="41"/>
        <v>543.83642380795754</v>
      </c>
      <c r="AL53" s="151">
        <f t="shared" si="42"/>
        <v>3969</v>
      </c>
      <c r="AM53" s="150">
        <f t="shared" si="28"/>
        <v>141.82901876664764</v>
      </c>
      <c r="AN53" s="271">
        <f t="shared" si="29"/>
        <v>893.83642380795754</v>
      </c>
    </row>
    <row r="54" spans="2:40" ht="14.25" x14ac:dyDescent="0.2">
      <c r="B54" s="155">
        <f t="shared" si="6"/>
        <v>46</v>
      </c>
      <c r="C54" s="157">
        <v>17.974141465291908</v>
      </c>
      <c r="D54" s="156">
        <f t="shared" si="40"/>
        <v>0</v>
      </c>
      <c r="E54" s="156">
        <f t="shared" si="40"/>
        <v>525</v>
      </c>
      <c r="F54" s="157">
        <f t="shared" si="7"/>
        <v>350</v>
      </c>
      <c r="G54" s="157">
        <v>18</v>
      </c>
      <c r="H54" s="158">
        <v>8.65</v>
      </c>
      <c r="I54" s="156">
        <f t="shared" si="8"/>
        <v>80.304974614726021</v>
      </c>
      <c r="J54" s="157">
        <v>0</v>
      </c>
      <c r="K54" s="157">
        <f t="shared" si="18"/>
        <v>0</v>
      </c>
      <c r="L54" s="157">
        <v>0</v>
      </c>
      <c r="M54" s="157">
        <f t="shared" si="37"/>
        <v>0</v>
      </c>
      <c r="N54" s="157">
        <v>0</v>
      </c>
      <c r="O54" s="157">
        <f t="shared" si="21"/>
        <v>0</v>
      </c>
      <c r="P54" s="156">
        <v>0</v>
      </c>
      <c r="Q54" s="172">
        <f t="shared" si="49"/>
        <v>3.3581169140030438</v>
      </c>
      <c r="R54" s="156">
        <v>0</v>
      </c>
      <c r="S54" s="172">
        <f t="shared" si="48"/>
        <v>2.4927560169330287</v>
      </c>
      <c r="T54" s="156">
        <v>0</v>
      </c>
      <c r="U54" s="171">
        <f t="shared" si="46"/>
        <v>1.28254234446347</v>
      </c>
      <c r="V54" s="156">
        <v>0</v>
      </c>
      <c r="W54" s="171">
        <f t="shared" si="47"/>
        <v>1.030683575913242</v>
      </c>
      <c r="X54" s="159">
        <v>0</v>
      </c>
      <c r="Y54" s="170">
        <f t="shared" si="44"/>
        <v>3.4872752568493151</v>
      </c>
      <c r="Z54" s="156">
        <v>50</v>
      </c>
      <c r="AA54" s="156">
        <f t="shared" si="26"/>
        <v>6.6129071537290711</v>
      </c>
      <c r="AB54" s="156">
        <v>0</v>
      </c>
      <c r="AC54" s="171">
        <f t="shared" si="45"/>
        <v>8.1240597650304416</v>
      </c>
      <c r="AD54" s="156">
        <f t="shared" si="35"/>
        <v>0</v>
      </c>
      <c r="AE54" s="166">
        <f t="shared" si="43"/>
        <v>10.216424919140028</v>
      </c>
      <c r="AF54" s="24"/>
      <c r="AG54" s="24"/>
      <c r="AH54" s="149" t="s">
        <v>74</v>
      </c>
      <c r="AI54" s="150">
        <f t="shared" si="14"/>
        <v>475.05005844748854</v>
      </c>
      <c r="AJ54" s="151">
        <f t="shared" si="15"/>
        <v>16.778960319159054</v>
      </c>
      <c r="AK54" s="151">
        <f t="shared" si="41"/>
        <v>542.97414146529195</v>
      </c>
      <c r="AL54" s="151">
        <f t="shared" si="42"/>
        <v>3969</v>
      </c>
      <c r="AM54" s="150">
        <f t="shared" si="28"/>
        <v>141.82901876664764</v>
      </c>
      <c r="AN54" s="271">
        <f t="shared" si="29"/>
        <v>892.97414146529195</v>
      </c>
    </row>
    <row r="55" spans="2:40" ht="14.25" x14ac:dyDescent="0.2">
      <c r="B55" s="155">
        <f t="shared" si="6"/>
        <v>47</v>
      </c>
      <c r="C55" s="157">
        <v>17.129534543880734</v>
      </c>
      <c r="D55" s="156">
        <f t="shared" si="40"/>
        <v>0</v>
      </c>
      <c r="E55" s="156">
        <f t="shared" si="40"/>
        <v>525</v>
      </c>
      <c r="F55" s="157">
        <f t="shared" si="7"/>
        <v>350</v>
      </c>
      <c r="G55" s="157">
        <v>18</v>
      </c>
      <c r="H55" s="158">
        <v>8.65</v>
      </c>
      <c r="I55" s="156">
        <f t="shared" si="8"/>
        <v>80.304974614726021</v>
      </c>
      <c r="J55" s="157">
        <v>0</v>
      </c>
      <c r="K55" s="157">
        <f t="shared" si="18"/>
        <v>0</v>
      </c>
      <c r="L55" s="157">
        <v>0</v>
      </c>
      <c r="M55" s="157">
        <f t="shared" si="37"/>
        <v>0</v>
      </c>
      <c r="N55" s="157">
        <v>0</v>
      </c>
      <c r="O55" s="157">
        <f t="shared" si="21"/>
        <v>0</v>
      </c>
      <c r="P55" s="156">
        <v>0</v>
      </c>
      <c r="Q55" s="172">
        <f t="shared" si="49"/>
        <v>3.3581169140030438</v>
      </c>
      <c r="R55" s="156">
        <v>0</v>
      </c>
      <c r="S55" s="172">
        <f t="shared" si="48"/>
        <v>2.4927560169330287</v>
      </c>
      <c r="T55" s="156">
        <v>0</v>
      </c>
      <c r="U55" s="171">
        <f t="shared" si="46"/>
        <v>1.28254234446347</v>
      </c>
      <c r="V55" s="156">
        <v>0</v>
      </c>
      <c r="W55" s="171">
        <f t="shared" si="47"/>
        <v>1.030683575913242</v>
      </c>
      <c r="X55" s="159">
        <v>0</v>
      </c>
      <c r="Y55" s="170">
        <f t="shared" si="44"/>
        <v>3.4872752568493151</v>
      </c>
      <c r="Z55" s="156">
        <v>50</v>
      </c>
      <c r="AA55" s="156">
        <f t="shared" si="26"/>
        <v>6.6129071537290711</v>
      </c>
      <c r="AB55" s="156">
        <v>0</v>
      </c>
      <c r="AC55" s="171">
        <f t="shared" si="45"/>
        <v>8.1240597650304416</v>
      </c>
      <c r="AD55" s="156">
        <f t="shared" si="35"/>
        <v>0</v>
      </c>
      <c r="AE55" s="166">
        <f t="shared" si="43"/>
        <v>10.216424919140028</v>
      </c>
      <c r="AF55" s="24"/>
      <c r="AG55" s="24"/>
      <c r="AH55" s="149" t="s">
        <v>74</v>
      </c>
      <c r="AI55" s="150">
        <f t="shared" si="14"/>
        <v>475.05005844748854</v>
      </c>
      <c r="AJ55" s="151">
        <f t="shared" si="15"/>
        <v>16.778960319159054</v>
      </c>
      <c r="AK55" s="151">
        <f t="shared" si="41"/>
        <v>542.12953454388071</v>
      </c>
      <c r="AL55" s="151">
        <f t="shared" si="42"/>
        <v>3969</v>
      </c>
      <c r="AM55" s="150">
        <f t="shared" si="28"/>
        <v>141.82901876664764</v>
      </c>
      <c r="AN55" s="271">
        <f t="shared" si="29"/>
        <v>892.12953454388071</v>
      </c>
    </row>
    <row r="56" spans="2:40" ht="14.25" x14ac:dyDescent="0.2">
      <c r="B56" s="155">
        <f t="shared" si="6"/>
        <v>48</v>
      </c>
      <c r="C56" s="157">
        <v>16.301234893759528</v>
      </c>
      <c r="D56" s="156">
        <f t="shared" si="40"/>
        <v>0</v>
      </c>
      <c r="E56" s="156">
        <f t="shared" si="40"/>
        <v>525</v>
      </c>
      <c r="F56" s="157">
        <f t="shared" si="7"/>
        <v>350</v>
      </c>
      <c r="G56" s="157">
        <v>18</v>
      </c>
      <c r="H56" s="158">
        <v>8.65</v>
      </c>
      <c r="I56" s="156">
        <f t="shared" si="8"/>
        <v>80.304974614726021</v>
      </c>
      <c r="J56" s="157">
        <v>0</v>
      </c>
      <c r="K56" s="157">
        <f t="shared" si="18"/>
        <v>0</v>
      </c>
      <c r="L56" s="157">
        <v>0</v>
      </c>
      <c r="M56" s="157">
        <f t="shared" si="37"/>
        <v>0</v>
      </c>
      <c r="N56" s="157">
        <v>0</v>
      </c>
      <c r="O56" s="157">
        <f t="shared" si="21"/>
        <v>0</v>
      </c>
      <c r="P56" s="156">
        <v>0</v>
      </c>
      <c r="Q56" s="172">
        <f t="shared" si="49"/>
        <v>3.3581169140030438</v>
      </c>
      <c r="R56" s="156">
        <v>0</v>
      </c>
      <c r="S56" s="172">
        <f t="shared" si="48"/>
        <v>2.4927560169330287</v>
      </c>
      <c r="T56" s="156">
        <v>0</v>
      </c>
      <c r="U56" s="171">
        <f t="shared" si="46"/>
        <v>1.28254234446347</v>
      </c>
      <c r="V56" s="156">
        <v>0</v>
      </c>
      <c r="W56" s="171">
        <f t="shared" si="47"/>
        <v>1.030683575913242</v>
      </c>
      <c r="X56" s="159">
        <v>0</v>
      </c>
      <c r="Y56" s="170">
        <f t="shared" si="44"/>
        <v>3.4872752568493151</v>
      </c>
      <c r="Z56" s="156">
        <v>50</v>
      </c>
      <c r="AA56" s="156">
        <f t="shared" si="26"/>
        <v>6.6129071537290711</v>
      </c>
      <c r="AB56" s="156">
        <v>0</v>
      </c>
      <c r="AC56" s="171">
        <f t="shared" si="45"/>
        <v>8.1240597650304416</v>
      </c>
      <c r="AD56" s="156">
        <f t="shared" si="35"/>
        <v>0</v>
      </c>
      <c r="AE56" s="166">
        <f t="shared" si="43"/>
        <v>10.216424919140028</v>
      </c>
      <c r="AF56" s="24"/>
      <c r="AG56" s="24"/>
      <c r="AH56" s="149" t="s">
        <v>74</v>
      </c>
      <c r="AI56" s="150">
        <f t="shared" si="14"/>
        <v>475.05005844748854</v>
      </c>
      <c r="AJ56" s="151">
        <f t="shared" si="15"/>
        <v>16.778960319159054</v>
      </c>
      <c r="AK56" s="151">
        <f t="shared" si="41"/>
        <v>541.30123489375956</v>
      </c>
      <c r="AL56" s="151">
        <f t="shared" si="42"/>
        <v>3969</v>
      </c>
      <c r="AM56" s="150">
        <f t="shared" si="28"/>
        <v>141.82901876664764</v>
      </c>
      <c r="AN56" s="271">
        <f t="shared" si="29"/>
        <v>891.30123489375956</v>
      </c>
    </row>
    <row r="57" spans="2:40" ht="14.25" x14ac:dyDescent="0.2">
      <c r="B57" s="155">
        <f t="shared" si="6"/>
        <v>49</v>
      </c>
      <c r="C57" s="157">
        <v>15.489921865586286</v>
      </c>
      <c r="D57" s="156">
        <f t="shared" si="40"/>
        <v>0</v>
      </c>
      <c r="E57" s="156">
        <f t="shared" si="40"/>
        <v>525</v>
      </c>
      <c r="F57" s="157">
        <f t="shared" si="7"/>
        <v>350</v>
      </c>
      <c r="G57" s="157">
        <v>18</v>
      </c>
      <c r="H57" s="158">
        <v>8.65</v>
      </c>
      <c r="I57" s="156">
        <f t="shared" si="8"/>
        <v>80.304974614726021</v>
      </c>
      <c r="J57" s="157">
        <v>0</v>
      </c>
      <c r="K57" s="157">
        <f t="shared" si="18"/>
        <v>0</v>
      </c>
      <c r="L57" s="157">
        <v>0</v>
      </c>
      <c r="M57" s="157">
        <f t="shared" si="37"/>
        <v>0</v>
      </c>
      <c r="N57" s="157">
        <v>0</v>
      </c>
      <c r="O57" s="157">
        <f t="shared" si="21"/>
        <v>0</v>
      </c>
      <c r="P57" s="156">
        <v>0</v>
      </c>
      <c r="Q57" s="172">
        <f t="shared" si="49"/>
        <v>3.3581169140030438</v>
      </c>
      <c r="R57" s="156">
        <v>0</v>
      </c>
      <c r="S57" s="172">
        <f t="shared" si="48"/>
        <v>2.4927560169330287</v>
      </c>
      <c r="T57" s="156">
        <v>0</v>
      </c>
      <c r="U57" s="171">
        <f t="shared" si="46"/>
        <v>1.28254234446347</v>
      </c>
      <c r="V57" s="156">
        <v>0</v>
      </c>
      <c r="W57" s="171">
        <f t="shared" si="47"/>
        <v>1.030683575913242</v>
      </c>
      <c r="X57" s="159">
        <v>0</v>
      </c>
      <c r="Y57" s="170">
        <f t="shared" si="44"/>
        <v>3.4872752568493151</v>
      </c>
      <c r="Z57" s="156">
        <v>50</v>
      </c>
      <c r="AA57" s="156">
        <f t="shared" si="26"/>
        <v>6.6129071537290711</v>
      </c>
      <c r="AB57" s="156">
        <v>0</v>
      </c>
      <c r="AC57" s="171">
        <f t="shared" si="45"/>
        <v>8.1240597650304416</v>
      </c>
      <c r="AD57" s="156">
        <f t="shared" si="35"/>
        <v>0</v>
      </c>
      <c r="AE57" s="166">
        <f t="shared" si="43"/>
        <v>10.216424919140028</v>
      </c>
      <c r="AF57" s="24"/>
      <c r="AG57" s="24"/>
      <c r="AH57" s="149" t="s">
        <v>74</v>
      </c>
      <c r="AI57" s="150">
        <f t="shared" si="14"/>
        <v>475.05005844748854</v>
      </c>
      <c r="AJ57" s="151">
        <f t="shared" si="15"/>
        <v>16.778960319159054</v>
      </c>
      <c r="AK57" s="151">
        <f t="shared" si="41"/>
        <v>540.48992186558633</v>
      </c>
      <c r="AL57" s="151">
        <f t="shared" si="42"/>
        <v>3969</v>
      </c>
      <c r="AM57" s="150">
        <f t="shared" si="28"/>
        <v>141.82901876664764</v>
      </c>
      <c r="AN57" s="271">
        <f t="shared" si="29"/>
        <v>890.48992186558633</v>
      </c>
    </row>
    <row r="58" spans="2:40" ht="14.25" x14ac:dyDescent="0.2">
      <c r="B58" s="155">
        <f t="shared" si="6"/>
        <v>50</v>
      </c>
      <c r="C58" s="157">
        <v>14.696051851564574</v>
      </c>
      <c r="D58" s="156">
        <f t="shared" si="40"/>
        <v>0</v>
      </c>
      <c r="E58" s="156">
        <f t="shared" si="40"/>
        <v>525</v>
      </c>
      <c r="F58" s="157">
        <f t="shared" si="7"/>
        <v>350</v>
      </c>
      <c r="G58" s="157">
        <v>18</v>
      </c>
      <c r="H58" s="158">
        <v>8.65</v>
      </c>
      <c r="I58" s="156">
        <f t="shared" si="8"/>
        <v>80.304974614726021</v>
      </c>
      <c r="J58" s="157">
        <v>0</v>
      </c>
      <c r="K58" s="157">
        <f t="shared" si="18"/>
        <v>0</v>
      </c>
      <c r="L58" s="157">
        <v>0</v>
      </c>
      <c r="M58" s="157">
        <f t="shared" si="37"/>
        <v>0</v>
      </c>
      <c r="N58" s="157">
        <v>0</v>
      </c>
      <c r="O58" s="157">
        <f t="shared" si="21"/>
        <v>0</v>
      </c>
      <c r="P58" s="156">
        <v>0</v>
      </c>
      <c r="Q58" s="172">
        <f t="shared" si="49"/>
        <v>3.3581169140030438</v>
      </c>
      <c r="R58" s="156">
        <v>0</v>
      </c>
      <c r="S58" s="172">
        <f t="shared" si="48"/>
        <v>2.4927560169330287</v>
      </c>
      <c r="T58" s="156">
        <v>0</v>
      </c>
      <c r="U58" s="171">
        <f t="shared" si="46"/>
        <v>1.28254234446347</v>
      </c>
      <c r="V58" s="156">
        <v>0</v>
      </c>
      <c r="W58" s="171">
        <f t="shared" si="47"/>
        <v>1.030683575913242</v>
      </c>
      <c r="X58" s="159">
        <v>0</v>
      </c>
      <c r="Y58" s="170">
        <f t="shared" si="44"/>
        <v>3.4872752568493151</v>
      </c>
      <c r="Z58" s="156">
        <v>50</v>
      </c>
      <c r="AA58" s="156">
        <f t="shared" si="26"/>
        <v>6.6129071537290711</v>
      </c>
      <c r="AB58" s="156">
        <v>0</v>
      </c>
      <c r="AC58" s="171">
        <f t="shared" si="45"/>
        <v>8.1240597650304416</v>
      </c>
      <c r="AD58" s="156">
        <f t="shared" si="35"/>
        <v>0</v>
      </c>
      <c r="AE58" s="166">
        <f t="shared" si="43"/>
        <v>10.216424919140028</v>
      </c>
      <c r="AF58" s="24"/>
      <c r="AG58" s="24"/>
      <c r="AH58" s="149" t="s">
        <v>74</v>
      </c>
      <c r="AI58" s="150">
        <f t="shared" si="14"/>
        <v>475.05005844748854</v>
      </c>
      <c r="AJ58" s="151">
        <f t="shared" si="15"/>
        <v>16.778960319159054</v>
      </c>
      <c r="AK58" s="151">
        <f t="shared" si="41"/>
        <v>539.69605185156456</v>
      </c>
      <c r="AL58" s="151">
        <f t="shared" si="42"/>
        <v>3969</v>
      </c>
      <c r="AM58" s="150">
        <f t="shared" si="28"/>
        <v>141.82901876664764</v>
      </c>
      <c r="AN58" s="271">
        <f t="shared" si="29"/>
        <v>889.69605185156456</v>
      </c>
    </row>
    <row r="59" spans="2:40" ht="14.25" x14ac:dyDescent="0.2">
      <c r="B59" s="155">
        <f t="shared" si="6"/>
        <v>51</v>
      </c>
      <c r="C59" s="157">
        <v>13.917787931313407</v>
      </c>
      <c r="D59" s="156">
        <f t="shared" si="40"/>
        <v>0</v>
      </c>
      <c r="E59" s="156">
        <f t="shared" si="40"/>
        <v>525</v>
      </c>
      <c r="F59" s="157">
        <f t="shared" si="7"/>
        <v>350</v>
      </c>
      <c r="G59" s="157">
        <v>18</v>
      </c>
      <c r="H59" s="158">
        <v>8.65</v>
      </c>
      <c r="I59" s="156">
        <f t="shared" si="8"/>
        <v>80.304974614726021</v>
      </c>
      <c r="J59" s="157">
        <v>0</v>
      </c>
      <c r="K59" s="157">
        <f t="shared" si="18"/>
        <v>0</v>
      </c>
      <c r="L59" s="157">
        <v>0</v>
      </c>
      <c r="M59" s="157">
        <f t="shared" si="37"/>
        <v>0</v>
      </c>
      <c r="N59" s="157">
        <v>0</v>
      </c>
      <c r="O59" s="157">
        <f t="shared" si="21"/>
        <v>0</v>
      </c>
      <c r="P59" s="156">
        <v>0</v>
      </c>
      <c r="Q59" s="172">
        <f t="shared" si="49"/>
        <v>3.3581169140030438</v>
      </c>
      <c r="R59" s="156">
        <v>0</v>
      </c>
      <c r="S59" s="172">
        <f t="shared" si="48"/>
        <v>2.4927560169330287</v>
      </c>
      <c r="T59" s="156">
        <v>0</v>
      </c>
      <c r="U59" s="171">
        <f t="shared" si="46"/>
        <v>1.28254234446347</v>
      </c>
      <c r="V59" s="156">
        <v>0</v>
      </c>
      <c r="W59" s="171">
        <f t="shared" si="47"/>
        <v>1.030683575913242</v>
      </c>
      <c r="X59" s="159">
        <v>0</v>
      </c>
      <c r="Y59" s="170">
        <f t="shared" si="44"/>
        <v>3.4872752568493151</v>
      </c>
      <c r="Z59" s="156">
        <v>50</v>
      </c>
      <c r="AA59" s="156">
        <f t="shared" si="26"/>
        <v>6.6129071537290711</v>
      </c>
      <c r="AB59" s="156">
        <v>0</v>
      </c>
      <c r="AC59" s="171">
        <f t="shared" si="45"/>
        <v>8.1240597650304416</v>
      </c>
      <c r="AD59" s="156">
        <f t="shared" si="35"/>
        <v>0</v>
      </c>
      <c r="AE59" s="166">
        <f t="shared" si="43"/>
        <v>10.216424919140028</v>
      </c>
      <c r="AF59" s="24"/>
      <c r="AG59" s="24"/>
      <c r="AH59" s="149" t="s">
        <v>74</v>
      </c>
      <c r="AI59" s="150">
        <f t="shared" si="14"/>
        <v>475.05005844748854</v>
      </c>
      <c r="AJ59" s="151">
        <f t="shared" si="15"/>
        <v>16.778960319159054</v>
      </c>
      <c r="AK59" s="151">
        <f t="shared" si="41"/>
        <v>538.91778793131346</v>
      </c>
      <c r="AL59" s="151">
        <f t="shared" si="42"/>
        <v>3969</v>
      </c>
      <c r="AM59" s="150">
        <f t="shared" si="28"/>
        <v>141.82901876664764</v>
      </c>
      <c r="AN59" s="271">
        <f t="shared" si="29"/>
        <v>888.91778793131346</v>
      </c>
    </row>
    <row r="60" spans="2:40" ht="14.25" x14ac:dyDescent="0.2">
      <c r="B60" s="155">
        <f t="shared" si="6"/>
        <v>52</v>
      </c>
      <c r="C60" s="157">
        <v>13.153368633995207</v>
      </c>
      <c r="D60" s="156">
        <f t="shared" si="40"/>
        <v>0</v>
      </c>
      <c r="E60" s="156">
        <f t="shared" si="40"/>
        <v>525</v>
      </c>
      <c r="F60" s="157">
        <f t="shared" si="7"/>
        <v>350</v>
      </c>
      <c r="G60" s="157">
        <v>18</v>
      </c>
      <c r="H60" s="158">
        <v>8.65</v>
      </c>
      <c r="I60" s="156">
        <f t="shared" si="8"/>
        <v>80.304974614726021</v>
      </c>
      <c r="J60" s="157">
        <v>0</v>
      </c>
      <c r="K60" s="157">
        <f t="shared" si="18"/>
        <v>0</v>
      </c>
      <c r="L60" s="157">
        <v>0</v>
      </c>
      <c r="M60" s="157">
        <f t="shared" si="37"/>
        <v>0</v>
      </c>
      <c r="N60" s="157">
        <v>0</v>
      </c>
      <c r="O60" s="157">
        <f t="shared" si="21"/>
        <v>0</v>
      </c>
      <c r="P60" s="156">
        <v>0</v>
      </c>
      <c r="Q60" s="172">
        <f t="shared" si="49"/>
        <v>3.3581169140030438</v>
      </c>
      <c r="R60" s="156">
        <v>0</v>
      </c>
      <c r="S60" s="172">
        <f t="shared" si="48"/>
        <v>2.4927560169330287</v>
      </c>
      <c r="T60" s="156">
        <v>0</v>
      </c>
      <c r="U60" s="171">
        <f t="shared" si="46"/>
        <v>1.28254234446347</v>
      </c>
      <c r="V60" s="156">
        <v>0</v>
      </c>
      <c r="W60" s="171">
        <f t="shared" si="47"/>
        <v>1.030683575913242</v>
      </c>
      <c r="X60" s="159">
        <v>0</v>
      </c>
      <c r="Y60" s="170">
        <f t="shared" si="44"/>
        <v>3.4872752568493151</v>
      </c>
      <c r="Z60" s="156">
        <v>50</v>
      </c>
      <c r="AA60" s="156">
        <f t="shared" si="26"/>
        <v>6.6129071537290711</v>
      </c>
      <c r="AB60" s="156">
        <v>0</v>
      </c>
      <c r="AC60" s="171">
        <f t="shared" si="45"/>
        <v>8.1240597650304416</v>
      </c>
      <c r="AD60" s="156">
        <f t="shared" si="35"/>
        <v>0</v>
      </c>
      <c r="AE60" s="166">
        <f t="shared" si="43"/>
        <v>10.216424919140028</v>
      </c>
      <c r="AF60" s="24"/>
      <c r="AG60" s="24"/>
      <c r="AH60" s="149" t="s">
        <v>74</v>
      </c>
      <c r="AI60" s="150">
        <f t="shared" si="14"/>
        <v>475.05005844748854</v>
      </c>
      <c r="AJ60" s="151">
        <f t="shared" si="15"/>
        <v>16.778960319159054</v>
      </c>
      <c r="AK60" s="151">
        <f t="shared" si="41"/>
        <v>538.15336863399523</v>
      </c>
      <c r="AL60" s="151">
        <f t="shared" si="42"/>
        <v>3969</v>
      </c>
      <c r="AM60" s="150">
        <f t="shared" si="28"/>
        <v>141.82901876664764</v>
      </c>
      <c r="AN60" s="271">
        <f t="shared" si="29"/>
        <v>888.15336863399523</v>
      </c>
    </row>
    <row r="61" spans="2:40" ht="14.25" x14ac:dyDescent="0.2">
      <c r="B61" s="155">
        <f t="shared" si="6"/>
        <v>53</v>
      </c>
      <c r="C61" s="157">
        <v>12.403168972740723</v>
      </c>
      <c r="D61" s="156">
        <f t="shared" si="40"/>
        <v>0</v>
      </c>
      <c r="E61" s="156">
        <f t="shared" si="40"/>
        <v>525</v>
      </c>
      <c r="F61" s="157">
        <f t="shared" si="7"/>
        <v>350</v>
      </c>
      <c r="G61" s="157">
        <v>18</v>
      </c>
      <c r="H61" s="158">
        <v>8.65</v>
      </c>
      <c r="I61" s="156">
        <f t="shared" si="8"/>
        <v>80.304974614726021</v>
      </c>
      <c r="J61" s="157">
        <v>0</v>
      </c>
      <c r="K61" s="157">
        <f t="shared" si="18"/>
        <v>0</v>
      </c>
      <c r="L61" s="157">
        <v>0</v>
      </c>
      <c r="M61" s="157">
        <f t="shared" si="37"/>
        <v>0</v>
      </c>
      <c r="N61" s="157">
        <v>0</v>
      </c>
      <c r="O61" s="157">
        <f t="shared" si="21"/>
        <v>0</v>
      </c>
      <c r="P61" s="156">
        <v>0</v>
      </c>
      <c r="Q61" s="172">
        <f t="shared" si="49"/>
        <v>3.3581169140030438</v>
      </c>
      <c r="R61" s="156">
        <v>0</v>
      </c>
      <c r="S61" s="172">
        <f t="shared" si="48"/>
        <v>2.4927560169330287</v>
      </c>
      <c r="T61" s="156">
        <v>0</v>
      </c>
      <c r="U61" s="171">
        <f t="shared" si="46"/>
        <v>1.28254234446347</v>
      </c>
      <c r="V61" s="156">
        <v>0</v>
      </c>
      <c r="W61" s="171">
        <f t="shared" si="47"/>
        <v>1.030683575913242</v>
      </c>
      <c r="X61" s="159">
        <v>0</v>
      </c>
      <c r="Y61" s="170">
        <f t="shared" si="44"/>
        <v>3.4872752568493151</v>
      </c>
      <c r="Z61" s="156">
        <v>50</v>
      </c>
      <c r="AA61" s="156">
        <f t="shared" si="26"/>
        <v>6.6129071537290711</v>
      </c>
      <c r="AB61" s="156">
        <v>0</v>
      </c>
      <c r="AC61" s="171">
        <f t="shared" si="45"/>
        <v>8.1240597650304416</v>
      </c>
      <c r="AD61" s="156">
        <f t="shared" si="35"/>
        <v>0</v>
      </c>
      <c r="AE61" s="166">
        <f t="shared" si="43"/>
        <v>10.216424919140028</v>
      </c>
      <c r="AF61" s="24"/>
      <c r="AG61" s="24"/>
      <c r="AH61" s="149" t="s">
        <v>74</v>
      </c>
      <c r="AI61" s="150">
        <f t="shared" si="14"/>
        <v>475.05005844748854</v>
      </c>
      <c r="AJ61" s="151">
        <f t="shared" si="15"/>
        <v>16.778960319159054</v>
      </c>
      <c r="AK61" s="151">
        <f t="shared" si="41"/>
        <v>537.40316897274067</v>
      </c>
      <c r="AL61" s="151">
        <f t="shared" si="42"/>
        <v>3969</v>
      </c>
      <c r="AM61" s="150">
        <f t="shared" si="28"/>
        <v>141.82901876664764</v>
      </c>
      <c r="AN61" s="271">
        <f t="shared" si="29"/>
        <v>887.40316897274067</v>
      </c>
    </row>
    <row r="62" spans="2:40" ht="14.25" x14ac:dyDescent="0.2">
      <c r="B62" s="155">
        <f t="shared" si="6"/>
        <v>54</v>
      </c>
      <c r="C62" s="157">
        <v>11.667591649182517</v>
      </c>
      <c r="D62" s="156">
        <f t="shared" si="40"/>
        <v>0</v>
      </c>
      <c r="E62" s="156">
        <f t="shared" si="40"/>
        <v>525</v>
      </c>
      <c r="F62" s="157">
        <f t="shared" si="7"/>
        <v>350</v>
      </c>
      <c r="G62" s="157">
        <v>18</v>
      </c>
      <c r="H62" s="158">
        <v>8.65</v>
      </c>
      <c r="I62" s="156">
        <f t="shared" si="8"/>
        <v>80.304974614726021</v>
      </c>
      <c r="J62" s="157">
        <v>0</v>
      </c>
      <c r="K62" s="157">
        <f t="shared" si="18"/>
        <v>0</v>
      </c>
      <c r="L62" s="157">
        <v>0</v>
      </c>
      <c r="M62" s="157">
        <f t="shared" si="37"/>
        <v>0</v>
      </c>
      <c r="N62" s="157">
        <v>0</v>
      </c>
      <c r="O62" s="157">
        <f t="shared" si="21"/>
        <v>0</v>
      </c>
      <c r="P62" s="156">
        <v>0</v>
      </c>
      <c r="Q62" s="172">
        <f t="shared" si="49"/>
        <v>3.3581169140030438</v>
      </c>
      <c r="R62" s="156">
        <v>0</v>
      </c>
      <c r="S62" s="172">
        <f t="shared" si="48"/>
        <v>2.4927560169330287</v>
      </c>
      <c r="T62" s="156">
        <v>0</v>
      </c>
      <c r="U62" s="171">
        <f t="shared" si="46"/>
        <v>1.28254234446347</v>
      </c>
      <c r="V62" s="156">
        <v>0</v>
      </c>
      <c r="W62" s="171">
        <f t="shared" si="47"/>
        <v>1.030683575913242</v>
      </c>
      <c r="X62" s="159">
        <v>0</v>
      </c>
      <c r="Y62" s="170">
        <f t="shared" si="44"/>
        <v>3.4872752568493151</v>
      </c>
      <c r="Z62" s="156">
        <v>50</v>
      </c>
      <c r="AA62" s="156">
        <f t="shared" si="26"/>
        <v>6.6129071537290711</v>
      </c>
      <c r="AB62" s="156">
        <v>0</v>
      </c>
      <c r="AC62" s="171">
        <f t="shared" si="45"/>
        <v>8.1240597650304416</v>
      </c>
      <c r="AD62" s="156">
        <f t="shared" si="35"/>
        <v>0</v>
      </c>
      <c r="AE62" s="166">
        <f t="shared" si="43"/>
        <v>10.216424919140028</v>
      </c>
      <c r="AF62" s="24"/>
      <c r="AG62" s="24"/>
      <c r="AH62" s="149" t="s">
        <v>74</v>
      </c>
      <c r="AI62" s="150">
        <f t="shared" si="14"/>
        <v>475.05005844748854</v>
      </c>
      <c r="AJ62" s="151">
        <f t="shared" si="15"/>
        <v>16.778960319159054</v>
      </c>
      <c r="AK62" s="151">
        <f t="shared" si="41"/>
        <v>536.66759164918255</v>
      </c>
      <c r="AL62" s="151">
        <f t="shared" si="42"/>
        <v>3969</v>
      </c>
      <c r="AM62" s="150">
        <f t="shared" si="28"/>
        <v>141.82901876664764</v>
      </c>
      <c r="AN62" s="271">
        <f t="shared" si="29"/>
        <v>886.66759164918255</v>
      </c>
    </row>
    <row r="63" spans="2:40" ht="14.25" x14ac:dyDescent="0.2">
      <c r="B63" s="155">
        <f t="shared" si="6"/>
        <v>55</v>
      </c>
      <c r="C63" s="157">
        <v>10.945113688603733</v>
      </c>
      <c r="D63" s="156">
        <f t="shared" si="40"/>
        <v>0</v>
      </c>
      <c r="E63" s="156">
        <f t="shared" si="40"/>
        <v>525</v>
      </c>
      <c r="F63" s="157">
        <f t="shared" si="7"/>
        <v>350</v>
      </c>
      <c r="G63" s="157">
        <v>18</v>
      </c>
      <c r="H63" s="158">
        <v>8.65</v>
      </c>
      <c r="I63" s="156">
        <f t="shared" si="8"/>
        <v>80.304974614726021</v>
      </c>
      <c r="J63" s="157">
        <v>0</v>
      </c>
      <c r="K63" s="157">
        <f t="shared" si="18"/>
        <v>0</v>
      </c>
      <c r="L63" s="157">
        <v>0</v>
      </c>
      <c r="M63" s="157">
        <f t="shared" si="37"/>
        <v>0</v>
      </c>
      <c r="N63" s="157">
        <v>0</v>
      </c>
      <c r="O63" s="157">
        <f t="shared" si="21"/>
        <v>0</v>
      </c>
      <c r="P63" s="156">
        <v>0</v>
      </c>
      <c r="Q63" s="172">
        <f t="shared" si="49"/>
        <v>3.3581169140030438</v>
      </c>
      <c r="R63" s="156">
        <v>0</v>
      </c>
      <c r="S63" s="172">
        <f t="shared" si="48"/>
        <v>2.4927560169330287</v>
      </c>
      <c r="T63" s="156">
        <v>0</v>
      </c>
      <c r="U63" s="171">
        <f t="shared" si="46"/>
        <v>1.28254234446347</v>
      </c>
      <c r="V63" s="156">
        <v>0</v>
      </c>
      <c r="W63" s="171">
        <f t="shared" si="47"/>
        <v>1.030683575913242</v>
      </c>
      <c r="X63" s="159">
        <v>0</v>
      </c>
      <c r="Y63" s="170">
        <f t="shared" si="44"/>
        <v>3.4872752568493151</v>
      </c>
      <c r="Z63" s="156">
        <v>50</v>
      </c>
      <c r="AA63" s="156">
        <f t="shared" si="26"/>
        <v>6.6129071537290711</v>
      </c>
      <c r="AB63" s="156">
        <v>0</v>
      </c>
      <c r="AC63" s="171">
        <f t="shared" si="45"/>
        <v>8.1240597650304416</v>
      </c>
      <c r="AD63" s="156">
        <f t="shared" si="35"/>
        <v>0</v>
      </c>
      <c r="AE63" s="166">
        <f t="shared" si="43"/>
        <v>10.216424919140028</v>
      </c>
      <c r="AF63" s="24"/>
      <c r="AG63" s="24"/>
      <c r="AH63" s="149" t="s">
        <v>74</v>
      </c>
      <c r="AI63" s="150">
        <f t="shared" si="14"/>
        <v>475.05005844748854</v>
      </c>
      <c r="AJ63" s="151">
        <f t="shared" si="15"/>
        <v>16.778960319159054</v>
      </c>
      <c r="AK63" s="151">
        <f t="shared" si="41"/>
        <v>535.94511368860378</v>
      </c>
      <c r="AL63" s="151">
        <f t="shared" si="42"/>
        <v>3969</v>
      </c>
      <c r="AM63" s="150">
        <f t="shared" si="28"/>
        <v>141.82901876664764</v>
      </c>
      <c r="AN63" s="271">
        <f t="shared" si="29"/>
        <v>885.94511368860378</v>
      </c>
    </row>
    <row r="64" spans="2:40" ht="14.25" x14ac:dyDescent="0.2">
      <c r="B64" s="155">
        <f t="shared" si="6"/>
        <v>56</v>
      </c>
      <c r="C64" s="157">
        <v>10.234428325674816</v>
      </c>
      <c r="D64" s="156">
        <f t="shared" si="40"/>
        <v>0</v>
      </c>
      <c r="E64" s="156">
        <f t="shared" si="40"/>
        <v>525</v>
      </c>
      <c r="F64" s="157">
        <f t="shared" si="7"/>
        <v>350</v>
      </c>
      <c r="G64" s="157">
        <v>18</v>
      </c>
      <c r="H64" s="158">
        <v>8.65</v>
      </c>
      <c r="I64" s="156">
        <f t="shared" si="8"/>
        <v>80.304974614726021</v>
      </c>
      <c r="J64" s="157">
        <v>0</v>
      </c>
      <c r="K64" s="157">
        <f t="shared" si="18"/>
        <v>0</v>
      </c>
      <c r="L64" s="157">
        <v>0</v>
      </c>
      <c r="M64" s="157">
        <f t="shared" si="37"/>
        <v>0</v>
      </c>
      <c r="N64" s="157">
        <v>0</v>
      </c>
      <c r="O64" s="157">
        <f t="shared" si="21"/>
        <v>0</v>
      </c>
      <c r="P64" s="156">
        <v>0</v>
      </c>
      <c r="Q64" s="172">
        <f t="shared" si="49"/>
        <v>3.3581169140030438</v>
      </c>
      <c r="R64" s="156">
        <v>0</v>
      </c>
      <c r="S64" s="172">
        <f t="shared" si="48"/>
        <v>2.4927560169330287</v>
      </c>
      <c r="T64" s="156">
        <v>0</v>
      </c>
      <c r="U64" s="171">
        <f t="shared" si="46"/>
        <v>1.28254234446347</v>
      </c>
      <c r="V64" s="156">
        <v>0</v>
      </c>
      <c r="W64" s="171">
        <f t="shared" si="47"/>
        <v>1.030683575913242</v>
      </c>
      <c r="X64" s="159">
        <v>0</v>
      </c>
      <c r="Y64" s="170">
        <f t="shared" si="44"/>
        <v>3.4872752568493151</v>
      </c>
      <c r="Z64" s="156">
        <v>50</v>
      </c>
      <c r="AA64" s="156">
        <f t="shared" si="26"/>
        <v>6.6129071537290711</v>
      </c>
      <c r="AB64" s="156">
        <v>0</v>
      </c>
      <c r="AC64" s="171">
        <f t="shared" si="45"/>
        <v>8.1240597650304416</v>
      </c>
      <c r="AD64" s="156">
        <f t="shared" si="35"/>
        <v>0</v>
      </c>
      <c r="AE64" s="166">
        <f t="shared" si="43"/>
        <v>10.216424919140028</v>
      </c>
      <c r="AF64" s="24"/>
      <c r="AG64" s="24"/>
      <c r="AH64" s="149" t="s">
        <v>74</v>
      </c>
      <c r="AI64" s="150">
        <f t="shared" si="14"/>
        <v>475.05005844748854</v>
      </c>
      <c r="AJ64" s="151">
        <f t="shared" si="15"/>
        <v>16.778960319159054</v>
      </c>
      <c r="AK64" s="151">
        <f t="shared" si="41"/>
        <v>535.2344283256748</v>
      </c>
      <c r="AL64" s="151">
        <f t="shared" si="42"/>
        <v>3969</v>
      </c>
      <c r="AM64" s="150">
        <f t="shared" si="28"/>
        <v>141.82901876664764</v>
      </c>
      <c r="AN64" s="271">
        <f t="shared" si="29"/>
        <v>885.2344283256748</v>
      </c>
    </row>
    <row r="65" spans="2:40" ht="14.25" x14ac:dyDescent="0.2">
      <c r="B65" s="155">
        <f t="shared" si="6"/>
        <v>57</v>
      </c>
      <c r="C65" s="157">
        <v>9.5363195237234066</v>
      </c>
      <c r="D65" s="156">
        <f t="shared" si="40"/>
        <v>0</v>
      </c>
      <c r="E65" s="156">
        <f t="shared" si="40"/>
        <v>525</v>
      </c>
      <c r="F65" s="157">
        <f t="shared" si="7"/>
        <v>350</v>
      </c>
      <c r="G65" s="157">
        <v>18</v>
      </c>
      <c r="H65" s="158">
        <v>8.65</v>
      </c>
      <c r="I65" s="156">
        <f t="shared" si="8"/>
        <v>80.304974614726021</v>
      </c>
      <c r="J65" s="157">
        <v>0</v>
      </c>
      <c r="K65" s="157">
        <f t="shared" si="18"/>
        <v>0</v>
      </c>
      <c r="L65" s="157">
        <v>0</v>
      </c>
      <c r="M65" s="157">
        <f t="shared" si="37"/>
        <v>0</v>
      </c>
      <c r="N65" s="157">
        <v>0</v>
      </c>
      <c r="O65" s="157">
        <f t="shared" si="21"/>
        <v>0</v>
      </c>
      <c r="P65" s="156">
        <v>0</v>
      </c>
      <c r="Q65" s="172">
        <f t="shared" si="49"/>
        <v>3.3581169140030438</v>
      </c>
      <c r="R65" s="156">
        <v>0</v>
      </c>
      <c r="S65" s="172">
        <f t="shared" si="48"/>
        <v>2.4927560169330287</v>
      </c>
      <c r="T65" s="156">
        <v>0</v>
      </c>
      <c r="U65" s="171">
        <f t="shared" si="46"/>
        <v>1.28254234446347</v>
      </c>
      <c r="V65" s="156">
        <v>0</v>
      </c>
      <c r="W65" s="171">
        <f t="shared" si="47"/>
        <v>1.030683575913242</v>
      </c>
      <c r="X65" s="159">
        <v>0</v>
      </c>
      <c r="Y65" s="170">
        <f t="shared" si="44"/>
        <v>3.4872752568493151</v>
      </c>
      <c r="Z65" s="156">
        <v>50</v>
      </c>
      <c r="AA65" s="156">
        <f t="shared" si="26"/>
        <v>6.6129071537290711</v>
      </c>
      <c r="AB65" s="156">
        <v>0</v>
      </c>
      <c r="AC65" s="171">
        <f t="shared" si="45"/>
        <v>8.1240597650304416</v>
      </c>
      <c r="AD65" s="156">
        <f t="shared" si="35"/>
        <v>0</v>
      </c>
      <c r="AE65" s="166">
        <f t="shared" si="43"/>
        <v>10.216424919140028</v>
      </c>
      <c r="AF65" s="24"/>
      <c r="AG65" s="24"/>
      <c r="AH65" s="149" t="s">
        <v>74</v>
      </c>
      <c r="AI65" s="150">
        <f t="shared" si="14"/>
        <v>475.05005844748854</v>
      </c>
      <c r="AJ65" s="151">
        <f t="shared" si="15"/>
        <v>16.778960319159054</v>
      </c>
      <c r="AK65" s="151">
        <f t="shared" si="41"/>
        <v>534.53631952372336</v>
      </c>
      <c r="AL65" s="151">
        <f t="shared" si="42"/>
        <v>3969</v>
      </c>
      <c r="AM65" s="150">
        <f t="shared" si="28"/>
        <v>141.82901876664764</v>
      </c>
      <c r="AN65" s="271">
        <f t="shared" si="29"/>
        <v>884.53631952372336</v>
      </c>
    </row>
    <row r="66" spans="2:40" ht="14.25" x14ac:dyDescent="0.2">
      <c r="B66" s="155">
        <f t="shared" si="6"/>
        <v>58</v>
      </c>
      <c r="C66" s="157">
        <v>8.8516465868468099</v>
      </c>
      <c r="D66" s="156">
        <f t="shared" si="40"/>
        <v>0</v>
      </c>
      <c r="E66" s="156">
        <f t="shared" si="40"/>
        <v>525</v>
      </c>
      <c r="F66" s="157">
        <f t="shared" si="7"/>
        <v>350</v>
      </c>
      <c r="G66" s="157">
        <v>18</v>
      </c>
      <c r="H66" s="158">
        <v>8.65</v>
      </c>
      <c r="I66" s="156">
        <f t="shared" si="8"/>
        <v>80.304974614726021</v>
      </c>
      <c r="J66" s="157">
        <v>0</v>
      </c>
      <c r="K66" s="157">
        <f t="shared" si="18"/>
        <v>0</v>
      </c>
      <c r="L66" s="157">
        <v>0</v>
      </c>
      <c r="M66" s="157">
        <f t="shared" si="37"/>
        <v>0</v>
      </c>
      <c r="N66" s="157">
        <v>0</v>
      </c>
      <c r="O66" s="157">
        <f t="shared" si="21"/>
        <v>0</v>
      </c>
      <c r="P66" s="156">
        <v>0</v>
      </c>
      <c r="Q66" s="172">
        <f t="shared" si="49"/>
        <v>3.3581169140030438</v>
      </c>
      <c r="R66" s="156">
        <v>0</v>
      </c>
      <c r="S66" s="172">
        <f t="shared" si="48"/>
        <v>2.4927560169330287</v>
      </c>
      <c r="T66" s="156">
        <v>0</v>
      </c>
      <c r="U66" s="171">
        <f t="shared" si="46"/>
        <v>1.28254234446347</v>
      </c>
      <c r="V66" s="156">
        <v>0</v>
      </c>
      <c r="W66" s="171">
        <f t="shared" si="47"/>
        <v>1.030683575913242</v>
      </c>
      <c r="X66" s="159">
        <v>0</v>
      </c>
      <c r="Y66" s="170">
        <f t="shared" si="44"/>
        <v>3.4872752568493151</v>
      </c>
      <c r="Z66" s="156">
        <v>50</v>
      </c>
      <c r="AA66" s="156">
        <f t="shared" si="26"/>
        <v>6.6129071537290711</v>
      </c>
      <c r="AB66" s="156">
        <v>0</v>
      </c>
      <c r="AC66" s="171">
        <f t="shared" si="45"/>
        <v>8.1240597650304416</v>
      </c>
      <c r="AD66" s="156">
        <f t="shared" si="35"/>
        <v>0</v>
      </c>
      <c r="AE66" s="166">
        <f t="shared" si="43"/>
        <v>10.216424919140028</v>
      </c>
      <c r="AF66" s="24"/>
      <c r="AG66" s="24"/>
      <c r="AH66" s="149" t="s">
        <v>74</v>
      </c>
      <c r="AI66" s="150">
        <f t="shared" si="14"/>
        <v>475.05005844748854</v>
      </c>
      <c r="AJ66" s="151">
        <f t="shared" si="15"/>
        <v>16.778960319159054</v>
      </c>
      <c r="AK66" s="151">
        <f t="shared" si="41"/>
        <v>533.85164658684675</v>
      </c>
      <c r="AL66" s="151">
        <f t="shared" si="42"/>
        <v>3969</v>
      </c>
      <c r="AM66" s="150">
        <f t="shared" si="28"/>
        <v>141.82901876664764</v>
      </c>
      <c r="AN66" s="271">
        <f t="shared" si="29"/>
        <v>883.85164658684675</v>
      </c>
    </row>
    <row r="67" spans="2:40" ht="14.25" x14ac:dyDescent="0.2">
      <c r="B67" s="155">
        <f t="shared" si="6"/>
        <v>59</v>
      </c>
      <c r="C67" s="157">
        <v>8.1794591254134215</v>
      </c>
      <c r="D67" s="156">
        <f t="shared" si="40"/>
        <v>0</v>
      </c>
      <c r="E67" s="156">
        <f t="shared" si="40"/>
        <v>525</v>
      </c>
      <c r="F67" s="157">
        <f t="shared" si="7"/>
        <v>350</v>
      </c>
      <c r="G67" s="157">
        <v>18</v>
      </c>
      <c r="H67" s="158">
        <v>8.65</v>
      </c>
      <c r="I67" s="156">
        <f t="shared" si="8"/>
        <v>80.304974614726021</v>
      </c>
      <c r="J67" s="157">
        <v>0</v>
      </c>
      <c r="K67" s="157">
        <f t="shared" si="18"/>
        <v>0</v>
      </c>
      <c r="L67" s="157">
        <v>0</v>
      </c>
      <c r="M67" s="157">
        <f t="shared" si="37"/>
        <v>0</v>
      </c>
      <c r="N67" s="157">
        <v>0</v>
      </c>
      <c r="O67" s="157">
        <f t="shared" si="21"/>
        <v>0</v>
      </c>
      <c r="P67" s="156">
        <v>0</v>
      </c>
      <c r="Q67" s="172">
        <f t="shared" si="49"/>
        <v>3.3581169140030438</v>
      </c>
      <c r="R67" s="156">
        <v>0</v>
      </c>
      <c r="S67" s="172">
        <f t="shared" si="48"/>
        <v>2.4927560169330287</v>
      </c>
      <c r="T67" s="156">
        <v>0</v>
      </c>
      <c r="U67" s="171">
        <f t="shared" si="46"/>
        <v>1.28254234446347</v>
      </c>
      <c r="V67" s="156">
        <v>0</v>
      </c>
      <c r="W67" s="171">
        <f t="shared" si="47"/>
        <v>1.030683575913242</v>
      </c>
      <c r="X67" s="159">
        <v>0</v>
      </c>
      <c r="Y67" s="170">
        <f t="shared" si="44"/>
        <v>3.4872752568493151</v>
      </c>
      <c r="Z67" s="156">
        <v>50</v>
      </c>
      <c r="AA67" s="156">
        <f t="shared" si="26"/>
        <v>6.6129071537290711</v>
      </c>
      <c r="AB67" s="156">
        <v>0</v>
      </c>
      <c r="AC67" s="171">
        <f t="shared" si="45"/>
        <v>8.1240597650304416</v>
      </c>
      <c r="AD67" s="156">
        <f t="shared" si="35"/>
        <v>0</v>
      </c>
      <c r="AE67" s="166">
        <f t="shared" si="43"/>
        <v>10.216424919140028</v>
      </c>
      <c r="AF67" s="24"/>
      <c r="AG67" s="24"/>
      <c r="AH67" s="149" t="s">
        <v>74</v>
      </c>
      <c r="AI67" s="150">
        <f t="shared" si="14"/>
        <v>475.05005844748854</v>
      </c>
      <c r="AJ67" s="151">
        <f t="shared" si="15"/>
        <v>16.778960319159054</v>
      </c>
      <c r="AK67" s="151">
        <f t="shared" si="41"/>
        <v>533.17945912541347</v>
      </c>
      <c r="AL67" s="151">
        <f t="shared" si="42"/>
        <v>3969</v>
      </c>
      <c r="AM67" s="150">
        <f t="shared" si="28"/>
        <v>141.82901876664764</v>
      </c>
      <c r="AN67" s="271">
        <f t="shared" si="29"/>
        <v>883.17945912541347</v>
      </c>
    </row>
    <row r="68" spans="2:40" ht="14.25" x14ac:dyDescent="0.2">
      <c r="B68" s="155">
        <f t="shared" si="6"/>
        <v>60</v>
      </c>
      <c r="C68" s="157">
        <v>7.5189226150081998</v>
      </c>
      <c r="D68" s="156">
        <f t="shared" si="40"/>
        <v>0</v>
      </c>
      <c r="E68" s="156">
        <f t="shared" si="40"/>
        <v>525</v>
      </c>
      <c r="F68" s="157">
        <f t="shared" si="7"/>
        <v>350</v>
      </c>
      <c r="G68" s="157">
        <v>18</v>
      </c>
      <c r="H68" s="158">
        <v>8.65</v>
      </c>
      <c r="I68" s="156">
        <f t="shared" si="8"/>
        <v>80.304974614726021</v>
      </c>
      <c r="J68" s="157">
        <v>0</v>
      </c>
      <c r="K68" s="157">
        <f t="shared" si="18"/>
        <v>0</v>
      </c>
      <c r="L68" s="157">
        <v>0</v>
      </c>
      <c r="M68" s="157">
        <f t="shared" si="37"/>
        <v>0</v>
      </c>
      <c r="N68" s="157">
        <v>0</v>
      </c>
      <c r="O68" s="157">
        <f t="shared" si="21"/>
        <v>0</v>
      </c>
      <c r="P68" s="156">
        <v>0</v>
      </c>
      <c r="Q68" s="172">
        <f t="shared" si="49"/>
        <v>3.3581169140030438</v>
      </c>
      <c r="R68" s="156">
        <v>0</v>
      </c>
      <c r="S68" s="172">
        <f t="shared" si="48"/>
        <v>2.4927560169330287</v>
      </c>
      <c r="T68" s="156">
        <v>0</v>
      </c>
      <c r="U68" s="171">
        <f t="shared" si="46"/>
        <v>1.28254234446347</v>
      </c>
      <c r="V68" s="156">
        <v>0</v>
      </c>
      <c r="W68" s="171">
        <f t="shared" si="47"/>
        <v>1.030683575913242</v>
      </c>
      <c r="X68" s="159">
        <v>0</v>
      </c>
      <c r="Y68" s="170">
        <f t="shared" si="44"/>
        <v>3.4872752568493151</v>
      </c>
      <c r="Z68" s="156">
        <v>50</v>
      </c>
      <c r="AA68" s="156">
        <f t="shared" si="26"/>
        <v>6.6129071537290711</v>
      </c>
      <c r="AB68" s="156">
        <v>0</v>
      </c>
      <c r="AC68" s="171">
        <f t="shared" si="45"/>
        <v>8.1240597650304416</v>
      </c>
      <c r="AD68" s="156">
        <f t="shared" si="35"/>
        <v>0</v>
      </c>
      <c r="AE68" s="166">
        <f t="shared" si="43"/>
        <v>10.216424919140028</v>
      </c>
      <c r="AF68" s="24"/>
      <c r="AG68" s="24"/>
      <c r="AH68" s="149" t="s">
        <v>74</v>
      </c>
      <c r="AI68" s="150">
        <f t="shared" si="14"/>
        <v>475.05005844748854</v>
      </c>
      <c r="AJ68" s="151">
        <f t="shared" si="15"/>
        <v>16.778960319159054</v>
      </c>
      <c r="AK68" s="151">
        <f t="shared" si="41"/>
        <v>532.51892261500825</v>
      </c>
      <c r="AL68" s="151">
        <f t="shared" si="42"/>
        <v>3969</v>
      </c>
      <c r="AM68" s="150">
        <f t="shared" si="28"/>
        <v>141.82901876664764</v>
      </c>
      <c r="AN68" s="271">
        <f t="shared" si="29"/>
        <v>882.51892261500825</v>
      </c>
    </row>
    <row r="69" spans="2:40" ht="14.25" x14ac:dyDescent="0.2">
      <c r="B69" s="155">
        <f t="shared" si="6"/>
        <v>61</v>
      </c>
      <c r="C69" s="157">
        <v>6.8709799183263973</v>
      </c>
      <c r="D69" s="156">
        <f t="shared" si="40"/>
        <v>0</v>
      </c>
      <c r="E69" s="156">
        <f t="shared" si="40"/>
        <v>525</v>
      </c>
      <c r="F69" s="157">
        <f t="shared" si="7"/>
        <v>350</v>
      </c>
      <c r="G69" s="157">
        <v>18</v>
      </c>
      <c r="H69" s="158">
        <v>8.65</v>
      </c>
      <c r="I69" s="156">
        <f t="shared" si="8"/>
        <v>80.304974614726021</v>
      </c>
      <c r="J69" s="157">
        <v>0</v>
      </c>
      <c r="K69" s="157">
        <f t="shared" si="18"/>
        <v>0</v>
      </c>
      <c r="L69" s="157">
        <v>0</v>
      </c>
      <c r="M69" s="157">
        <f t="shared" si="37"/>
        <v>0</v>
      </c>
      <c r="N69" s="157">
        <v>0</v>
      </c>
      <c r="O69" s="157">
        <f t="shared" si="21"/>
        <v>0</v>
      </c>
      <c r="P69" s="156">
        <v>0</v>
      </c>
      <c r="Q69" s="172">
        <f t="shared" si="49"/>
        <v>3.3581169140030438</v>
      </c>
      <c r="R69" s="156">
        <v>0</v>
      </c>
      <c r="S69" s="172">
        <f t="shared" si="48"/>
        <v>2.4927560169330287</v>
      </c>
      <c r="T69" s="156">
        <v>0</v>
      </c>
      <c r="U69" s="171">
        <f t="shared" si="46"/>
        <v>1.28254234446347</v>
      </c>
      <c r="V69" s="156">
        <v>0</v>
      </c>
      <c r="W69" s="171">
        <f t="shared" si="47"/>
        <v>1.030683575913242</v>
      </c>
      <c r="X69" s="159">
        <v>0</v>
      </c>
      <c r="Y69" s="170">
        <f t="shared" si="44"/>
        <v>3.4872752568493151</v>
      </c>
      <c r="Z69" s="156">
        <v>50</v>
      </c>
      <c r="AA69" s="156">
        <f t="shared" si="26"/>
        <v>6.6129071537290711</v>
      </c>
      <c r="AB69" s="156">
        <v>0</v>
      </c>
      <c r="AC69" s="171">
        <f t="shared" si="45"/>
        <v>8.1240597650304416</v>
      </c>
      <c r="AD69" s="156">
        <f t="shared" si="35"/>
        <v>0</v>
      </c>
      <c r="AE69" s="166">
        <f t="shared" si="43"/>
        <v>10.216424919140028</v>
      </c>
      <c r="AF69" s="24"/>
      <c r="AG69" s="24"/>
      <c r="AH69" s="149" t="s">
        <v>74</v>
      </c>
      <c r="AI69" s="150">
        <f t="shared" si="14"/>
        <v>475.05005844748854</v>
      </c>
      <c r="AJ69" s="151">
        <f t="shared" si="15"/>
        <v>16.778960319159054</v>
      </c>
      <c r="AK69" s="151">
        <f t="shared" si="41"/>
        <v>531.87097991832638</v>
      </c>
      <c r="AL69" s="151">
        <f t="shared" si="42"/>
        <v>3969</v>
      </c>
      <c r="AM69" s="150">
        <f t="shared" si="28"/>
        <v>141.82901876664764</v>
      </c>
      <c r="AN69" s="271">
        <f t="shared" si="29"/>
        <v>881.87097991832638</v>
      </c>
    </row>
    <row r="70" spans="2:40" ht="14.25" x14ac:dyDescent="0.2">
      <c r="B70" s="155">
        <f t="shared" si="6"/>
        <v>62</v>
      </c>
      <c r="C70" s="157">
        <v>2.3972106145425309</v>
      </c>
      <c r="D70" s="156">
        <f t="shared" si="40"/>
        <v>0</v>
      </c>
      <c r="E70" s="156">
        <f t="shared" si="40"/>
        <v>525</v>
      </c>
      <c r="F70" s="157">
        <f t="shared" si="7"/>
        <v>350</v>
      </c>
      <c r="G70" s="157">
        <v>18</v>
      </c>
      <c r="H70" s="158">
        <v>8.65</v>
      </c>
      <c r="I70" s="156">
        <f t="shared" si="8"/>
        <v>80.304974614726021</v>
      </c>
      <c r="J70" s="157">
        <v>0</v>
      </c>
      <c r="K70" s="157">
        <f t="shared" si="18"/>
        <v>0</v>
      </c>
      <c r="L70" s="157">
        <v>0</v>
      </c>
      <c r="M70" s="157">
        <f t="shared" si="37"/>
        <v>0</v>
      </c>
      <c r="N70" s="157">
        <v>0</v>
      </c>
      <c r="O70" s="157">
        <f t="shared" si="21"/>
        <v>0</v>
      </c>
      <c r="P70" s="156">
        <v>0</v>
      </c>
      <c r="Q70" s="172">
        <f t="shared" si="49"/>
        <v>3.3581169140030438</v>
      </c>
      <c r="R70" s="156">
        <v>0</v>
      </c>
      <c r="S70" s="172">
        <f t="shared" si="48"/>
        <v>2.4927560169330287</v>
      </c>
      <c r="T70" s="156">
        <v>0</v>
      </c>
      <c r="U70" s="171">
        <f t="shared" si="46"/>
        <v>1.28254234446347</v>
      </c>
      <c r="V70" s="156">
        <v>0</v>
      </c>
      <c r="W70" s="171">
        <f t="shared" si="47"/>
        <v>1.030683575913242</v>
      </c>
      <c r="X70" s="159">
        <v>0</v>
      </c>
      <c r="Y70" s="170">
        <f t="shared" si="44"/>
        <v>3.4872752568493151</v>
      </c>
      <c r="Z70" s="156">
        <v>50</v>
      </c>
      <c r="AA70" s="156">
        <f t="shared" si="26"/>
        <v>6.6129071537290711</v>
      </c>
      <c r="AB70" s="156">
        <v>0</v>
      </c>
      <c r="AC70" s="171">
        <f t="shared" si="45"/>
        <v>8.1240597650304416</v>
      </c>
      <c r="AD70" s="156">
        <f t="shared" si="35"/>
        <v>0</v>
      </c>
      <c r="AE70" s="166">
        <f t="shared" si="43"/>
        <v>10.216424919140028</v>
      </c>
      <c r="AF70" s="24"/>
      <c r="AG70" s="24"/>
      <c r="AH70" s="149" t="s">
        <v>74</v>
      </c>
      <c r="AI70" s="150">
        <f t="shared" si="14"/>
        <v>475.05005844748854</v>
      </c>
      <c r="AJ70" s="151">
        <f t="shared" si="15"/>
        <v>16.778960319159054</v>
      </c>
      <c r="AK70" s="151">
        <f t="shared" si="41"/>
        <v>527.39721061454259</v>
      </c>
      <c r="AL70" s="151">
        <f t="shared" si="42"/>
        <v>3969</v>
      </c>
      <c r="AM70" s="150">
        <f t="shared" si="28"/>
        <v>141.82901876664764</v>
      </c>
      <c r="AN70" s="271">
        <f t="shared" si="29"/>
        <v>877.39721061454259</v>
      </c>
    </row>
    <row r="71" spans="2:40" ht="15" thickBot="1" x14ac:dyDescent="0.25">
      <c r="B71" s="174" t="s">
        <v>75</v>
      </c>
      <c r="C71" s="175">
        <v>0</v>
      </c>
      <c r="D71" s="176">
        <f t="shared" si="40"/>
        <v>0</v>
      </c>
      <c r="E71" s="176">
        <f t="shared" si="40"/>
        <v>525</v>
      </c>
      <c r="F71" s="175">
        <f t="shared" si="7"/>
        <v>350</v>
      </c>
      <c r="G71" s="175">
        <v>18</v>
      </c>
      <c r="H71" s="177">
        <v>8.65</v>
      </c>
      <c r="I71" s="176">
        <f t="shared" si="8"/>
        <v>80.304974614726021</v>
      </c>
      <c r="J71" s="175">
        <v>0</v>
      </c>
      <c r="K71" s="175">
        <f t="shared" si="18"/>
        <v>0</v>
      </c>
      <c r="L71" s="175">
        <v>0</v>
      </c>
      <c r="M71" s="175">
        <f t="shared" si="37"/>
        <v>0</v>
      </c>
      <c r="N71" s="175">
        <v>0</v>
      </c>
      <c r="O71" s="175">
        <f t="shared" si="21"/>
        <v>0</v>
      </c>
      <c r="P71" s="176">
        <v>0</v>
      </c>
      <c r="Q71" s="178">
        <f t="shared" si="49"/>
        <v>3.3581169140030438</v>
      </c>
      <c r="R71" s="176">
        <v>0</v>
      </c>
      <c r="S71" s="178">
        <f t="shared" si="48"/>
        <v>2.4927560169330287</v>
      </c>
      <c r="T71" s="176">
        <v>0</v>
      </c>
      <c r="U71" s="179">
        <f t="shared" si="46"/>
        <v>1.28254234446347</v>
      </c>
      <c r="V71" s="176">
        <v>0</v>
      </c>
      <c r="W71" s="179">
        <f t="shared" si="47"/>
        <v>1.030683575913242</v>
      </c>
      <c r="X71" s="180">
        <v>0</v>
      </c>
      <c r="Y71" s="181">
        <f t="shared" si="44"/>
        <v>3.4872752568493151</v>
      </c>
      <c r="Z71" s="176">
        <v>50</v>
      </c>
      <c r="AA71" s="176">
        <f t="shared" si="26"/>
        <v>6.6129071537290711</v>
      </c>
      <c r="AB71" s="176">
        <v>0</v>
      </c>
      <c r="AC71" s="179">
        <f t="shared" si="45"/>
        <v>8.1240597650304416</v>
      </c>
      <c r="AD71" s="176">
        <f t="shared" si="35"/>
        <v>0</v>
      </c>
      <c r="AE71" s="182">
        <f t="shared" si="43"/>
        <v>10.216424919140028</v>
      </c>
      <c r="AF71" s="24"/>
      <c r="AG71" s="24"/>
      <c r="AH71" s="152" t="s">
        <v>74</v>
      </c>
      <c r="AI71" s="153">
        <f t="shared" si="14"/>
        <v>475.05005844748854</v>
      </c>
      <c r="AJ71" s="154">
        <f t="shared" si="15"/>
        <v>16.778960319159054</v>
      </c>
      <c r="AK71" s="154">
        <f t="shared" si="41"/>
        <v>525</v>
      </c>
      <c r="AL71" s="154">
        <f t="shared" si="42"/>
        <v>3969</v>
      </c>
      <c r="AM71" s="153">
        <f t="shared" si="28"/>
        <v>141.82901876664764</v>
      </c>
      <c r="AN71" s="272">
        <f t="shared" si="29"/>
        <v>875</v>
      </c>
    </row>
    <row r="72" spans="2:40" ht="15" hidden="1" thickTop="1" x14ac:dyDescent="0.2">
      <c r="B72" s="183">
        <f>B70+2</f>
        <v>64</v>
      </c>
      <c r="C72" s="184">
        <v>0</v>
      </c>
      <c r="D72" s="185">
        <f t="shared" si="40"/>
        <v>0</v>
      </c>
      <c r="E72" s="186">
        <f t="shared" si="40"/>
        <v>525</v>
      </c>
      <c r="F72" s="184">
        <f t="shared" si="7"/>
        <v>350</v>
      </c>
      <c r="G72" s="187">
        <v>18</v>
      </c>
      <c r="H72" s="188">
        <v>8.65</v>
      </c>
      <c r="I72" s="189">
        <f t="shared" si="8"/>
        <v>80.304974614726021</v>
      </c>
      <c r="J72" s="190">
        <v>0</v>
      </c>
      <c r="K72" s="191">
        <f t="shared" si="18"/>
        <v>0</v>
      </c>
      <c r="L72" s="190">
        <v>0</v>
      </c>
      <c r="M72" s="191">
        <f t="shared" si="37"/>
        <v>0</v>
      </c>
      <c r="N72" s="190">
        <v>0</v>
      </c>
      <c r="O72" s="191">
        <f t="shared" si="21"/>
        <v>0</v>
      </c>
      <c r="P72" s="192">
        <v>0</v>
      </c>
      <c r="Q72" s="193">
        <f t="shared" si="49"/>
        <v>3.3581169140030438</v>
      </c>
      <c r="R72" s="194">
        <v>0</v>
      </c>
      <c r="S72" s="193">
        <f t="shared" si="48"/>
        <v>2.4927560169330287</v>
      </c>
      <c r="T72" s="194">
        <v>0</v>
      </c>
      <c r="U72" s="195">
        <f t="shared" si="46"/>
        <v>1.28254234446347</v>
      </c>
      <c r="V72" s="194">
        <v>0</v>
      </c>
      <c r="W72" s="195">
        <f t="shared" si="47"/>
        <v>1.030683575913242</v>
      </c>
      <c r="X72" s="196">
        <v>0</v>
      </c>
      <c r="Y72" s="197">
        <f t="shared" si="44"/>
        <v>3.4872752568493151</v>
      </c>
      <c r="Z72" s="198">
        <v>50</v>
      </c>
      <c r="AA72" s="199">
        <f t="shared" si="26"/>
        <v>6.6129071537290711</v>
      </c>
      <c r="AB72" s="200">
        <v>0</v>
      </c>
      <c r="AC72" s="195">
        <f t="shared" si="45"/>
        <v>8.1240597650304416</v>
      </c>
      <c r="AD72" s="199">
        <f t="shared" si="35"/>
        <v>0</v>
      </c>
      <c r="AE72" s="195">
        <f t="shared" si="43"/>
        <v>10.216424919140028</v>
      </c>
      <c r="AF72" s="24"/>
      <c r="AG72" s="24"/>
      <c r="AH72" s="258" t="s">
        <v>74</v>
      </c>
      <c r="AI72" s="71">
        <f t="shared" si="14"/>
        <v>475.05005844748854</v>
      </c>
      <c r="AJ72" s="259">
        <f t="shared" si="15"/>
        <v>16.778960319159054</v>
      </c>
      <c r="AK72" s="259">
        <f t="shared" si="41"/>
        <v>525</v>
      </c>
      <c r="AL72" s="260">
        <f t="shared" si="42"/>
        <v>3969</v>
      </c>
      <c r="AM72" s="261">
        <f t="shared" si="28"/>
        <v>141.82901876664764</v>
      </c>
      <c r="AN72" s="262">
        <f t="shared" si="29"/>
        <v>875</v>
      </c>
    </row>
    <row r="73" spans="2:40" ht="14.25" hidden="1" x14ac:dyDescent="0.2">
      <c r="B73" s="201">
        <f t="shared" si="6"/>
        <v>65</v>
      </c>
      <c r="C73" s="202">
        <v>0</v>
      </c>
      <c r="D73" s="203">
        <f t="shared" si="40"/>
        <v>0</v>
      </c>
      <c r="E73" s="204">
        <f t="shared" si="40"/>
        <v>525</v>
      </c>
      <c r="F73" s="202">
        <f t="shared" si="7"/>
        <v>350</v>
      </c>
      <c r="G73" s="205">
        <v>18</v>
      </c>
      <c r="H73" s="206">
        <v>8.65</v>
      </c>
      <c r="I73" s="207">
        <f t="shared" si="8"/>
        <v>80.304974614726021</v>
      </c>
      <c r="J73" s="208">
        <v>0</v>
      </c>
      <c r="K73" s="209">
        <f t="shared" si="18"/>
        <v>0</v>
      </c>
      <c r="L73" s="208">
        <v>0</v>
      </c>
      <c r="M73" s="209">
        <f t="shared" si="37"/>
        <v>0</v>
      </c>
      <c r="N73" s="208">
        <v>0</v>
      </c>
      <c r="O73" s="209">
        <f t="shared" si="21"/>
        <v>0</v>
      </c>
      <c r="P73" s="210">
        <v>0</v>
      </c>
      <c r="Q73" s="211">
        <f t="shared" si="49"/>
        <v>3.3581169140030438</v>
      </c>
      <c r="R73" s="212">
        <v>0</v>
      </c>
      <c r="S73" s="211">
        <f t="shared" si="48"/>
        <v>2.4927560169330287</v>
      </c>
      <c r="T73" s="212">
        <v>0</v>
      </c>
      <c r="U73" s="213">
        <f t="shared" si="46"/>
        <v>1.28254234446347</v>
      </c>
      <c r="V73" s="212">
        <v>0</v>
      </c>
      <c r="W73" s="213">
        <f t="shared" si="47"/>
        <v>1.030683575913242</v>
      </c>
      <c r="X73" s="214">
        <v>0</v>
      </c>
      <c r="Y73" s="215">
        <f t="shared" si="44"/>
        <v>3.4872752568493151</v>
      </c>
      <c r="Z73" s="216">
        <v>50</v>
      </c>
      <c r="AA73" s="217">
        <f t="shared" si="26"/>
        <v>6.6129071537290711</v>
      </c>
      <c r="AB73" s="218">
        <v>0</v>
      </c>
      <c r="AC73" s="213">
        <f t="shared" si="45"/>
        <v>8.1240597650304416</v>
      </c>
      <c r="AD73" s="217">
        <f t="shared" si="35"/>
        <v>0</v>
      </c>
      <c r="AE73" s="213">
        <f t="shared" si="43"/>
        <v>10.216424919140028</v>
      </c>
      <c r="AF73" s="24"/>
      <c r="AG73" s="24"/>
      <c r="AH73" s="38" t="s">
        <v>74</v>
      </c>
      <c r="AI73" s="32">
        <f t="shared" si="14"/>
        <v>475.05005844748854</v>
      </c>
      <c r="AJ73" s="33">
        <f t="shared" si="15"/>
        <v>16.778960319159054</v>
      </c>
      <c r="AK73" s="33">
        <f t="shared" ref="AK73:AK108" si="50">C73+E73</f>
        <v>525</v>
      </c>
      <c r="AL73" s="31">
        <f t="shared" ref="AL73:AL108" si="51">(SUM($D$4:$AE$4)-$I$4)-(D73+L73+J73+N73+P73+R73+T73+V73+X73+Z73+AB73+AD73)</f>
        <v>3969</v>
      </c>
      <c r="AM73" s="45">
        <f t="shared" si="28"/>
        <v>141.82901876664764</v>
      </c>
      <c r="AN73" s="35">
        <f t="shared" si="29"/>
        <v>875</v>
      </c>
    </row>
    <row r="74" spans="2:40" ht="14.25" hidden="1" x14ac:dyDescent="0.2">
      <c r="B74" s="201">
        <f t="shared" ref="B74:B108" si="52">B73+1</f>
        <v>66</v>
      </c>
      <c r="C74" s="202">
        <v>0</v>
      </c>
      <c r="D74" s="203">
        <f t="shared" si="40"/>
        <v>0</v>
      </c>
      <c r="E74" s="204">
        <f t="shared" si="40"/>
        <v>525</v>
      </c>
      <c r="F74" s="202">
        <f t="shared" ref="F74:F108" si="53">368-G74</f>
        <v>350</v>
      </c>
      <c r="G74" s="205">
        <v>18</v>
      </c>
      <c r="H74" s="206">
        <v>8.65</v>
      </c>
      <c r="I74" s="207">
        <f t="shared" ref="I74:I108" si="54">(($I$4*($I$5/12))*325851)/(365*1440)</f>
        <v>80.304974614726021</v>
      </c>
      <c r="J74" s="208">
        <v>0</v>
      </c>
      <c r="K74" s="209">
        <f t="shared" ref="K74:K108" si="55">((J74*($J$5/12))*325851)/(365*1440)</f>
        <v>0</v>
      </c>
      <c r="L74" s="208">
        <v>0</v>
      </c>
      <c r="M74" s="209">
        <f t="shared" si="37"/>
        <v>0</v>
      </c>
      <c r="N74" s="208">
        <v>0</v>
      </c>
      <c r="O74" s="209">
        <f t="shared" ref="O74:O108" si="56">((N74*($N$5/12))*325851)/(365*1440)</f>
        <v>0</v>
      </c>
      <c r="P74" s="210">
        <v>0</v>
      </c>
      <c r="Q74" s="211">
        <f t="shared" si="49"/>
        <v>3.3581169140030438</v>
      </c>
      <c r="R74" s="212">
        <v>0</v>
      </c>
      <c r="S74" s="211">
        <f t="shared" si="48"/>
        <v>2.4927560169330287</v>
      </c>
      <c r="T74" s="212">
        <v>0</v>
      </c>
      <c r="U74" s="213">
        <f t="shared" si="46"/>
        <v>1.28254234446347</v>
      </c>
      <c r="V74" s="212">
        <v>0</v>
      </c>
      <c r="W74" s="213">
        <f t="shared" si="47"/>
        <v>1.030683575913242</v>
      </c>
      <c r="X74" s="214">
        <v>0</v>
      </c>
      <c r="Y74" s="215">
        <f t="shared" si="44"/>
        <v>3.4872752568493151</v>
      </c>
      <c r="Z74" s="216">
        <v>50</v>
      </c>
      <c r="AA74" s="217">
        <f t="shared" si="26"/>
        <v>6.6129071537290711</v>
      </c>
      <c r="AB74" s="218">
        <v>0</v>
      </c>
      <c r="AC74" s="213">
        <f t="shared" si="45"/>
        <v>8.1240597650304416</v>
      </c>
      <c r="AD74" s="217">
        <f t="shared" si="35"/>
        <v>0</v>
      </c>
      <c r="AE74" s="213">
        <f t="shared" si="43"/>
        <v>10.216424919140028</v>
      </c>
      <c r="AF74" s="24"/>
      <c r="AG74" s="24"/>
      <c r="AH74" s="38" t="s">
        <v>74</v>
      </c>
      <c r="AI74" s="32">
        <f t="shared" ref="AI74:AI108" si="57">F74+I74+K74+AA74+AC74+Q74+M74+G74+H74</f>
        <v>475.05005844748854</v>
      </c>
      <c r="AJ74" s="33">
        <f t="shared" ref="AJ74:AJ108" si="58">O74+AE74+U74+W74+Y74+(S74*(59/193))</f>
        <v>16.778960319159054</v>
      </c>
      <c r="AK74" s="33">
        <f t="shared" si="50"/>
        <v>525</v>
      </c>
      <c r="AL74" s="31">
        <f t="shared" si="51"/>
        <v>3969</v>
      </c>
      <c r="AM74" s="45">
        <f t="shared" si="28"/>
        <v>141.82901876664764</v>
      </c>
      <c r="AN74" s="35">
        <f t="shared" si="29"/>
        <v>875</v>
      </c>
    </row>
    <row r="75" spans="2:40" ht="14.25" hidden="1" x14ac:dyDescent="0.2">
      <c r="B75" s="201">
        <f t="shared" si="52"/>
        <v>67</v>
      </c>
      <c r="C75" s="202">
        <v>0</v>
      </c>
      <c r="D75" s="203">
        <f t="shared" si="40"/>
        <v>0</v>
      </c>
      <c r="E75" s="204">
        <f t="shared" si="40"/>
        <v>525</v>
      </c>
      <c r="F75" s="202">
        <f t="shared" si="53"/>
        <v>350</v>
      </c>
      <c r="G75" s="205">
        <v>18</v>
      </c>
      <c r="H75" s="206">
        <v>8.65</v>
      </c>
      <c r="I75" s="207">
        <f t="shared" si="54"/>
        <v>80.304974614726021</v>
      </c>
      <c r="J75" s="208">
        <v>0</v>
      </c>
      <c r="K75" s="209">
        <f t="shared" si="55"/>
        <v>0</v>
      </c>
      <c r="L75" s="208">
        <v>0</v>
      </c>
      <c r="M75" s="209">
        <f t="shared" ref="M75:M108" si="59">((L75*($N$5/12))*325851)/(365*1440)</f>
        <v>0</v>
      </c>
      <c r="N75" s="208">
        <v>0</v>
      </c>
      <c r="O75" s="209">
        <f t="shared" si="56"/>
        <v>0</v>
      </c>
      <c r="P75" s="210">
        <v>0</v>
      </c>
      <c r="Q75" s="211">
        <f t="shared" si="49"/>
        <v>3.3581169140030438</v>
      </c>
      <c r="R75" s="212">
        <v>0</v>
      </c>
      <c r="S75" s="211">
        <f t="shared" si="48"/>
        <v>2.4927560169330287</v>
      </c>
      <c r="T75" s="212">
        <v>0</v>
      </c>
      <c r="U75" s="213">
        <f t="shared" si="46"/>
        <v>1.28254234446347</v>
      </c>
      <c r="V75" s="212">
        <v>0</v>
      </c>
      <c r="W75" s="213">
        <f t="shared" si="47"/>
        <v>1.030683575913242</v>
      </c>
      <c r="X75" s="214">
        <v>0</v>
      </c>
      <c r="Y75" s="215">
        <f t="shared" si="44"/>
        <v>3.4872752568493151</v>
      </c>
      <c r="Z75" s="216">
        <v>50</v>
      </c>
      <c r="AA75" s="217">
        <f t="shared" si="26"/>
        <v>6.6129071537290711</v>
      </c>
      <c r="AB75" s="218">
        <v>0</v>
      </c>
      <c r="AC75" s="213">
        <f t="shared" si="45"/>
        <v>8.1240597650304416</v>
      </c>
      <c r="AD75" s="217">
        <f t="shared" si="35"/>
        <v>0</v>
      </c>
      <c r="AE75" s="213">
        <f t="shared" si="43"/>
        <v>10.216424919140028</v>
      </c>
      <c r="AF75" s="24"/>
      <c r="AG75" s="24"/>
      <c r="AH75" s="38" t="s">
        <v>74</v>
      </c>
      <c r="AI75" s="32">
        <f t="shared" si="57"/>
        <v>475.05005844748854</v>
      </c>
      <c r="AJ75" s="33">
        <f t="shared" si="58"/>
        <v>16.778960319159054</v>
      </c>
      <c r="AK75" s="33">
        <f t="shared" si="50"/>
        <v>525</v>
      </c>
      <c r="AL75" s="31">
        <f t="shared" si="51"/>
        <v>3969</v>
      </c>
      <c r="AM75" s="45">
        <f t="shared" si="28"/>
        <v>141.82901876664764</v>
      </c>
      <c r="AN75" s="35">
        <f t="shared" si="29"/>
        <v>875</v>
      </c>
    </row>
    <row r="76" spans="2:40" ht="14.25" hidden="1" x14ac:dyDescent="0.2">
      <c r="B76" s="201">
        <f t="shared" si="52"/>
        <v>68</v>
      </c>
      <c r="C76" s="202">
        <v>0</v>
      </c>
      <c r="D76" s="203">
        <f t="shared" si="40"/>
        <v>0</v>
      </c>
      <c r="E76" s="204">
        <f t="shared" si="40"/>
        <v>525</v>
      </c>
      <c r="F76" s="202">
        <f t="shared" si="53"/>
        <v>350</v>
      </c>
      <c r="G76" s="205">
        <v>18</v>
      </c>
      <c r="H76" s="206">
        <v>8.65</v>
      </c>
      <c r="I76" s="207">
        <f t="shared" si="54"/>
        <v>80.304974614726021</v>
      </c>
      <c r="J76" s="208">
        <v>0</v>
      </c>
      <c r="K76" s="209">
        <f t="shared" si="55"/>
        <v>0</v>
      </c>
      <c r="L76" s="208">
        <v>0</v>
      </c>
      <c r="M76" s="209">
        <f t="shared" si="59"/>
        <v>0</v>
      </c>
      <c r="N76" s="208">
        <v>0</v>
      </c>
      <c r="O76" s="209">
        <f t="shared" si="56"/>
        <v>0</v>
      </c>
      <c r="P76" s="210">
        <v>0</v>
      </c>
      <c r="Q76" s="211">
        <f t="shared" si="49"/>
        <v>3.3581169140030438</v>
      </c>
      <c r="R76" s="212">
        <v>0</v>
      </c>
      <c r="S76" s="211">
        <f t="shared" si="48"/>
        <v>2.4927560169330287</v>
      </c>
      <c r="T76" s="212">
        <v>0</v>
      </c>
      <c r="U76" s="213">
        <f t="shared" si="46"/>
        <v>1.28254234446347</v>
      </c>
      <c r="V76" s="212">
        <v>0</v>
      </c>
      <c r="W76" s="213">
        <f t="shared" si="47"/>
        <v>1.030683575913242</v>
      </c>
      <c r="X76" s="214">
        <v>0</v>
      </c>
      <c r="Y76" s="215">
        <f t="shared" si="44"/>
        <v>3.4872752568493151</v>
      </c>
      <c r="Z76" s="216">
        <v>50</v>
      </c>
      <c r="AA76" s="217">
        <f t="shared" si="26"/>
        <v>6.6129071537290711</v>
      </c>
      <c r="AB76" s="218">
        <v>0</v>
      </c>
      <c r="AC76" s="213">
        <f t="shared" si="45"/>
        <v>8.1240597650304416</v>
      </c>
      <c r="AD76" s="217">
        <f t="shared" si="30"/>
        <v>0</v>
      </c>
      <c r="AE76" s="213">
        <f t="shared" si="43"/>
        <v>10.216424919140028</v>
      </c>
      <c r="AF76" s="24"/>
      <c r="AG76" s="24"/>
      <c r="AH76" s="38" t="s">
        <v>74</v>
      </c>
      <c r="AI76" s="32">
        <f t="shared" si="57"/>
        <v>475.05005844748854</v>
      </c>
      <c r="AJ76" s="33">
        <f t="shared" si="58"/>
        <v>16.778960319159054</v>
      </c>
      <c r="AK76" s="33">
        <f t="shared" si="50"/>
        <v>525</v>
      </c>
      <c r="AL76" s="31">
        <f t="shared" si="51"/>
        <v>3969</v>
      </c>
      <c r="AM76" s="45">
        <f t="shared" si="28"/>
        <v>141.82901876664764</v>
      </c>
      <c r="AN76" s="35">
        <f t="shared" si="29"/>
        <v>875</v>
      </c>
    </row>
    <row r="77" spans="2:40" ht="14.25" hidden="1" x14ac:dyDescent="0.2">
      <c r="B77" s="201">
        <f t="shared" si="52"/>
        <v>69</v>
      </c>
      <c r="C77" s="202">
        <v>0</v>
      </c>
      <c r="D77" s="203">
        <f t="shared" si="40"/>
        <v>0</v>
      </c>
      <c r="E77" s="204">
        <f t="shared" si="40"/>
        <v>525</v>
      </c>
      <c r="F77" s="202">
        <f t="shared" si="53"/>
        <v>350</v>
      </c>
      <c r="G77" s="205">
        <v>18</v>
      </c>
      <c r="H77" s="206">
        <v>8.65</v>
      </c>
      <c r="I77" s="207">
        <f t="shared" si="54"/>
        <v>80.304974614726021</v>
      </c>
      <c r="J77" s="208">
        <v>0</v>
      </c>
      <c r="K77" s="209">
        <f t="shared" si="55"/>
        <v>0</v>
      </c>
      <c r="L77" s="208">
        <v>0</v>
      </c>
      <c r="M77" s="209">
        <f t="shared" si="59"/>
        <v>0</v>
      </c>
      <c r="N77" s="208">
        <v>0</v>
      </c>
      <c r="O77" s="209">
        <f t="shared" si="56"/>
        <v>0</v>
      </c>
      <c r="P77" s="210">
        <v>0</v>
      </c>
      <c r="Q77" s="211">
        <f t="shared" si="49"/>
        <v>3.3581169140030438</v>
      </c>
      <c r="R77" s="212">
        <v>0</v>
      </c>
      <c r="S77" s="211">
        <f t="shared" si="48"/>
        <v>2.4927560169330287</v>
      </c>
      <c r="T77" s="212">
        <v>0</v>
      </c>
      <c r="U77" s="213">
        <f t="shared" si="46"/>
        <v>1.28254234446347</v>
      </c>
      <c r="V77" s="212">
        <v>0</v>
      </c>
      <c r="W77" s="213">
        <f t="shared" si="47"/>
        <v>1.030683575913242</v>
      </c>
      <c r="X77" s="214">
        <v>0</v>
      </c>
      <c r="Y77" s="215">
        <f t="shared" si="44"/>
        <v>3.4872752568493151</v>
      </c>
      <c r="Z77" s="216">
        <v>50</v>
      </c>
      <c r="AA77" s="217">
        <f t="shared" ref="AA77:AA108" si="60">AA76</f>
        <v>6.6129071537290711</v>
      </c>
      <c r="AB77" s="218">
        <v>0</v>
      </c>
      <c r="AC77" s="213">
        <f t="shared" si="45"/>
        <v>8.1240597650304416</v>
      </c>
      <c r="AD77" s="217">
        <f t="shared" si="30"/>
        <v>0</v>
      </c>
      <c r="AE77" s="213">
        <f t="shared" si="43"/>
        <v>10.216424919140028</v>
      </c>
      <c r="AF77" s="24"/>
      <c r="AG77" s="24"/>
      <c r="AH77" s="38" t="s">
        <v>74</v>
      </c>
      <c r="AI77" s="32">
        <f t="shared" si="57"/>
        <v>475.05005844748854</v>
      </c>
      <c r="AJ77" s="33">
        <f t="shared" si="58"/>
        <v>16.778960319159054</v>
      </c>
      <c r="AK77" s="33">
        <f t="shared" si="50"/>
        <v>525</v>
      </c>
      <c r="AL77" s="31">
        <f t="shared" si="51"/>
        <v>3969</v>
      </c>
      <c r="AM77" s="45">
        <f t="shared" si="28"/>
        <v>141.82901876664764</v>
      </c>
      <c r="AN77" s="35">
        <f t="shared" si="29"/>
        <v>875</v>
      </c>
    </row>
    <row r="78" spans="2:40" ht="14.25" hidden="1" x14ac:dyDescent="0.2">
      <c r="B78" s="201">
        <f t="shared" si="52"/>
        <v>70</v>
      </c>
      <c r="C78" s="202">
        <v>0</v>
      </c>
      <c r="D78" s="203">
        <f t="shared" si="40"/>
        <v>0</v>
      </c>
      <c r="E78" s="204">
        <f t="shared" si="40"/>
        <v>525</v>
      </c>
      <c r="F78" s="202">
        <f t="shared" si="53"/>
        <v>350</v>
      </c>
      <c r="G78" s="205">
        <v>18</v>
      </c>
      <c r="H78" s="206">
        <v>8.65</v>
      </c>
      <c r="I78" s="207">
        <f t="shared" si="54"/>
        <v>80.304974614726021</v>
      </c>
      <c r="J78" s="208">
        <v>0</v>
      </c>
      <c r="K78" s="209">
        <f t="shared" si="55"/>
        <v>0</v>
      </c>
      <c r="L78" s="208">
        <v>0</v>
      </c>
      <c r="M78" s="209">
        <f t="shared" si="59"/>
        <v>0</v>
      </c>
      <c r="N78" s="208">
        <v>0</v>
      </c>
      <c r="O78" s="209">
        <f t="shared" si="56"/>
        <v>0</v>
      </c>
      <c r="P78" s="210">
        <v>0</v>
      </c>
      <c r="Q78" s="211">
        <f t="shared" si="49"/>
        <v>3.3581169140030438</v>
      </c>
      <c r="R78" s="212">
        <v>0</v>
      </c>
      <c r="S78" s="211">
        <f t="shared" si="48"/>
        <v>2.4927560169330287</v>
      </c>
      <c r="T78" s="212">
        <v>0</v>
      </c>
      <c r="U78" s="213">
        <f t="shared" si="46"/>
        <v>1.28254234446347</v>
      </c>
      <c r="V78" s="212">
        <v>0</v>
      </c>
      <c r="W78" s="213">
        <f t="shared" si="47"/>
        <v>1.030683575913242</v>
      </c>
      <c r="X78" s="214">
        <v>0</v>
      </c>
      <c r="Y78" s="215">
        <f t="shared" si="44"/>
        <v>3.4872752568493151</v>
      </c>
      <c r="Z78" s="216">
        <v>50</v>
      </c>
      <c r="AA78" s="217">
        <f t="shared" si="60"/>
        <v>6.6129071537290711</v>
      </c>
      <c r="AB78" s="218">
        <v>0</v>
      </c>
      <c r="AC78" s="213">
        <f t="shared" si="45"/>
        <v>8.1240597650304416</v>
      </c>
      <c r="AD78" s="217">
        <f t="shared" si="30"/>
        <v>0</v>
      </c>
      <c r="AE78" s="213">
        <f t="shared" si="43"/>
        <v>10.216424919140028</v>
      </c>
      <c r="AF78" s="24"/>
      <c r="AG78" s="24"/>
      <c r="AH78" s="38" t="s">
        <v>74</v>
      </c>
      <c r="AI78" s="32">
        <f t="shared" si="57"/>
        <v>475.05005844748854</v>
      </c>
      <c r="AJ78" s="33">
        <f t="shared" si="58"/>
        <v>16.778960319159054</v>
      </c>
      <c r="AK78" s="33">
        <f t="shared" si="50"/>
        <v>525</v>
      </c>
      <c r="AL78" s="31">
        <f t="shared" si="51"/>
        <v>3969</v>
      </c>
      <c r="AM78" s="45">
        <f t="shared" si="28"/>
        <v>141.82901876664764</v>
      </c>
      <c r="AN78" s="35">
        <f t="shared" si="29"/>
        <v>875</v>
      </c>
    </row>
    <row r="79" spans="2:40" ht="14.25" hidden="1" x14ac:dyDescent="0.2">
      <c r="B79" s="201">
        <f t="shared" si="52"/>
        <v>71</v>
      </c>
      <c r="C79" s="202">
        <v>0</v>
      </c>
      <c r="D79" s="203">
        <f t="shared" si="40"/>
        <v>0</v>
      </c>
      <c r="E79" s="204">
        <f t="shared" si="40"/>
        <v>525</v>
      </c>
      <c r="F79" s="202">
        <f t="shared" si="53"/>
        <v>350</v>
      </c>
      <c r="G79" s="205">
        <v>18</v>
      </c>
      <c r="H79" s="206">
        <v>8.65</v>
      </c>
      <c r="I79" s="207">
        <f t="shared" si="54"/>
        <v>80.304974614726021</v>
      </c>
      <c r="J79" s="208">
        <v>0</v>
      </c>
      <c r="K79" s="209">
        <f t="shared" si="55"/>
        <v>0</v>
      </c>
      <c r="L79" s="208">
        <v>0</v>
      </c>
      <c r="M79" s="209">
        <f t="shared" si="59"/>
        <v>0</v>
      </c>
      <c r="N79" s="208">
        <v>0</v>
      </c>
      <c r="O79" s="209">
        <f t="shared" si="56"/>
        <v>0</v>
      </c>
      <c r="P79" s="210">
        <v>0</v>
      </c>
      <c r="Q79" s="211">
        <f t="shared" si="49"/>
        <v>3.3581169140030438</v>
      </c>
      <c r="R79" s="212">
        <v>0</v>
      </c>
      <c r="S79" s="211">
        <f t="shared" si="48"/>
        <v>2.4927560169330287</v>
      </c>
      <c r="T79" s="212">
        <v>0</v>
      </c>
      <c r="U79" s="213">
        <f t="shared" si="46"/>
        <v>1.28254234446347</v>
      </c>
      <c r="V79" s="212">
        <v>0</v>
      </c>
      <c r="W79" s="213">
        <f t="shared" si="47"/>
        <v>1.030683575913242</v>
      </c>
      <c r="X79" s="214">
        <v>0</v>
      </c>
      <c r="Y79" s="215">
        <f t="shared" si="44"/>
        <v>3.4872752568493151</v>
      </c>
      <c r="Z79" s="216">
        <v>50</v>
      </c>
      <c r="AA79" s="217">
        <f t="shared" si="60"/>
        <v>6.6129071537290711</v>
      </c>
      <c r="AB79" s="218">
        <v>0</v>
      </c>
      <c r="AC79" s="213">
        <f t="shared" si="45"/>
        <v>8.1240597650304416</v>
      </c>
      <c r="AD79" s="217">
        <f t="shared" si="30"/>
        <v>0</v>
      </c>
      <c r="AE79" s="213">
        <f t="shared" ref="AE79:AE108" si="61">((($AD$7/12)*$AD$4)*325851)/(365*1440)</f>
        <v>10.216424919140028</v>
      </c>
      <c r="AF79" s="24"/>
      <c r="AG79" s="24"/>
      <c r="AH79" s="38" t="s">
        <v>74</v>
      </c>
      <c r="AI79" s="32">
        <f t="shared" si="57"/>
        <v>475.05005844748854</v>
      </c>
      <c r="AJ79" s="33">
        <f t="shared" si="58"/>
        <v>16.778960319159054</v>
      </c>
      <c r="AK79" s="33">
        <f t="shared" si="50"/>
        <v>525</v>
      </c>
      <c r="AL79" s="31">
        <f t="shared" si="51"/>
        <v>3969</v>
      </c>
      <c r="AM79" s="45">
        <f t="shared" ref="AM79:AM108" si="62">G79+I79+K79+M79+O79+Q79+U79+W79+Y79+AA79+AC79+AE79+H79+(S79*(59/193))</f>
        <v>141.82901876664764</v>
      </c>
      <c r="AN79" s="35">
        <f t="shared" ref="AN79:AN108" si="63">C79+E79+F79</f>
        <v>875</v>
      </c>
    </row>
    <row r="80" spans="2:40" ht="14.25" hidden="1" x14ac:dyDescent="0.2">
      <c r="B80" s="201">
        <f t="shared" si="52"/>
        <v>72</v>
      </c>
      <c r="C80" s="202">
        <v>0</v>
      </c>
      <c r="D80" s="203">
        <f t="shared" si="40"/>
        <v>0</v>
      </c>
      <c r="E80" s="204">
        <f t="shared" si="40"/>
        <v>525</v>
      </c>
      <c r="F80" s="202">
        <f t="shared" si="53"/>
        <v>350</v>
      </c>
      <c r="G80" s="205">
        <v>18</v>
      </c>
      <c r="H80" s="206">
        <v>8.65</v>
      </c>
      <c r="I80" s="207">
        <f t="shared" si="54"/>
        <v>80.304974614726021</v>
      </c>
      <c r="J80" s="208">
        <v>0</v>
      </c>
      <c r="K80" s="209">
        <f t="shared" si="55"/>
        <v>0</v>
      </c>
      <c r="L80" s="208">
        <v>0</v>
      </c>
      <c r="M80" s="209">
        <f t="shared" si="59"/>
        <v>0</v>
      </c>
      <c r="N80" s="208">
        <v>0</v>
      </c>
      <c r="O80" s="209">
        <f t="shared" si="56"/>
        <v>0</v>
      </c>
      <c r="P80" s="210">
        <v>0</v>
      </c>
      <c r="Q80" s="211">
        <f t="shared" si="49"/>
        <v>3.3581169140030438</v>
      </c>
      <c r="R80" s="212">
        <v>0</v>
      </c>
      <c r="S80" s="211">
        <f t="shared" si="48"/>
        <v>2.4927560169330287</v>
      </c>
      <c r="T80" s="212">
        <v>0</v>
      </c>
      <c r="U80" s="213">
        <f t="shared" si="46"/>
        <v>1.28254234446347</v>
      </c>
      <c r="V80" s="212">
        <v>0</v>
      </c>
      <c r="W80" s="213">
        <f t="shared" si="47"/>
        <v>1.030683575913242</v>
      </c>
      <c r="X80" s="214">
        <v>0</v>
      </c>
      <c r="Y80" s="215">
        <f t="shared" si="44"/>
        <v>3.4872752568493151</v>
      </c>
      <c r="Z80" s="216">
        <v>50</v>
      </c>
      <c r="AA80" s="217">
        <f t="shared" si="60"/>
        <v>6.6129071537290711</v>
      </c>
      <c r="AB80" s="218">
        <v>0</v>
      </c>
      <c r="AC80" s="213">
        <f t="shared" si="45"/>
        <v>8.1240597650304416</v>
      </c>
      <c r="AD80" s="217">
        <f t="shared" ref="AD80:AD108" si="64">AD79</f>
        <v>0</v>
      </c>
      <c r="AE80" s="213">
        <f t="shared" si="61"/>
        <v>10.216424919140028</v>
      </c>
      <c r="AF80" s="24"/>
      <c r="AG80" s="24"/>
      <c r="AH80" s="38" t="s">
        <v>74</v>
      </c>
      <c r="AI80" s="32">
        <f t="shared" si="57"/>
        <v>475.05005844748854</v>
      </c>
      <c r="AJ80" s="33">
        <f t="shared" si="58"/>
        <v>16.778960319159054</v>
      </c>
      <c r="AK80" s="33">
        <f t="shared" si="50"/>
        <v>525</v>
      </c>
      <c r="AL80" s="31">
        <f t="shared" si="51"/>
        <v>3969</v>
      </c>
      <c r="AM80" s="45">
        <f t="shared" si="62"/>
        <v>141.82901876664764</v>
      </c>
      <c r="AN80" s="35">
        <f t="shared" si="63"/>
        <v>875</v>
      </c>
    </row>
    <row r="81" spans="2:40" ht="14.25" hidden="1" x14ac:dyDescent="0.2">
      <c r="B81" s="201">
        <f t="shared" si="52"/>
        <v>73</v>
      </c>
      <c r="C81" s="202">
        <v>0</v>
      </c>
      <c r="D81" s="203">
        <f t="shared" si="40"/>
        <v>0</v>
      </c>
      <c r="E81" s="204">
        <f t="shared" si="40"/>
        <v>525</v>
      </c>
      <c r="F81" s="202">
        <f t="shared" si="53"/>
        <v>350</v>
      </c>
      <c r="G81" s="205">
        <v>18</v>
      </c>
      <c r="H81" s="206">
        <v>8.65</v>
      </c>
      <c r="I81" s="207">
        <f t="shared" si="54"/>
        <v>80.304974614726021</v>
      </c>
      <c r="J81" s="208">
        <v>0</v>
      </c>
      <c r="K81" s="209">
        <f t="shared" si="55"/>
        <v>0</v>
      </c>
      <c r="L81" s="208">
        <v>0</v>
      </c>
      <c r="M81" s="209">
        <f t="shared" si="59"/>
        <v>0</v>
      </c>
      <c r="N81" s="208">
        <v>0</v>
      </c>
      <c r="O81" s="209">
        <f t="shared" si="56"/>
        <v>0</v>
      </c>
      <c r="P81" s="210">
        <v>0</v>
      </c>
      <c r="Q81" s="211">
        <f t="shared" si="49"/>
        <v>3.3581169140030438</v>
      </c>
      <c r="R81" s="212">
        <v>0</v>
      </c>
      <c r="S81" s="211">
        <f t="shared" si="48"/>
        <v>2.4927560169330287</v>
      </c>
      <c r="T81" s="212">
        <v>0</v>
      </c>
      <c r="U81" s="213">
        <f t="shared" si="46"/>
        <v>1.28254234446347</v>
      </c>
      <c r="V81" s="212">
        <v>0</v>
      </c>
      <c r="W81" s="213">
        <f t="shared" si="47"/>
        <v>1.030683575913242</v>
      </c>
      <c r="X81" s="214">
        <v>0</v>
      </c>
      <c r="Y81" s="215">
        <f t="shared" si="44"/>
        <v>3.4872752568493151</v>
      </c>
      <c r="Z81" s="216">
        <v>50</v>
      </c>
      <c r="AA81" s="217">
        <f t="shared" si="60"/>
        <v>6.6129071537290711</v>
      </c>
      <c r="AB81" s="218">
        <v>0</v>
      </c>
      <c r="AC81" s="213">
        <f t="shared" si="45"/>
        <v>8.1240597650304416</v>
      </c>
      <c r="AD81" s="217">
        <f t="shared" si="64"/>
        <v>0</v>
      </c>
      <c r="AE81" s="213">
        <f t="shared" si="61"/>
        <v>10.216424919140028</v>
      </c>
      <c r="AF81" s="24"/>
      <c r="AG81" s="24"/>
      <c r="AH81" s="38" t="s">
        <v>74</v>
      </c>
      <c r="AI81" s="32">
        <f t="shared" si="57"/>
        <v>475.05005844748854</v>
      </c>
      <c r="AJ81" s="33">
        <f t="shared" si="58"/>
        <v>16.778960319159054</v>
      </c>
      <c r="AK81" s="33">
        <f t="shared" si="50"/>
        <v>525</v>
      </c>
      <c r="AL81" s="31">
        <f t="shared" si="51"/>
        <v>3969</v>
      </c>
      <c r="AM81" s="45">
        <f t="shared" si="62"/>
        <v>141.82901876664764</v>
      </c>
      <c r="AN81" s="35">
        <f t="shared" si="63"/>
        <v>875</v>
      </c>
    </row>
    <row r="82" spans="2:40" ht="14.25" hidden="1" x14ac:dyDescent="0.2">
      <c r="B82" s="201">
        <f t="shared" si="52"/>
        <v>74</v>
      </c>
      <c r="C82" s="202">
        <v>0</v>
      </c>
      <c r="D82" s="203">
        <f t="shared" si="40"/>
        <v>0</v>
      </c>
      <c r="E82" s="204">
        <f t="shared" si="40"/>
        <v>525</v>
      </c>
      <c r="F82" s="202">
        <f t="shared" si="53"/>
        <v>350</v>
      </c>
      <c r="G82" s="205">
        <v>18</v>
      </c>
      <c r="H82" s="206">
        <v>8.65</v>
      </c>
      <c r="I82" s="207">
        <f t="shared" si="54"/>
        <v>80.304974614726021</v>
      </c>
      <c r="J82" s="208">
        <v>0</v>
      </c>
      <c r="K82" s="209">
        <f t="shared" si="55"/>
        <v>0</v>
      </c>
      <c r="L82" s="208">
        <v>0</v>
      </c>
      <c r="M82" s="209">
        <f t="shared" si="59"/>
        <v>0</v>
      </c>
      <c r="N82" s="208">
        <v>0</v>
      </c>
      <c r="O82" s="209">
        <f t="shared" si="56"/>
        <v>0</v>
      </c>
      <c r="P82" s="210">
        <v>0</v>
      </c>
      <c r="Q82" s="211">
        <f t="shared" si="49"/>
        <v>3.3581169140030438</v>
      </c>
      <c r="R82" s="212">
        <v>0</v>
      </c>
      <c r="S82" s="211">
        <f t="shared" si="48"/>
        <v>2.4927560169330287</v>
      </c>
      <c r="T82" s="212">
        <v>0</v>
      </c>
      <c r="U82" s="213">
        <f t="shared" si="46"/>
        <v>1.28254234446347</v>
      </c>
      <c r="V82" s="212">
        <v>0</v>
      </c>
      <c r="W82" s="213">
        <f t="shared" si="47"/>
        <v>1.030683575913242</v>
      </c>
      <c r="X82" s="214">
        <v>0</v>
      </c>
      <c r="Y82" s="215">
        <f t="shared" ref="Y82:Y108" si="65">((($X$7/12)*$X$4)*325851)/(365*1440)</f>
        <v>3.4872752568493151</v>
      </c>
      <c r="Z82" s="216">
        <v>50</v>
      </c>
      <c r="AA82" s="217">
        <f t="shared" si="60"/>
        <v>6.6129071537290711</v>
      </c>
      <c r="AB82" s="218">
        <v>0</v>
      </c>
      <c r="AC82" s="213">
        <f t="shared" ref="AC82:AC108" si="66">((($AB$7/12)*$AB$4)*325851)/(365*1440)</f>
        <v>8.1240597650304416</v>
      </c>
      <c r="AD82" s="217">
        <f t="shared" si="64"/>
        <v>0</v>
      </c>
      <c r="AE82" s="213">
        <f t="shared" si="61"/>
        <v>10.216424919140028</v>
      </c>
      <c r="AF82" s="24"/>
      <c r="AG82" s="24"/>
      <c r="AH82" s="38" t="s">
        <v>74</v>
      </c>
      <c r="AI82" s="32">
        <f t="shared" si="57"/>
        <v>475.05005844748854</v>
      </c>
      <c r="AJ82" s="33">
        <f t="shared" si="58"/>
        <v>16.778960319159054</v>
      </c>
      <c r="AK82" s="33">
        <f t="shared" si="50"/>
        <v>525</v>
      </c>
      <c r="AL82" s="31">
        <f t="shared" si="51"/>
        <v>3969</v>
      </c>
      <c r="AM82" s="45">
        <f t="shared" si="62"/>
        <v>141.82901876664764</v>
      </c>
      <c r="AN82" s="35">
        <f t="shared" si="63"/>
        <v>875</v>
      </c>
    </row>
    <row r="83" spans="2:40" ht="14.25" hidden="1" x14ac:dyDescent="0.2">
      <c r="B83" s="201">
        <f t="shared" si="52"/>
        <v>75</v>
      </c>
      <c r="C83" s="202">
        <v>0</v>
      </c>
      <c r="D83" s="203">
        <f t="shared" si="40"/>
        <v>0</v>
      </c>
      <c r="E83" s="204">
        <f t="shared" si="40"/>
        <v>525</v>
      </c>
      <c r="F83" s="202">
        <f t="shared" si="53"/>
        <v>350</v>
      </c>
      <c r="G83" s="205">
        <v>18</v>
      </c>
      <c r="H83" s="206">
        <v>8.65</v>
      </c>
      <c r="I83" s="207">
        <f t="shared" si="54"/>
        <v>80.304974614726021</v>
      </c>
      <c r="J83" s="208">
        <v>0</v>
      </c>
      <c r="K83" s="209">
        <f t="shared" si="55"/>
        <v>0</v>
      </c>
      <c r="L83" s="208">
        <v>0</v>
      </c>
      <c r="M83" s="209">
        <f t="shared" si="59"/>
        <v>0</v>
      </c>
      <c r="N83" s="208">
        <v>0</v>
      </c>
      <c r="O83" s="209">
        <f t="shared" si="56"/>
        <v>0</v>
      </c>
      <c r="P83" s="210">
        <v>0</v>
      </c>
      <c r="Q83" s="211">
        <f t="shared" si="49"/>
        <v>3.3581169140030438</v>
      </c>
      <c r="R83" s="212">
        <v>0</v>
      </c>
      <c r="S83" s="211">
        <f t="shared" si="48"/>
        <v>2.4927560169330287</v>
      </c>
      <c r="T83" s="212">
        <v>0</v>
      </c>
      <c r="U83" s="213">
        <f t="shared" ref="U83:U108" si="67">((($T$7/12)*$T$4)*325851)/(365*1440)</f>
        <v>1.28254234446347</v>
      </c>
      <c r="V83" s="212">
        <v>0</v>
      </c>
      <c r="W83" s="213">
        <f t="shared" ref="W83:W108" si="68">((($V$7/12)*$V$4)*325851)/(365*1440)</f>
        <v>1.030683575913242</v>
      </c>
      <c r="X83" s="214">
        <v>0</v>
      </c>
      <c r="Y83" s="215">
        <f t="shared" si="65"/>
        <v>3.4872752568493151</v>
      </c>
      <c r="Z83" s="216">
        <v>50</v>
      </c>
      <c r="AA83" s="217">
        <f t="shared" si="60"/>
        <v>6.6129071537290711</v>
      </c>
      <c r="AB83" s="218">
        <v>0</v>
      </c>
      <c r="AC83" s="213">
        <f t="shared" si="66"/>
        <v>8.1240597650304416</v>
      </c>
      <c r="AD83" s="217">
        <f t="shared" si="64"/>
        <v>0</v>
      </c>
      <c r="AE83" s="213">
        <f t="shared" si="61"/>
        <v>10.216424919140028</v>
      </c>
      <c r="AF83" s="24"/>
      <c r="AG83" s="24"/>
      <c r="AH83" s="38" t="s">
        <v>74</v>
      </c>
      <c r="AI83" s="32">
        <f t="shared" si="57"/>
        <v>475.05005844748854</v>
      </c>
      <c r="AJ83" s="33">
        <f t="shared" si="58"/>
        <v>16.778960319159054</v>
      </c>
      <c r="AK83" s="33">
        <f t="shared" si="50"/>
        <v>525</v>
      </c>
      <c r="AL83" s="31">
        <f t="shared" si="51"/>
        <v>3969</v>
      </c>
      <c r="AM83" s="45">
        <f t="shared" si="62"/>
        <v>141.82901876664764</v>
      </c>
      <c r="AN83" s="35">
        <f t="shared" si="63"/>
        <v>875</v>
      </c>
    </row>
    <row r="84" spans="2:40" ht="14.25" hidden="1" x14ac:dyDescent="0.2">
      <c r="B84" s="201">
        <f t="shared" si="52"/>
        <v>76</v>
      </c>
      <c r="C84" s="202">
        <v>0</v>
      </c>
      <c r="D84" s="203">
        <f t="shared" si="40"/>
        <v>0</v>
      </c>
      <c r="E84" s="204">
        <f t="shared" si="40"/>
        <v>525</v>
      </c>
      <c r="F84" s="202">
        <f t="shared" si="53"/>
        <v>350</v>
      </c>
      <c r="G84" s="205">
        <v>18</v>
      </c>
      <c r="H84" s="206">
        <v>8.65</v>
      </c>
      <c r="I84" s="207">
        <f t="shared" si="54"/>
        <v>80.304974614726021</v>
      </c>
      <c r="J84" s="208">
        <v>0</v>
      </c>
      <c r="K84" s="209">
        <f t="shared" si="55"/>
        <v>0</v>
      </c>
      <c r="L84" s="208">
        <v>0</v>
      </c>
      <c r="M84" s="209">
        <f t="shared" si="59"/>
        <v>0</v>
      </c>
      <c r="N84" s="208">
        <v>0</v>
      </c>
      <c r="O84" s="209">
        <f t="shared" si="56"/>
        <v>0</v>
      </c>
      <c r="P84" s="210">
        <v>0</v>
      </c>
      <c r="Q84" s="211">
        <f t="shared" si="49"/>
        <v>3.3581169140030438</v>
      </c>
      <c r="R84" s="212">
        <v>0</v>
      </c>
      <c r="S84" s="211">
        <f t="shared" ref="S84:S108" si="69">((($R$7/12)*$R$4)*325851)/(365*1440)</f>
        <v>2.4927560169330287</v>
      </c>
      <c r="T84" s="212">
        <v>0</v>
      </c>
      <c r="U84" s="213">
        <f t="shared" si="67"/>
        <v>1.28254234446347</v>
      </c>
      <c r="V84" s="212">
        <v>0</v>
      </c>
      <c r="W84" s="213">
        <f t="shared" si="68"/>
        <v>1.030683575913242</v>
      </c>
      <c r="X84" s="214">
        <v>0</v>
      </c>
      <c r="Y84" s="215">
        <f t="shared" si="65"/>
        <v>3.4872752568493151</v>
      </c>
      <c r="Z84" s="216">
        <v>50</v>
      </c>
      <c r="AA84" s="217">
        <f t="shared" si="60"/>
        <v>6.6129071537290711</v>
      </c>
      <c r="AB84" s="218">
        <v>0</v>
      </c>
      <c r="AC84" s="213">
        <f t="shared" si="66"/>
        <v>8.1240597650304416</v>
      </c>
      <c r="AD84" s="217">
        <f t="shared" si="64"/>
        <v>0</v>
      </c>
      <c r="AE84" s="213">
        <f t="shared" si="61"/>
        <v>10.216424919140028</v>
      </c>
      <c r="AF84" s="24"/>
      <c r="AG84" s="24"/>
      <c r="AH84" s="38" t="s">
        <v>74</v>
      </c>
      <c r="AI84" s="32">
        <f t="shared" si="57"/>
        <v>475.05005844748854</v>
      </c>
      <c r="AJ84" s="33">
        <f t="shared" si="58"/>
        <v>16.778960319159054</v>
      </c>
      <c r="AK84" s="33">
        <f t="shared" si="50"/>
        <v>525</v>
      </c>
      <c r="AL84" s="31">
        <f t="shared" si="51"/>
        <v>3969</v>
      </c>
      <c r="AM84" s="45">
        <f t="shared" si="62"/>
        <v>141.82901876664764</v>
      </c>
      <c r="AN84" s="35">
        <f t="shared" si="63"/>
        <v>875</v>
      </c>
    </row>
    <row r="85" spans="2:40" ht="14.25" hidden="1" x14ac:dyDescent="0.2">
      <c r="B85" s="201">
        <f t="shared" si="52"/>
        <v>77</v>
      </c>
      <c r="C85" s="202">
        <v>0</v>
      </c>
      <c r="D85" s="203">
        <f t="shared" si="40"/>
        <v>0</v>
      </c>
      <c r="E85" s="204">
        <f t="shared" si="40"/>
        <v>525</v>
      </c>
      <c r="F85" s="202">
        <f t="shared" si="53"/>
        <v>350</v>
      </c>
      <c r="G85" s="205">
        <v>18</v>
      </c>
      <c r="H85" s="206">
        <v>8.65</v>
      </c>
      <c r="I85" s="207">
        <f t="shared" si="54"/>
        <v>80.304974614726021</v>
      </c>
      <c r="J85" s="208">
        <v>0</v>
      </c>
      <c r="K85" s="209">
        <f t="shared" si="55"/>
        <v>0</v>
      </c>
      <c r="L85" s="208">
        <v>0</v>
      </c>
      <c r="M85" s="209">
        <f t="shared" si="59"/>
        <v>0</v>
      </c>
      <c r="N85" s="208">
        <v>0</v>
      </c>
      <c r="O85" s="209">
        <f t="shared" si="56"/>
        <v>0</v>
      </c>
      <c r="P85" s="210">
        <v>0</v>
      </c>
      <c r="Q85" s="211">
        <f t="shared" ref="Q85:Q108" si="70">((($P$7/12)*$P$4)*325851)/(365*1440)</f>
        <v>3.3581169140030438</v>
      </c>
      <c r="R85" s="212">
        <v>0</v>
      </c>
      <c r="S85" s="211">
        <f t="shared" si="69"/>
        <v>2.4927560169330287</v>
      </c>
      <c r="T85" s="212">
        <v>0</v>
      </c>
      <c r="U85" s="213">
        <f t="shared" si="67"/>
        <v>1.28254234446347</v>
      </c>
      <c r="V85" s="212">
        <v>0</v>
      </c>
      <c r="W85" s="213">
        <f t="shared" si="68"/>
        <v>1.030683575913242</v>
      </c>
      <c r="X85" s="214">
        <v>0</v>
      </c>
      <c r="Y85" s="215">
        <f t="shared" si="65"/>
        <v>3.4872752568493151</v>
      </c>
      <c r="Z85" s="216">
        <v>50</v>
      </c>
      <c r="AA85" s="217">
        <f t="shared" si="60"/>
        <v>6.6129071537290711</v>
      </c>
      <c r="AB85" s="218">
        <v>0</v>
      </c>
      <c r="AC85" s="213">
        <f t="shared" si="66"/>
        <v>8.1240597650304416</v>
      </c>
      <c r="AD85" s="217">
        <f t="shared" si="64"/>
        <v>0</v>
      </c>
      <c r="AE85" s="213">
        <f t="shared" si="61"/>
        <v>10.216424919140028</v>
      </c>
      <c r="AF85" s="24"/>
      <c r="AG85" s="24"/>
      <c r="AH85" s="38" t="s">
        <v>74</v>
      </c>
      <c r="AI85" s="32">
        <f t="shared" si="57"/>
        <v>475.05005844748854</v>
      </c>
      <c r="AJ85" s="33">
        <f t="shared" si="58"/>
        <v>16.778960319159054</v>
      </c>
      <c r="AK85" s="33">
        <f t="shared" si="50"/>
        <v>525</v>
      </c>
      <c r="AL85" s="31">
        <f t="shared" si="51"/>
        <v>3969</v>
      </c>
      <c r="AM85" s="45">
        <f t="shared" si="62"/>
        <v>141.82901876664764</v>
      </c>
      <c r="AN85" s="35">
        <f t="shared" si="63"/>
        <v>875</v>
      </c>
    </row>
    <row r="86" spans="2:40" ht="14.25" hidden="1" x14ac:dyDescent="0.2">
      <c r="B86" s="201">
        <f t="shared" si="52"/>
        <v>78</v>
      </c>
      <c r="C86" s="202">
        <v>0</v>
      </c>
      <c r="D86" s="203">
        <f t="shared" si="40"/>
        <v>0</v>
      </c>
      <c r="E86" s="204">
        <f t="shared" si="40"/>
        <v>525</v>
      </c>
      <c r="F86" s="202">
        <f t="shared" si="53"/>
        <v>350</v>
      </c>
      <c r="G86" s="205">
        <v>18</v>
      </c>
      <c r="H86" s="206">
        <v>8.65</v>
      </c>
      <c r="I86" s="207">
        <f t="shared" si="54"/>
        <v>80.304974614726021</v>
      </c>
      <c r="J86" s="208">
        <v>0</v>
      </c>
      <c r="K86" s="209">
        <f t="shared" si="55"/>
        <v>0</v>
      </c>
      <c r="L86" s="208">
        <v>0</v>
      </c>
      <c r="M86" s="209">
        <f t="shared" si="59"/>
        <v>0</v>
      </c>
      <c r="N86" s="208">
        <v>0</v>
      </c>
      <c r="O86" s="209">
        <f t="shared" si="56"/>
        <v>0</v>
      </c>
      <c r="P86" s="210">
        <v>0</v>
      </c>
      <c r="Q86" s="211">
        <f t="shared" si="70"/>
        <v>3.3581169140030438</v>
      </c>
      <c r="R86" s="212">
        <v>0</v>
      </c>
      <c r="S86" s="211">
        <f t="shared" si="69"/>
        <v>2.4927560169330287</v>
      </c>
      <c r="T86" s="212">
        <v>0</v>
      </c>
      <c r="U86" s="213">
        <f t="shared" si="67"/>
        <v>1.28254234446347</v>
      </c>
      <c r="V86" s="212">
        <v>0</v>
      </c>
      <c r="W86" s="213">
        <f t="shared" si="68"/>
        <v>1.030683575913242</v>
      </c>
      <c r="X86" s="214">
        <v>0</v>
      </c>
      <c r="Y86" s="215">
        <f t="shared" si="65"/>
        <v>3.4872752568493151</v>
      </c>
      <c r="Z86" s="216">
        <v>50</v>
      </c>
      <c r="AA86" s="217">
        <f t="shared" si="60"/>
        <v>6.6129071537290711</v>
      </c>
      <c r="AB86" s="218">
        <v>0</v>
      </c>
      <c r="AC86" s="213">
        <f t="shared" si="66"/>
        <v>8.1240597650304416</v>
      </c>
      <c r="AD86" s="217">
        <f t="shared" si="64"/>
        <v>0</v>
      </c>
      <c r="AE86" s="213">
        <f t="shared" si="61"/>
        <v>10.216424919140028</v>
      </c>
      <c r="AF86" s="24"/>
      <c r="AG86" s="24"/>
      <c r="AH86" s="38" t="s">
        <v>74</v>
      </c>
      <c r="AI86" s="32">
        <f t="shared" si="57"/>
        <v>475.05005844748854</v>
      </c>
      <c r="AJ86" s="33">
        <f t="shared" si="58"/>
        <v>16.778960319159054</v>
      </c>
      <c r="AK86" s="33">
        <f t="shared" si="50"/>
        <v>525</v>
      </c>
      <c r="AL86" s="31">
        <f t="shared" si="51"/>
        <v>3969</v>
      </c>
      <c r="AM86" s="45">
        <f t="shared" si="62"/>
        <v>141.82901876664764</v>
      </c>
      <c r="AN86" s="35">
        <f t="shared" si="63"/>
        <v>875</v>
      </c>
    </row>
    <row r="87" spans="2:40" ht="14.25" hidden="1" x14ac:dyDescent="0.2">
      <c r="B87" s="201">
        <f t="shared" si="52"/>
        <v>79</v>
      </c>
      <c r="C87" s="202">
        <v>0</v>
      </c>
      <c r="D87" s="203">
        <f t="shared" si="40"/>
        <v>0</v>
      </c>
      <c r="E87" s="204">
        <f t="shared" si="40"/>
        <v>525</v>
      </c>
      <c r="F87" s="202">
        <f t="shared" si="53"/>
        <v>350</v>
      </c>
      <c r="G87" s="205">
        <v>18</v>
      </c>
      <c r="H87" s="206">
        <v>8.65</v>
      </c>
      <c r="I87" s="207">
        <f t="shared" si="54"/>
        <v>80.304974614726021</v>
      </c>
      <c r="J87" s="208">
        <v>0</v>
      </c>
      <c r="K87" s="209">
        <f t="shared" si="55"/>
        <v>0</v>
      </c>
      <c r="L87" s="208">
        <v>0</v>
      </c>
      <c r="M87" s="209">
        <f t="shared" si="59"/>
        <v>0</v>
      </c>
      <c r="N87" s="208">
        <v>0</v>
      </c>
      <c r="O87" s="209">
        <f t="shared" si="56"/>
        <v>0</v>
      </c>
      <c r="P87" s="210">
        <v>0</v>
      </c>
      <c r="Q87" s="211">
        <f t="shared" si="70"/>
        <v>3.3581169140030438</v>
      </c>
      <c r="R87" s="212">
        <v>0</v>
      </c>
      <c r="S87" s="211">
        <f t="shared" si="69"/>
        <v>2.4927560169330287</v>
      </c>
      <c r="T87" s="212">
        <v>0</v>
      </c>
      <c r="U87" s="213">
        <f t="shared" si="67"/>
        <v>1.28254234446347</v>
      </c>
      <c r="V87" s="212">
        <v>0</v>
      </c>
      <c r="W87" s="213">
        <f t="shared" si="68"/>
        <v>1.030683575913242</v>
      </c>
      <c r="X87" s="214">
        <v>0</v>
      </c>
      <c r="Y87" s="215">
        <f t="shared" si="65"/>
        <v>3.4872752568493151</v>
      </c>
      <c r="Z87" s="216">
        <v>50</v>
      </c>
      <c r="AA87" s="217">
        <f t="shared" si="60"/>
        <v>6.6129071537290711</v>
      </c>
      <c r="AB87" s="218">
        <v>0</v>
      </c>
      <c r="AC87" s="213">
        <f t="shared" si="66"/>
        <v>8.1240597650304416</v>
      </c>
      <c r="AD87" s="217">
        <f t="shared" si="64"/>
        <v>0</v>
      </c>
      <c r="AE87" s="213">
        <f t="shared" si="61"/>
        <v>10.216424919140028</v>
      </c>
      <c r="AF87" s="24"/>
      <c r="AG87" s="24"/>
      <c r="AH87" s="38" t="s">
        <v>74</v>
      </c>
      <c r="AI87" s="32">
        <f t="shared" si="57"/>
        <v>475.05005844748854</v>
      </c>
      <c r="AJ87" s="33">
        <f t="shared" si="58"/>
        <v>16.778960319159054</v>
      </c>
      <c r="AK87" s="33">
        <f t="shared" si="50"/>
        <v>525</v>
      </c>
      <c r="AL87" s="31">
        <f t="shared" si="51"/>
        <v>3969</v>
      </c>
      <c r="AM87" s="45">
        <f t="shared" si="62"/>
        <v>141.82901876664764</v>
      </c>
      <c r="AN87" s="35">
        <f t="shared" si="63"/>
        <v>875</v>
      </c>
    </row>
    <row r="88" spans="2:40" ht="14.25" hidden="1" x14ac:dyDescent="0.2">
      <c r="B88" s="201">
        <f t="shared" si="52"/>
        <v>80</v>
      </c>
      <c r="C88" s="202">
        <v>0</v>
      </c>
      <c r="D88" s="203">
        <f t="shared" si="40"/>
        <v>0</v>
      </c>
      <c r="E88" s="204">
        <f t="shared" si="40"/>
        <v>525</v>
      </c>
      <c r="F88" s="202">
        <f t="shared" si="53"/>
        <v>350</v>
      </c>
      <c r="G88" s="205">
        <v>18</v>
      </c>
      <c r="H88" s="206">
        <v>8.65</v>
      </c>
      <c r="I88" s="207">
        <f t="shared" si="54"/>
        <v>80.304974614726021</v>
      </c>
      <c r="J88" s="208">
        <v>0</v>
      </c>
      <c r="K88" s="209">
        <f t="shared" si="55"/>
        <v>0</v>
      </c>
      <c r="L88" s="208">
        <v>0</v>
      </c>
      <c r="M88" s="209">
        <f t="shared" si="59"/>
        <v>0</v>
      </c>
      <c r="N88" s="208">
        <v>0</v>
      </c>
      <c r="O88" s="209">
        <f t="shared" si="56"/>
        <v>0</v>
      </c>
      <c r="P88" s="210">
        <v>0</v>
      </c>
      <c r="Q88" s="211">
        <f t="shared" si="70"/>
        <v>3.3581169140030438</v>
      </c>
      <c r="R88" s="212">
        <v>0</v>
      </c>
      <c r="S88" s="211">
        <f t="shared" si="69"/>
        <v>2.4927560169330287</v>
      </c>
      <c r="T88" s="212">
        <v>0</v>
      </c>
      <c r="U88" s="213">
        <f t="shared" si="67"/>
        <v>1.28254234446347</v>
      </c>
      <c r="V88" s="212">
        <v>0</v>
      </c>
      <c r="W88" s="213">
        <f t="shared" si="68"/>
        <v>1.030683575913242</v>
      </c>
      <c r="X88" s="214">
        <v>0</v>
      </c>
      <c r="Y88" s="215">
        <f t="shared" si="65"/>
        <v>3.4872752568493151</v>
      </c>
      <c r="Z88" s="216">
        <v>50</v>
      </c>
      <c r="AA88" s="217">
        <f t="shared" si="60"/>
        <v>6.6129071537290711</v>
      </c>
      <c r="AB88" s="218">
        <v>0</v>
      </c>
      <c r="AC88" s="213">
        <f t="shared" si="66"/>
        <v>8.1240597650304416</v>
      </c>
      <c r="AD88" s="217">
        <f t="shared" si="64"/>
        <v>0</v>
      </c>
      <c r="AE88" s="213">
        <f t="shared" si="61"/>
        <v>10.216424919140028</v>
      </c>
      <c r="AF88" s="24"/>
      <c r="AG88" s="24"/>
      <c r="AH88" s="38" t="s">
        <v>74</v>
      </c>
      <c r="AI88" s="32">
        <f t="shared" si="57"/>
        <v>475.05005844748854</v>
      </c>
      <c r="AJ88" s="33">
        <f t="shared" si="58"/>
        <v>16.778960319159054</v>
      </c>
      <c r="AK88" s="33">
        <f t="shared" si="50"/>
        <v>525</v>
      </c>
      <c r="AL88" s="31">
        <f t="shared" si="51"/>
        <v>3969</v>
      </c>
      <c r="AM88" s="45">
        <f t="shared" si="62"/>
        <v>141.82901876664764</v>
      </c>
      <c r="AN88" s="35">
        <f t="shared" si="63"/>
        <v>875</v>
      </c>
    </row>
    <row r="89" spans="2:40" ht="14.25" hidden="1" x14ac:dyDescent="0.2">
      <c r="B89" s="201">
        <f t="shared" si="52"/>
        <v>81</v>
      </c>
      <c r="C89" s="202">
        <v>0</v>
      </c>
      <c r="D89" s="203">
        <f t="shared" si="40"/>
        <v>0</v>
      </c>
      <c r="E89" s="204">
        <f t="shared" si="40"/>
        <v>525</v>
      </c>
      <c r="F89" s="202">
        <f t="shared" si="53"/>
        <v>350</v>
      </c>
      <c r="G89" s="205">
        <v>18</v>
      </c>
      <c r="H89" s="206">
        <v>8.65</v>
      </c>
      <c r="I89" s="207">
        <f t="shared" si="54"/>
        <v>80.304974614726021</v>
      </c>
      <c r="J89" s="208">
        <v>0</v>
      </c>
      <c r="K89" s="209">
        <f t="shared" si="55"/>
        <v>0</v>
      </c>
      <c r="L89" s="208">
        <v>0</v>
      </c>
      <c r="M89" s="209">
        <f t="shared" si="59"/>
        <v>0</v>
      </c>
      <c r="N89" s="208">
        <v>0</v>
      </c>
      <c r="O89" s="209">
        <f t="shared" si="56"/>
        <v>0</v>
      </c>
      <c r="P89" s="210">
        <v>0</v>
      </c>
      <c r="Q89" s="211">
        <f t="shared" si="70"/>
        <v>3.3581169140030438</v>
      </c>
      <c r="R89" s="212">
        <v>0</v>
      </c>
      <c r="S89" s="211">
        <f t="shared" si="69"/>
        <v>2.4927560169330287</v>
      </c>
      <c r="T89" s="212">
        <v>0</v>
      </c>
      <c r="U89" s="213">
        <f t="shared" si="67"/>
        <v>1.28254234446347</v>
      </c>
      <c r="V89" s="212">
        <v>0</v>
      </c>
      <c r="W89" s="213">
        <f t="shared" si="68"/>
        <v>1.030683575913242</v>
      </c>
      <c r="X89" s="214">
        <v>0</v>
      </c>
      <c r="Y89" s="215">
        <f t="shared" si="65"/>
        <v>3.4872752568493151</v>
      </c>
      <c r="Z89" s="216">
        <v>50</v>
      </c>
      <c r="AA89" s="217">
        <f t="shared" si="60"/>
        <v>6.6129071537290711</v>
      </c>
      <c r="AB89" s="218">
        <v>0</v>
      </c>
      <c r="AC89" s="213">
        <f t="shared" si="66"/>
        <v>8.1240597650304416</v>
      </c>
      <c r="AD89" s="217">
        <f t="shared" si="64"/>
        <v>0</v>
      </c>
      <c r="AE89" s="213">
        <f t="shared" si="61"/>
        <v>10.216424919140028</v>
      </c>
      <c r="AF89" s="24"/>
      <c r="AG89" s="24"/>
      <c r="AH89" s="38" t="s">
        <v>74</v>
      </c>
      <c r="AI89" s="32">
        <f t="shared" si="57"/>
        <v>475.05005844748854</v>
      </c>
      <c r="AJ89" s="33">
        <f t="shared" si="58"/>
        <v>16.778960319159054</v>
      </c>
      <c r="AK89" s="33">
        <f t="shared" si="50"/>
        <v>525</v>
      </c>
      <c r="AL89" s="31">
        <f t="shared" si="51"/>
        <v>3969</v>
      </c>
      <c r="AM89" s="45">
        <f t="shared" si="62"/>
        <v>141.82901876664764</v>
      </c>
      <c r="AN89" s="35">
        <f t="shared" si="63"/>
        <v>875</v>
      </c>
    </row>
    <row r="90" spans="2:40" ht="14.25" hidden="1" x14ac:dyDescent="0.2">
      <c r="B90" s="201">
        <f t="shared" si="52"/>
        <v>82</v>
      </c>
      <c r="C90" s="202">
        <v>0</v>
      </c>
      <c r="D90" s="203">
        <f t="shared" si="40"/>
        <v>0</v>
      </c>
      <c r="E90" s="204">
        <f t="shared" si="40"/>
        <v>525</v>
      </c>
      <c r="F90" s="202">
        <f t="shared" si="53"/>
        <v>350</v>
      </c>
      <c r="G90" s="205">
        <v>18</v>
      </c>
      <c r="H90" s="206">
        <v>8.65</v>
      </c>
      <c r="I90" s="207">
        <f t="shared" si="54"/>
        <v>80.304974614726021</v>
      </c>
      <c r="J90" s="208">
        <v>0</v>
      </c>
      <c r="K90" s="209">
        <f t="shared" si="55"/>
        <v>0</v>
      </c>
      <c r="L90" s="208">
        <v>0</v>
      </c>
      <c r="M90" s="209">
        <f t="shared" si="59"/>
        <v>0</v>
      </c>
      <c r="N90" s="208">
        <v>0</v>
      </c>
      <c r="O90" s="209">
        <f t="shared" si="56"/>
        <v>0</v>
      </c>
      <c r="P90" s="210">
        <v>0</v>
      </c>
      <c r="Q90" s="211">
        <f t="shared" si="70"/>
        <v>3.3581169140030438</v>
      </c>
      <c r="R90" s="212">
        <v>0</v>
      </c>
      <c r="S90" s="211">
        <f t="shared" si="69"/>
        <v>2.4927560169330287</v>
      </c>
      <c r="T90" s="212">
        <v>0</v>
      </c>
      <c r="U90" s="213">
        <f t="shared" si="67"/>
        <v>1.28254234446347</v>
      </c>
      <c r="V90" s="212">
        <v>0</v>
      </c>
      <c r="W90" s="213">
        <f t="shared" si="68"/>
        <v>1.030683575913242</v>
      </c>
      <c r="X90" s="214">
        <v>0</v>
      </c>
      <c r="Y90" s="215">
        <f t="shared" si="65"/>
        <v>3.4872752568493151</v>
      </c>
      <c r="Z90" s="216">
        <v>50</v>
      </c>
      <c r="AA90" s="217">
        <f t="shared" si="60"/>
        <v>6.6129071537290711</v>
      </c>
      <c r="AB90" s="218">
        <v>0</v>
      </c>
      <c r="AC90" s="213">
        <f t="shared" si="66"/>
        <v>8.1240597650304416</v>
      </c>
      <c r="AD90" s="217">
        <f t="shared" si="64"/>
        <v>0</v>
      </c>
      <c r="AE90" s="213">
        <f t="shared" si="61"/>
        <v>10.216424919140028</v>
      </c>
      <c r="AF90" s="24"/>
      <c r="AG90" s="24"/>
      <c r="AH90" s="38" t="s">
        <v>74</v>
      </c>
      <c r="AI90" s="32">
        <f t="shared" si="57"/>
        <v>475.05005844748854</v>
      </c>
      <c r="AJ90" s="33">
        <f t="shared" si="58"/>
        <v>16.778960319159054</v>
      </c>
      <c r="AK90" s="33">
        <f t="shared" si="50"/>
        <v>525</v>
      </c>
      <c r="AL90" s="31">
        <f t="shared" si="51"/>
        <v>3969</v>
      </c>
      <c r="AM90" s="45">
        <f t="shared" si="62"/>
        <v>141.82901876664764</v>
      </c>
      <c r="AN90" s="35">
        <f t="shared" si="63"/>
        <v>875</v>
      </c>
    </row>
    <row r="91" spans="2:40" ht="14.25" hidden="1" x14ac:dyDescent="0.2">
      <c r="B91" s="201">
        <f t="shared" si="52"/>
        <v>83</v>
      </c>
      <c r="C91" s="202">
        <v>0</v>
      </c>
      <c r="D91" s="203">
        <f t="shared" si="40"/>
        <v>0</v>
      </c>
      <c r="E91" s="204">
        <f t="shared" si="40"/>
        <v>525</v>
      </c>
      <c r="F91" s="202">
        <f t="shared" si="53"/>
        <v>350</v>
      </c>
      <c r="G91" s="205">
        <v>18</v>
      </c>
      <c r="H91" s="206">
        <v>8.65</v>
      </c>
      <c r="I91" s="207">
        <f t="shared" si="54"/>
        <v>80.304974614726021</v>
      </c>
      <c r="J91" s="208">
        <v>0</v>
      </c>
      <c r="K91" s="209">
        <f t="shared" si="55"/>
        <v>0</v>
      </c>
      <c r="L91" s="208">
        <v>0</v>
      </c>
      <c r="M91" s="209">
        <f t="shared" si="59"/>
        <v>0</v>
      </c>
      <c r="N91" s="208">
        <v>0</v>
      </c>
      <c r="O91" s="209">
        <f t="shared" si="56"/>
        <v>0</v>
      </c>
      <c r="P91" s="210">
        <v>0</v>
      </c>
      <c r="Q91" s="211">
        <f t="shared" si="70"/>
        <v>3.3581169140030438</v>
      </c>
      <c r="R91" s="212">
        <v>0</v>
      </c>
      <c r="S91" s="211">
        <f t="shared" si="69"/>
        <v>2.4927560169330287</v>
      </c>
      <c r="T91" s="212">
        <v>0</v>
      </c>
      <c r="U91" s="213">
        <f t="shared" si="67"/>
        <v>1.28254234446347</v>
      </c>
      <c r="V91" s="212">
        <v>0</v>
      </c>
      <c r="W91" s="213">
        <f t="shared" si="68"/>
        <v>1.030683575913242</v>
      </c>
      <c r="X91" s="214">
        <v>0</v>
      </c>
      <c r="Y91" s="215">
        <f t="shared" si="65"/>
        <v>3.4872752568493151</v>
      </c>
      <c r="Z91" s="216">
        <v>50</v>
      </c>
      <c r="AA91" s="217">
        <f t="shared" si="60"/>
        <v>6.6129071537290711</v>
      </c>
      <c r="AB91" s="218">
        <v>0</v>
      </c>
      <c r="AC91" s="213">
        <f t="shared" si="66"/>
        <v>8.1240597650304416</v>
      </c>
      <c r="AD91" s="217">
        <f t="shared" si="64"/>
        <v>0</v>
      </c>
      <c r="AE91" s="213">
        <f t="shared" si="61"/>
        <v>10.216424919140028</v>
      </c>
      <c r="AF91" s="24"/>
      <c r="AG91" s="24"/>
      <c r="AH91" s="38" t="s">
        <v>74</v>
      </c>
      <c r="AI91" s="32">
        <f t="shared" si="57"/>
        <v>475.05005844748854</v>
      </c>
      <c r="AJ91" s="33">
        <f t="shared" si="58"/>
        <v>16.778960319159054</v>
      </c>
      <c r="AK91" s="33">
        <f t="shared" si="50"/>
        <v>525</v>
      </c>
      <c r="AL91" s="31">
        <f t="shared" si="51"/>
        <v>3969</v>
      </c>
      <c r="AM91" s="45">
        <f t="shared" si="62"/>
        <v>141.82901876664764</v>
      </c>
      <c r="AN91" s="35">
        <f t="shared" si="63"/>
        <v>875</v>
      </c>
    </row>
    <row r="92" spans="2:40" ht="14.25" hidden="1" x14ac:dyDescent="0.2">
      <c r="B92" s="201">
        <f t="shared" si="52"/>
        <v>84</v>
      </c>
      <c r="C92" s="202">
        <v>0</v>
      </c>
      <c r="D92" s="203">
        <f t="shared" si="40"/>
        <v>0</v>
      </c>
      <c r="E92" s="204">
        <f t="shared" si="40"/>
        <v>525</v>
      </c>
      <c r="F92" s="202">
        <f t="shared" si="53"/>
        <v>350</v>
      </c>
      <c r="G92" s="205">
        <v>18</v>
      </c>
      <c r="H92" s="206">
        <v>8.65</v>
      </c>
      <c r="I92" s="207">
        <f t="shared" si="54"/>
        <v>80.304974614726021</v>
      </c>
      <c r="J92" s="208">
        <v>0</v>
      </c>
      <c r="K92" s="209">
        <f t="shared" si="55"/>
        <v>0</v>
      </c>
      <c r="L92" s="208">
        <v>0</v>
      </c>
      <c r="M92" s="209">
        <f t="shared" si="59"/>
        <v>0</v>
      </c>
      <c r="N92" s="208">
        <v>0</v>
      </c>
      <c r="O92" s="209">
        <f t="shared" si="56"/>
        <v>0</v>
      </c>
      <c r="P92" s="210">
        <v>0</v>
      </c>
      <c r="Q92" s="211">
        <f t="shared" si="70"/>
        <v>3.3581169140030438</v>
      </c>
      <c r="R92" s="212">
        <v>0</v>
      </c>
      <c r="S92" s="211">
        <f t="shared" si="69"/>
        <v>2.4927560169330287</v>
      </c>
      <c r="T92" s="212">
        <v>0</v>
      </c>
      <c r="U92" s="213">
        <f t="shared" si="67"/>
        <v>1.28254234446347</v>
      </c>
      <c r="V92" s="212">
        <v>0</v>
      </c>
      <c r="W92" s="213">
        <f t="shared" si="68"/>
        <v>1.030683575913242</v>
      </c>
      <c r="X92" s="214">
        <v>0</v>
      </c>
      <c r="Y92" s="215">
        <f t="shared" si="65"/>
        <v>3.4872752568493151</v>
      </c>
      <c r="Z92" s="216">
        <v>50</v>
      </c>
      <c r="AA92" s="217">
        <f t="shared" si="60"/>
        <v>6.6129071537290711</v>
      </c>
      <c r="AB92" s="218">
        <v>0</v>
      </c>
      <c r="AC92" s="213">
        <f t="shared" si="66"/>
        <v>8.1240597650304416</v>
      </c>
      <c r="AD92" s="217">
        <f t="shared" si="64"/>
        <v>0</v>
      </c>
      <c r="AE92" s="213">
        <f t="shared" si="61"/>
        <v>10.216424919140028</v>
      </c>
      <c r="AF92" s="24"/>
      <c r="AG92" s="24"/>
      <c r="AH92" s="38" t="s">
        <v>74</v>
      </c>
      <c r="AI92" s="32">
        <f t="shared" si="57"/>
        <v>475.05005844748854</v>
      </c>
      <c r="AJ92" s="33">
        <f t="shared" si="58"/>
        <v>16.778960319159054</v>
      </c>
      <c r="AK92" s="33">
        <f t="shared" si="50"/>
        <v>525</v>
      </c>
      <c r="AL92" s="31">
        <f t="shared" si="51"/>
        <v>3969</v>
      </c>
      <c r="AM92" s="45">
        <f t="shared" si="62"/>
        <v>141.82901876664764</v>
      </c>
      <c r="AN92" s="35">
        <f t="shared" si="63"/>
        <v>875</v>
      </c>
    </row>
    <row r="93" spans="2:40" ht="14.25" hidden="1" x14ac:dyDescent="0.2">
      <c r="B93" s="201">
        <f t="shared" si="52"/>
        <v>85</v>
      </c>
      <c r="C93" s="202">
        <v>0</v>
      </c>
      <c r="D93" s="203">
        <f t="shared" si="40"/>
        <v>0</v>
      </c>
      <c r="E93" s="204">
        <f t="shared" si="40"/>
        <v>525</v>
      </c>
      <c r="F93" s="202">
        <f t="shared" si="53"/>
        <v>350</v>
      </c>
      <c r="G93" s="205">
        <v>18</v>
      </c>
      <c r="H93" s="206">
        <v>8.65</v>
      </c>
      <c r="I93" s="207">
        <f t="shared" si="54"/>
        <v>80.304974614726021</v>
      </c>
      <c r="J93" s="208">
        <v>0</v>
      </c>
      <c r="K93" s="209">
        <f t="shared" si="55"/>
        <v>0</v>
      </c>
      <c r="L93" s="208">
        <v>0</v>
      </c>
      <c r="M93" s="209">
        <f t="shared" si="59"/>
        <v>0</v>
      </c>
      <c r="N93" s="208">
        <v>0</v>
      </c>
      <c r="O93" s="209">
        <f t="shared" si="56"/>
        <v>0</v>
      </c>
      <c r="P93" s="210">
        <v>0</v>
      </c>
      <c r="Q93" s="211">
        <f t="shared" si="70"/>
        <v>3.3581169140030438</v>
      </c>
      <c r="R93" s="212">
        <v>0</v>
      </c>
      <c r="S93" s="211">
        <f t="shared" si="69"/>
        <v>2.4927560169330287</v>
      </c>
      <c r="T93" s="212">
        <v>0</v>
      </c>
      <c r="U93" s="213">
        <f t="shared" si="67"/>
        <v>1.28254234446347</v>
      </c>
      <c r="V93" s="212">
        <v>0</v>
      </c>
      <c r="W93" s="213">
        <f t="shared" si="68"/>
        <v>1.030683575913242</v>
      </c>
      <c r="X93" s="214">
        <v>0</v>
      </c>
      <c r="Y93" s="215">
        <f t="shared" si="65"/>
        <v>3.4872752568493151</v>
      </c>
      <c r="Z93" s="216">
        <v>50</v>
      </c>
      <c r="AA93" s="217">
        <f t="shared" si="60"/>
        <v>6.6129071537290711</v>
      </c>
      <c r="AB93" s="218">
        <v>0</v>
      </c>
      <c r="AC93" s="213">
        <f t="shared" si="66"/>
        <v>8.1240597650304416</v>
      </c>
      <c r="AD93" s="217">
        <f t="shared" si="64"/>
        <v>0</v>
      </c>
      <c r="AE93" s="213">
        <f t="shared" si="61"/>
        <v>10.216424919140028</v>
      </c>
      <c r="AF93" s="24"/>
      <c r="AG93" s="24"/>
      <c r="AH93" s="38" t="s">
        <v>74</v>
      </c>
      <c r="AI93" s="32">
        <f t="shared" si="57"/>
        <v>475.05005844748854</v>
      </c>
      <c r="AJ93" s="33">
        <f t="shared" si="58"/>
        <v>16.778960319159054</v>
      </c>
      <c r="AK93" s="33">
        <f t="shared" si="50"/>
        <v>525</v>
      </c>
      <c r="AL93" s="31">
        <f t="shared" si="51"/>
        <v>3969</v>
      </c>
      <c r="AM93" s="45">
        <f t="shared" si="62"/>
        <v>141.82901876664764</v>
      </c>
      <c r="AN93" s="35">
        <f t="shared" si="63"/>
        <v>875</v>
      </c>
    </row>
    <row r="94" spans="2:40" ht="14.25" hidden="1" x14ac:dyDescent="0.2">
      <c r="B94" s="201">
        <f t="shared" si="52"/>
        <v>86</v>
      </c>
      <c r="C94" s="202">
        <v>0</v>
      </c>
      <c r="D94" s="203">
        <f t="shared" ref="D94:E108" si="71">D93</f>
        <v>0</v>
      </c>
      <c r="E94" s="204">
        <f t="shared" si="71"/>
        <v>525</v>
      </c>
      <c r="F94" s="202">
        <f t="shared" si="53"/>
        <v>350</v>
      </c>
      <c r="G94" s="205">
        <v>18</v>
      </c>
      <c r="H94" s="206">
        <v>8.65</v>
      </c>
      <c r="I94" s="207">
        <f t="shared" si="54"/>
        <v>80.304974614726021</v>
      </c>
      <c r="J94" s="208">
        <v>0</v>
      </c>
      <c r="K94" s="209">
        <f t="shared" si="55"/>
        <v>0</v>
      </c>
      <c r="L94" s="208">
        <v>0</v>
      </c>
      <c r="M94" s="209">
        <f t="shared" si="59"/>
        <v>0</v>
      </c>
      <c r="N94" s="208">
        <v>0</v>
      </c>
      <c r="O94" s="209">
        <f t="shared" si="56"/>
        <v>0</v>
      </c>
      <c r="P94" s="210">
        <v>0</v>
      </c>
      <c r="Q94" s="211">
        <f t="shared" si="70"/>
        <v>3.3581169140030438</v>
      </c>
      <c r="R94" s="212">
        <v>0</v>
      </c>
      <c r="S94" s="211">
        <f t="shared" si="69"/>
        <v>2.4927560169330287</v>
      </c>
      <c r="T94" s="212">
        <v>0</v>
      </c>
      <c r="U94" s="213">
        <f t="shared" si="67"/>
        <v>1.28254234446347</v>
      </c>
      <c r="V94" s="212">
        <v>0</v>
      </c>
      <c r="W94" s="213">
        <f t="shared" si="68"/>
        <v>1.030683575913242</v>
      </c>
      <c r="X94" s="214">
        <v>0</v>
      </c>
      <c r="Y94" s="215">
        <f t="shared" si="65"/>
        <v>3.4872752568493151</v>
      </c>
      <c r="Z94" s="216">
        <v>50</v>
      </c>
      <c r="AA94" s="217">
        <f t="shared" si="60"/>
        <v>6.6129071537290711</v>
      </c>
      <c r="AB94" s="218">
        <v>0</v>
      </c>
      <c r="AC94" s="213">
        <f t="shared" si="66"/>
        <v>8.1240597650304416</v>
      </c>
      <c r="AD94" s="217">
        <f t="shared" si="64"/>
        <v>0</v>
      </c>
      <c r="AE94" s="213">
        <f t="shared" si="61"/>
        <v>10.216424919140028</v>
      </c>
      <c r="AF94" s="24"/>
      <c r="AG94" s="24"/>
      <c r="AH94" s="38" t="s">
        <v>74</v>
      </c>
      <c r="AI94" s="32">
        <f t="shared" si="57"/>
        <v>475.05005844748854</v>
      </c>
      <c r="AJ94" s="33">
        <f t="shared" si="58"/>
        <v>16.778960319159054</v>
      </c>
      <c r="AK94" s="33">
        <f t="shared" si="50"/>
        <v>525</v>
      </c>
      <c r="AL94" s="31">
        <f t="shared" si="51"/>
        <v>3969</v>
      </c>
      <c r="AM94" s="45">
        <f t="shared" si="62"/>
        <v>141.82901876664764</v>
      </c>
      <c r="AN94" s="35">
        <f t="shared" si="63"/>
        <v>875</v>
      </c>
    </row>
    <row r="95" spans="2:40" ht="14.25" hidden="1" x14ac:dyDescent="0.2">
      <c r="B95" s="201">
        <f t="shared" si="52"/>
        <v>87</v>
      </c>
      <c r="C95" s="202">
        <v>0</v>
      </c>
      <c r="D95" s="203">
        <f t="shared" si="71"/>
        <v>0</v>
      </c>
      <c r="E95" s="204">
        <f t="shared" si="71"/>
        <v>525</v>
      </c>
      <c r="F95" s="202">
        <f t="shared" si="53"/>
        <v>350</v>
      </c>
      <c r="G95" s="205">
        <v>18</v>
      </c>
      <c r="H95" s="206">
        <v>8.65</v>
      </c>
      <c r="I95" s="207">
        <f t="shared" si="54"/>
        <v>80.304974614726021</v>
      </c>
      <c r="J95" s="208">
        <v>0</v>
      </c>
      <c r="K95" s="209">
        <f t="shared" si="55"/>
        <v>0</v>
      </c>
      <c r="L95" s="208">
        <v>0</v>
      </c>
      <c r="M95" s="209">
        <f t="shared" si="59"/>
        <v>0</v>
      </c>
      <c r="N95" s="208">
        <v>0</v>
      </c>
      <c r="O95" s="209">
        <f t="shared" si="56"/>
        <v>0</v>
      </c>
      <c r="P95" s="210">
        <v>0</v>
      </c>
      <c r="Q95" s="211">
        <f t="shared" si="70"/>
        <v>3.3581169140030438</v>
      </c>
      <c r="R95" s="212">
        <v>0</v>
      </c>
      <c r="S95" s="211">
        <f t="shared" si="69"/>
        <v>2.4927560169330287</v>
      </c>
      <c r="T95" s="212">
        <v>0</v>
      </c>
      <c r="U95" s="213">
        <f t="shared" si="67"/>
        <v>1.28254234446347</v>
      </c>
      <c r="V95" s="212">
        <v>0</v>
      </c>
      <c r="W95" s="213">
        <f t="shared" si="68"/>
        <v>1.030683575913242</v>
      </c>
      <c r="X95" s="214">
        <v>0</v>
      </c>
      <c r="Y95" s="215">
        <f t="shared" si="65"/>
        <v>3.4872752568493151</v>
      </c>
      <c r="Z95" s="216">
        <v>50</v>
      </c>
      <c r="AA95" s="217">
        <f t="shared" si="60"/>
        <v>6.6129071537290711</v>
      </c>
      <c r="AB95" s="218">
        <v>0</v>
      </c>
      <c r="AC95" s="213">
        <f t="shared" si="66"/>
        <v>8.1240597650304416</v>
      </c>
      <c r="AD95" s="217">
        <f t="shared" si="64"/>
        <v>0</v>
      </c>
      <c r="AE95" s="213">
        <f t="shared" si="61"/>
        <v>10.216424919140028</v>
      </c>
      <c r="AF95" s="24"/>
      <c r="AG95" s="24"/>
      <c r="AH95" s="38" t="s">
        <v>74</v>
      </c>
      <c r="AI95" s="32">
        <f t="shared" si="57"/>
        <v>475.05005844748854</v>
      </c>
      <c r="AJ95" s="33">
        <f t="shared" si="58"/>
        <v>16.778960319159054</v>
      </c>
      <c r="AK95" s="33">
        <f t="shared" si="50"/>
        <v>525</v>
      </c>
      <c r="AL95" s="31">
        <f t="shared" si="51"/>
        <v>3969</v>
      </c>
      <c r="AM95" s="45">
        <f t="shared" si="62"/>
        <v>141.82901876664764</v>
      </c>
      <c r="AN95" s="35">
        <f t="shared" si="63"/>
        <v>875</v>
      </c>
    </row>
    <row r="96" spans="2:40" ht="14.25" hidden="1" x14ac:dyDescent="0.2">
      <c r="B96" s="201">
        <f t="shared" si="52"/>
        <v>88</v>
      </c>
      <c r="C96" s="202">
        <v>0</v>
      </c>
      <c r="D96" s="203">
        <f t="shared" si="71"/>
        <v>0</v>
      </c>
      <c r="E96" s="204">
        <f t="shared" si="71"/>
        <v>525</v>
      </c>
      <c r="F96" s="202">
        <f t="shared" si="53"/>
        <v>350</v>
      </c>
      <c r="G96" s="205">
        <v>18</v>
      </c>
      <c r="H96" s="206">
        <v>8.65</v>
      </c>
      <c r="I96" s="207">
        <f t="shared" si="54"/>
        <v>80.304974614726021</v>
      </c>
      <c r="J96" s="208">
        <v>0</v>
      </c>
      <c r="K96" s="209">
        <f t="shared" si="55"/>
        <v>0</v>
      </c>
      <c r="L96" s="208">
        <v>0</v>
      </c>
      <c r="M96" s="209">
        <f t="shared" si="59"/>
        <v>0</v>
      </c>
      <c r="N96" s="208">
        <v>0</v>
      </c>
      <c r="O96" s="209">
        <f t="shared" si="56"/>
        <v>0</v>
      </c>
      <c r="P96" s="210">
        <v>0</v>
      </c>
      <c r="Q96" s="211">
        <f t="shared" si="70"/>
        <v>3.3581169140030438</v>
      </c>
      <c r="R96" s="212">
        <v>0</v>
      </c>
      <c r="S96" s="211">
        <f t="shared" si="69"/>
        <v>2.4927560169330287</v>
      </c>
      <c r="T96" s="212">
        <v>0</v>
      </c>
      <c r="U96" s="213">
        <f t="shared" si="67"/>
        <v>1.28254234446347</v>
      </c>
      <c r="V96" s="212">
        <v>0</v>
      </c>
      <c r="W96" s="213">
        <f t="shared" si="68"/>
        <v>1.030683575913242</v>
      </c>
      <c r="X96" s="214">
        <v>0</v>
      </c>
      <c r="Y96" s="215">
        <f t="shared" si="65"/>
        <v>3.4872752568493151</v>
      </c>
      <c r="Z96" s="216">
        <v>50</v>
      </c>
      <c r="AA96" s="217">
        <f t="shared" si="60"/>
        <v>6.6129071537290711</v>
      </c>
      <c r="AB96" s="218">
        <v>0</v>
      </c>
      <c r="AC96" s="213">
        <f t="shared" si="66"/>
        <v>8.1240597650304416</v>
      </c>
      <c r="AD96" s="217">
        <f t="shared" si="64"/>
        <v>0</v>
      </c>
      <c r="AE96" s="213">
        <f t="shared" si="61"/>
        <v>10.216424919140028</v>
      </c>
      <c r="AF96" s="24"/>
      <c r="AG96" s="24"/>
      <c r="AH96" s="38" t="s">
        <v>74</v>
      </c>
      <c r="AI96" s="32">
        <f t="shared" si="57"/>
        <v>475.05005844748854</v>
      </c>
      <c r="AJ96" s="33">
        <f t="shared" si="58"/>
        <v>16.778960319159054</v>
      </c>
      <c r="AK96" s="33">
        <f t="shared" si="50"/>
        <v>525</v>
      </c>
      <c r="AL96" s="31">
        <f t="shared" si="51"/>
        <v>3969</v>
      </c>
      <c r="AM96" s="45">
        <f t="shared" si="62"/>
        <v>141.82901876664764</v>
      </c>
      <c r="AN96" s="35">
        <f t="shared" si="63"/>
        <v>875</v>
      </c>
    </row>
    <row r="97" spans="2:40" ht="14.25" hidden="1" x14ac:dyDescent="0.2">
      <c r="B97" s="201">
        <f t="shared" si="52"/>
        <v>89</v>
      </c>
      <c r="C97" s="202">
        <v>0</v>
      </c>
      <c r="D97" s="203">
        <f t="shared" si="71"/>
        <v>0</v>
      </c>
      <c r="E97" s="204">
        <f t="shared" si="71"/>
        <v>525</v>
      </c>
      <c r="F97" s="202">
        <f t="shared" si="53"/>
        <v>350</v>
      </c>
      <c r="G97" s="205">
        <v>18</v>
      </c>
      <c r="H97" s="206">
        <v>8.65</v>
      </c>
      <c r="I97" s="207">
        <f t="shared" si="54"/>
        <v>80.304974614726021</v>
      </c>
      <c r="J97" s="208">
        <v>0</v>
      </c>
      <c r="K97" s="209">
        <f t="shared" si="55"/>
        <v>0</v>
      </c>
      <c r="L97" s="208">
        <v>0</v>
      </c>
      <c r="M97" s="209">
        <f t="shared" si="59"/>
        <v>0</v>
      </c>
      <c r="N97" s="208">
        <v>0</v>
      </c>
      <c r="O97" s="209">
        <f t="shared" si="56"/>
        <v>0</v>
      </c>
      <c r="P97" s="210">
        <v>0</v>
      </c>
      <c r="Q97" s="211">
        <f t="shared" si="70"/>
        <v>3.3581169140030438</v>
      </c>
      <c r="R97" s="212">
        <v>0</v>
      </c>
      <c r="S97" s="211">
        <f t="shared" si="69"/>
        <v>2.4927560169330287</v>
      </c>
      <c r="T97" s="212">
        <v>0</v>
      </c>
      <c r="U97" s="213">
        <f t="shared" si="67"/>
        <v>1.28254234446347</v>
      </c>
      <c r="V97" s="212">
        <v>0</v>
      </c>
      <c r="W97" s="213">
        <f t="shared" si="68"/>
        <v>1.030683575913242</v>
      </c>
      <c r="X97" s="214">
        <v>0</v>
      </c>
      <c r="Y97" s="215">
        <f t="shared" si="65"/>
        <v>3.4872752568493151</v>
      </c>
      <c r="Z97" s="216">
        <v>50</v>
      </c>
      <c r="AA97" s="217">
        <f t="shared" si="60"/>
        <v>6.6129071537290711</v>
      </c>
      <c r="AB97" s="218">
        <v>0</v>
      </c>
      <c r="AC97" s="213">
        <f t="shared" si="66"/>
        <v>8.1240597650304416</v>
      </c>
      <c r="AD97" s="217">
        <f t="shared" si="64"/>
        <v>0</v>
      </c>
      <c r="AE97" s="213">
        <f t="shared" si="61"/>
        <v>10.216424919140028</v>
      </c>
      <c r="AF97" s="24"/>
      <c r="AG97" s="24"/>
      <c r="AH97" s="38" t="s">
        <v>74</v>
      </c>
      <c r="AI97" s="32">
        <f t="shared" si="57"/>
        <v>475.05005844748854</v>
      </c>
      <c r="AJ97" s="33">
        <f t="shared" si="58"/>
        <v>16.778960319159054</v>
      </c>
      <c r="AK97" s="33">
        <f t="shared" si="50"/>
        <v>525</v>
      </c>
      <c r="AL97" s="31">
        <f t="shared" si="51"/>
        <v>3969</v>
      </c>
      <c r="AM97" s="45">
        <f t="shared" si="62"/>
        <v>141.82901876664764</v>
      </c>
      <c r="AN97" s="35">
        <f t="shared" si="63"/>
        <v>875</v>
      </c>
    </row>
    <row r="98" spans="2:40" ht="14.25" hidden="1" x14ac:dyDescent="0.2">
      <c r="B98" s="201">
        <f t="shared" si="52"/>
        <v>90</v>
      </c>
      <c r="C98" s="202">
        <v>0</v>
      </c>
      <c r="D98" s="203">
        <f t="shared" si="71"/>
        <v>0</v>
      </c>
      <c r="E98" s="204">
        <f t="shared" si="71"/>
        <v>525</v>
      </c>
      <c r="F98" s="202">
        <f t="shared" si="53"/>
        <v>350</v>
      </c>
      <c r="G98" s="205">
        <v>18</v>
      </c>
      <c r="H98" s="206">
        <v>8.65</v>
      </c>
      <c r="I98" s="207">
        <f t="shared" si="54"/>
        <v>80.304974614726021</v>
      </c>
      <c r="J98" s="208">
        <v>0</v>
      </c>
      <c r="K98" s="209">
        <f t="shared" si="55"/>
        <v>0</v>
      </c>
      <c r="L98" s="208">
        <v>0</v>
      </c>
      <c r="M98" s="209">
        <f t="shared" si="59"/>
        <v>0</v>
      </c>
      <c r="N98" s="208">
        <v>0</v>
      </c>
      <c r="O98" s="209">
        <f t="shared" si="56"/>
        <v>0</v>
      </c>
      <c r="P98" s="210">
        <v>0</v>
      </c>
      <c r="Q98" s="211">
        <f t="shared" si="70"/>
        <v>3.3581169140030438</v>
      </c>
      <c r="R98" s="212">
        <v>0</v>
      </c>
      <c r="S98" s="211">
        <f t="shared" si="69"/>
        <v>2.4927560169330287</v>
      </c>
      <c r="T98" s="212">
        <v>0</v>
      </c>
      <c r="U98" s="213">
        <f t="shared" si="67"/>
        <v>1.28254234446347</v>
      </c>
      <c r="V98" s="212">
        <v>0</v>
      </c>
      <c r="W98" s="213">
        <f t="shared" si="68"/>
        <v>1.030683575913242</v>
      </c>
      <c r="X98" s="214">
        <v>0</v>
      </c>
      <c r="Y98" s="215">
        <f t="shared" si="65"/>
        <v>3.4872752568493151</v>
      </c>
      <c r="Z98" s="216">
        <v>50</v>
      </c>
      <c r="AA98" s="217">
        <f t="shared" si="60"/>
        <v>6.6129071537290711</v>
      </c>
      <c r="AB98" s="218">
        <v>0</v>
      </c>
      <c r="AC98" s="213">
        <f t="shared" si="66"/>
        <v>8.1240597650304416</v>
      </c>
      <c r="AD98" s="217">
        <f t="shared" si="64"/>
        <v>0</v>
      </c>
      <c r="AE98" s="213">
        <f t="shared" si="61"/>
        <v>10.216424919140028</v>
      </c>
      <c r="AF98" s="24"/>
      <c r="AG98" s="24"/>
      <c r="AH98" s="38" t="s">
        <v>74</v>
      </c>
      <c r="AI98" s="32">
        <f t="shared" si="57"/>
        <v>475.05005844748854</v>
      </c>
      <c r="AJ98" s="33">
        <f t="shared" si="58"/>
        <v>16.778960319159054</v>
      </c>
      <c r="AK98" s="33">
        <f t="shared" si="50"/>
        <v>525</v>
      </c>
      <c r="AL98" s="31">
        <f t="shared" si="51"/>
        <v>3969</v>
      </c>
      <c r="AM98" s="45">
        <f t="shared" si="62"/>
        <v>141.82901876664764</v>
      </c>
      <c r="AN98" s="35">
        <f t="shared" si="63"/>
        <v>875</v>
      </c>
    </row>
    <row r="99" spans="2:40" ht="14.25" hidden="1" x14ac:dyDescent="0.2">
      <c r="B99" s="201">
        <f t="shared" si="52"/>
        <v>91</v>
      </c>
      <c r="C99" s="202">
        <v>0</v>
      </c>
      <c r="D99" s="203">
        <f t="shared" si="71"/>
        <v>0</v>
      </c>
      <c r="E99" s="204">
        <f t="shared" si="71"/>
        <v>525</v>
      </c>
      <c r="F99" s="202">
        <f t="shared" si="53"/>
        <v>350</v>
      </c>
      <c r="G99" s="205">
        <v>18</v>
      </c>
      <c r="H99" s="206">
        <v>8.65</v>
      </c>
      <c r="I99" s="207">
        <f t="shared" si="54"/>
        <v>80.304974614726021</v>
      </c>
      <c r="J99" s="208">
        <v>0</v>
      </c>
      <c r="K99" s="209">
        <f t="shared" si="55"/>
        <v>0</v>
      </c>
      <c r="L99" s="208">
        <v>0</v>
      </c>
      <c r="M99" s="209">
        <f t="shared" si="59"/>
        <v>0</v>
      </c>
      <c r="N99" s="208">
        <v>0</v>
      </c>
      <c r="O99" s="209">
        <f t="shared" si="56"/>
        <v>0</v>
      </c>
      <c r="P99" s="210">
        <v>0</v>
      </c>
      <c r="Q99" s="211">
        <f t="shared" si="70"/>
        <v>3.3581169140030438</v>
      </c>
      <c r="R99" s="212">
        <v>0</v>
      </c>
      <c r="S99" s="211">
        <f t="shared" si="69"/>
        <v>2.4927560169330287</v>
      </c>
      <c r="T99" s="212">
        <v>0</v>
      </c>
      <c r="U99" s="213">
        <f t="shared" si="67"/>
        <v>1.28254234446347</v>
      </c>
      <c r="V99" s="212">
        <v>0</v>
      </c>
      <c r="W99" s="213">
        <f t="shared" si="68"/>
        <v>1.030683575913242</v>
      </c>
      <c r="X99" s="214">
        <v>0</v>
      </c>
      <c r="Y99" s="215">
        <f t="shared" si="65"/>
        <v>3.4872752568493151</v>
      </c>
      <c r="Z99" s="216">
        <v>50</v>
      </c>
      <c r="AA99" s="217">
        <f t="shared" si="60"/>
        <v>6.6129071537290711</v>
      </c>
      <c r="AB99" s="218">
        <v>0</v>
      </c>
      <c r="AC99" s="213">
        <f t="shared" si="66"/>
        <v>8.1240597650304416</v>
      </c>
      <c r="AD99" s="217">
        <f t="shared" si="64"/>
        <v>0</v>
      </c>
      <c r="AE99" s="213">
        <f t="shared" si="61"/>
        <v>10.216424919140028</v>
      </c>
      <c r="AF99" s="24"/>
      <c r="AG99" s="24"/>
      <c r="AH99" s="38" t="s">
        <v>74</v>
      </c>
      <c r="AI99" s="32">
        <f t="shared" si="57"/>
        <v>475.05005844748854</v>
      </c>
      <c r="AJ99" s="33">
        <f t="shared" si="58"/>
        <v>16.778960319159054</v>
      </c>
      <c r="AK99" s="33">
        <f t="shared" si="50"/>
        <v>525</v>
      </c>
      <c r="AL99" s="31">
        <f t="shared" si="51"/>
        <v>3969</v>
      </c>
      <c r="AM99" s="45">
        <f t="shared" si="62"/>
        <v>141.82901876664764</v>
      </c>
      <c r="AN99" s="35">
        <f t="shared" si="63"/>
        <v>875</v>
      </c>
    </row>
    <row r="100" spans="2:40" ht="14.25" hidden="1" x14ac:dyDescent="0.2">
      <c r="B100" s="201">
        <f t="shared" si="52"/>
        <v>92</v>
      </c>
      <c r="C100" s="202">
        <v>0</v>
      </c>
      <c r="D100" s="203">
        <f t="shared" si="71"/>
        <v>0</v>
      </c>
      <c r="E100" s="204">
        <f t="shared" si="71"/>
        <v>525</v>
      </c>
      <c r="F100" s="202">
        <f t="shared" si="53"/>
        <v>350</v>
      </c>
      <c r="G100" s="205">
        <v>18</v>
      </c>
      <c r="H100" s="206">
        <v>8.65</v>
      </c>
      <c r="I100" s="207">
        <f t="shared" si="54"/>
        <v>80.304974614726021</v>
      </c>
      <c r="J100" s="208">
        <v>0</v>
      </c>
      <c r="K100" s="209">
        <f t="shared" si="55"/>
        <v>0</v>
      </c>
      <c r="L100" s="208">
        <v>0</v>
      </c>
      <c r="M100" s="209">
        <f t="shared" si="59"/>
        <v>0</v>
      </c>
      <c r="N100" s="208">
        <v>0</v>
      </c>
      <c r="O100" s="209">
        <f t="shared" si="56"/>
        <v>0</v>
      </c>
      <c r="P100" s="210">
        <v>0</v>
      </c>
      <c r="Q100" s="211">
        <f t="shared" si="70"/>
        <v>3.3581169140030438</v>
      </c>
      <c r="R100" s="212">
        <v>0</v>
      </c>
      <c r="S100" s="211">
        <f t="shared" si="69"/>
        <v>2.4927560169330287</v>
      </c>
      <c r="T100" s="212">
        <v>0</v>
      </c>
      <c r="U100" s="213">
        <f t="shared" si="67"/>
        <v>1.28254234446347</v>
      </c>
      <c r="V100" s="212">
        <v>0</v>
      </c>
      <c r="W100" s="213">
        <f t="shared" si="68"/>
        <v>1.030683575913242</v>
      </c>
      <c r="X100" s="214">
        <v>0</v>
      </c>
      <c r="Y100" s="215">
        <f t="shared" si="65"/>
        <v>3.4872752568493151</v>
      </c>
      <c r="Z100" s="216">
        <v>50</v>
      </c>
      <c r="AA100" s="217">
        <f t="shared" si="60"/>
        <v>6.6129071537290711</v>
      </c>
      <c r="AB100" s="218">
        <v>0</v>
      </c>
      <c r="AC100" s="213">
        <f t="shared" si="66"/>
        <v>8.1240597650304416</v>
      </c>
      <c r="AD100" s="217">
        <f t="shared" si="64"/>
        <v>0</v>
      </c>
      <c r="AE100" s="213">
        <f t="shared" si="61"/>
        <v>10.216424919140028</v>
      </c>
      <c r="AF100" s="24"/>
      <c r="AG100" s="24"/>
      <c r="AH100" s="38" t="s">
        <v>74</v>
      </c>
      <c r="AI100" s="32">
        <f t="shared" si="57"/>
        <v>475.05005844748854</v>
      </c>
      <c r="AJ100" s="33">
        <f t="shared" si="58"/>
        <v>16.778960319159054</v>
      </c>
      <c r="AK100" s="33">
        <f t="shared" si="50"/>
        <v>525</v>
      </c>
      <c r="AL100" s="31">
        <f t="shared" si="51"/>
        <v>3969</v>
      </c>
      <c r="AM100" s="45">
        <f t="shared" si="62"/>
        <v>141.82901876664764</v>
      </c>
      <c r="AN100" s="35">
        <f t="shared" si="63"/>
        <v>875</v>
      </c>
    </row>
    <row r="101" spans="2:40" ht="14.25" hidden="1" x14ac:dyDescent="0.2">
      <c r="B101" s="201">
        <f t="shared" si="52"/>
        <v>93</v>
      </c>
      <c r="C101" s="202">
        <v>0</v>
      </c>
      <c r="D101" s="203">
        <f t="shared" si="71"/>
        <v>0</v>
      </c>
      <c r="E101" s="204">
        <f t="shared" si="71"/>
        <v>525</v>
      </c>
      <c r="F101" s="202">
        <f t="shared" si="53"/>
        <v>350</v>
      </c>
      <c r="G101" s="205">
        <v>18</v>
      </c>
      <c r="H101" s="206">
        <v>8.65</v>
      </c>
      <c r="I101" s="207">
        <f t="shared" si="54"/>
        <v>80.304974614726021</v>
      </c>
      <c r="J101" s="208">
        <v>0</v>
      </c>
      <c r="K101" s="209">
        <f t="shared" si="55"/>
        <v>0</v>
      </c>
      <c r="L101" s="208">
        <v>0</v>
      </c>
      <c r="M101" s="209">
        <f t="shared" si="59"/>
        <v>0</v>
      </c>
      <c r="N101" s="208">
        <v>0</v>
      </c>
      <c r="O101" s="209">
        <f t="shared" si="56"/>
        <v>0</v>
      </c>
      <c r="P101" s="210">
        <v>0</v>
      </c>
      <c r="Q101" s="211">
        <f t="shared" si="70"/>
        <v>3.3581169140030438</v>
      </c>
      <c r="R101" s="212">
        <v>0</v>
      </c>
      <c r="S101" s="211">
        <f t="shared" si="69"/>
        <v>2.4927560169330287</v>
      </c>
      <c r="T101" s="212">
        <v>0</v>
      </c>
      <c r="U101" s="213">
        <f t="shared" si="67"/>
        <v>1.28254234446347</v>
      </c>
      <c r="V101" s="212">
        <v>0</v>
      </c>
      <c r="W101" s="213">
        <f t="shared" si="68"/>
        <v>1.030683575913242</v>
      </c>
      <c r="X101" s="214">
        <v>0</v>
      </c>
      <c r="Y101" s="215">
        <f t="shared" si="65"/>
        <v>3.4872752568493151</v>
      </c>
      <c r="Z101" s="216">
        <v>50</v>
      </c>
      <c r="AA101" s="217">
        <f t="shared" si="60"/>
        <v>6.6129071537290711</v>
      </c>
      <c r="AB101" s="218">
        <v>0</v>
      </c>
      <c r="AC101" s="213">
        <f t="shared" si="66"/>
        <v>8.1240597650304416</v>
      </c>
      <c r="AD101" s="217">
        <f t="shared" si="64"/>
        <v>0</v>
      </c>
      <c r="AE101" s="213">
        <f t="shared" si="61"/>
        <v>10.216424919140028</v>
      </c>
      <c r="AF101" s="24"/>
      <c r="AG101" s="24"/>
      <c r="AH101" s="38" t="s">
        <v>74</v>
      </c>
      <c r="AI101" s="32">
        <f t="shared" si="57"/>
        <v>475.05005844748854</v>
      </c>
      <c r="AJ101" s="33">
        <f t="shared" si="58"/>
        <v>16.778960319159054</v>
      </c>
      <c r="AK101" s="33">
        <f t="shared" si="50"/>
        <v>525</v>
      </c>
      <c r="AL101" s="31">
        <f t="shared" si="51"/>
        <v>3969</v>
      </c>
      <c r="AM101" s="45">
        <f t="shared" si="62"/>
        <v>141.82901876664764</v>
      </c>
      <c r="AN101" s="35">
        <f t="shared" si="63"/>
        <v>875</v>
      </c>
    </row>
    <row r="102" spans="2:40" ht="14.25" hidden="1" x14ac:dyDescent="0.2">
      <c r="B102" s="201">
        <f t="shared" si="52"/>
        <v>94</v>
      </c>
      <c r="C102" s="202">
        <v>0</v>
      </c>
      <c r="D102" s="203">
        <f t="shared" si="71"/>
        <v>0</v>
      </c>
      <c r="E102" s="204">
        <f t="shared" si="71"/>
        <v>525</v>
      </c>
      <c r="F102" s="202">
        <f t="shared" si="53"/>
        <v>350</v>
      </c>
      <c r="G102" s="205">
        <v>18</v>
      </c>
      <c r="H102" s="206">
        <v>8.65</v>
      </c>
      <c r="I102" s="207">
        <f t="shared" si="54"/>
        <v>80.304974614726021</v>
      </c>
      <c r="J102" s="208">
        <v>0</v>
      </c>
      <c r="K102" s="209">
        <f t="shared" si="55"/>
        <v>0</v>
      </c>
      <c r="L102" s="208">
        <v>0</v>
      </c>
      <c r="M102" s="209">
        <f t="shared" si="59"/>
        <v>0</v>
      </c>
      <c r="N102" s="208">
        <v>0</v>
      </c>
      <c r="O102" s="209">
        <f t="shared" si="56"/>
        <v>0</v>
      </c>
      <c r="P102" s="210">
        <v>0</v>
      </c>
      <c r="Q102" s="211">
        <f t="shared" si="70"/>
        <v>3.3581169140030438</v>
      </c>
      <c r="R102" s="212">
        <v>0</v>
      </c>
      <c r="S102" s="211">
        <f t="shared" si="69"/>
        <v>2.4927560169330287</v>
      </c>
      <c r="T102" s="212">
        <v>0</v>
      </c>
      <c r="U102" s="213">
        <f t="shared" si="67"/>
        <v>1.28254234446347</v>
      </c>
      <c r="V102" s="212">
        <v>0</v>
      </c>
      <c r="W102" s="213">
        <f t="shared" si="68"/>
        <v>1.030683575913242</v>
      </c>
      <c r="X102" s="214">
        <v>0</v>
      </c>
      <c r="Y102" s="215">
        <f t="shared" si="65"/>
        <v>3.4872752568493151</v>
      </c>
      <c r="Z102" s="216">
        <v>50</v>
      </c>
      <c r="AA102" s="217">
        <f t="shared" si="60"/>
        <v>6.6129071537290711</v>
      </c>
      <c r="AB102" s="218">
        <v>0</v>
      </c>
      <c r="AC102" s="213">
        <f t="shared" si="66"/>
        <v>8.1240597650304416</v>
      </c>
      <c r="AD102" s="217">
        <f t="shared" si="64"/>
        <v>0</v>
      </c>
      <c r="AE102" s="213">
        <f t="shared" si="61"/>
        <v>10.216424919140028</v>
      </c>
      <c r="AF102" s="24"/>
      <c r="AG102" s="24"/>
      <c r="AH102" s="38" t="s">
        <v>74</v>
      </c>
      <c r="AI102" s="32">
        <f t="shared" si="57"/>
        <v>475.05005844748854</v>
      </c>
      <c r="AJ102" s="33">
        <f t="shared" si="58"/>
        <v>16.778960319159054</v>
      </c>
      <c r="AK102" s="33">
        <f t="shared" si="50"/>
        <v>525</v>
      </c>
      <c r="AL102" s="31">
        <f t="shared" si="51"/>
        <v>3969</v>
      </c>
      <c r="AM102" s="45">
        <f t="shared" si="62"/>
        <v>141.82901876664764</v>
      </c>
      <c r="AN102" s="35">
        <f t="shared" si="63"/>
        <v>875</v>
      </c>
    </row>
    <row r="103" spans="2:40" ht="14.25" hidden="1" x14ac:dyDescent="0.2">
      <c r="B103" s="201">
        <f t="shared" si="52"/>
        <v>95</v>
      </c>
      <c r="C103" s="202">
        <v>0</v>
      </c>
      <c r="D103" s="203">
        <f t="shared" si="71"/>
        <v>0</v>
      </c>
      <c r="E103" s="204">
        <f t="shared" si="71"/>
        <v>525</v>
      </c>
      <c r="F103" s="202">
        <f t="shared" si="53"/>
        <v>350</v>
      </c>
      <c r="G103" s="205">
        <v>18</v>
      </c>
      <c r="H103" s="206">
        <v>8.65</v>
      </c>
      <c r="I103" s="207">
        <f t="shared" si="54"/>
        <v>80.304974614726021</v>
      </c>
      <c r="J103" s="208">
        <v>0</v>
      </c>
      <c r="K103" s="209">
        <f t="shared" si="55"/>
        <v>0</v>
      </c>
      <c r="L103" s="208">
        <v>0</v>
      </c>
      <c r="M103" s="209">
        <f t="shared" si="59"/>
        <v>0</v>
      </c>
      <c r="N103" s="208">
        <v>0</v>
      </c>
      <c r="O103" s="209">
        <f t="shared" si="56"/>
        <v>0</v>
      </c>
      <c r="P103" s="210">
        <v>0</v>
      </c>
      <c r="Q103" s="211">
        <f t="shared" si="70"/>
        <v>3.3581169140030438</v>
      </c>
      <c r="R103" s="212">
        <v>0</v>
      </c>
      <c r="S103" s="211">
        <f t="shared" si="69"/>
        <v>2.4927560169330287</v>
      </c>
      <c r="T103" s="212">
        <v>0</v>
      </c>
      <c r="U103" s="213">
        <f t="shared" si="67"/>
        <v>1.28254234446347</v>
      </c>
      <c r="V103" s="212">
        <v>0</v>
      </c>
      <c r="W103" s="213">
        <f t="shared" si="68"/>
        <v>1.030683575913242</v>
      </c>
      <c r="X103" s="214">
        <v>0</v>
      </c>
      <c r="Y103" s="215">
        <f t="shared" si="65"/>
        <v>3.4872752568493151</v>
      </c>
      <c r="Z103" s="216">
        <v>50</v>
      </c>
      <c r="AA103" s="217">
        <f t="shared" si="60"/>
        <v>6.6129071537290711</v>
      </c>
      <c r="AB103" s="218">
        <v>0</v>
      </c>
      <c r="AC103" s="213">
        <f t="shared" si="66"/>
        <v>8.1240597650304416</v>
      </c>
      <c r="AD103" s="217">
        <f t="shared" si="64"/>
        <v>0</v>
      </c>
      <c r="AE103" s="213">
        <f t="shared" si="61"/>
        <v>10.216424919140028</v>
      </c>
      <c r="AF103" s="24"/>
      <c r="AG103" s="24"/>
      <c r="AH103" s="38" t="s">
        <v>74</v>
      </c>
      <c r="AI103" s="32">
        <f t="shared" si="57"/>
        <v>475.05005844748854</v>
      </c>
      <c r="AJ103" s="33">
        <f t="shared" si="58"/>
        <v>16.778960319159054</v>
      </c>
      <c r="AK103" s="33">
        <f t="shared" si="50"/>
        <v>525</v>
      </c>
      <c r="AL103" s="31">
        <f t="shared" si="51"/>
        <v>3969</v>
      </c>
      <c r="AM103" s="45">
        <f t="shared" si="62"/>
        <v>141.82901876664764</v>
      </c>
      <c r="AN103" s="35">
        <f t="shared" si="63"/>
        <v>875</v>
      </c>
    </row>
    <row r="104" spans="2:40" ht="14.25" hidden="1" x14ac:dyDescent="0.2">
      <c r="B104" s="201">
        <f t="shared" si="52"/>
        <v>96</v>
      </c>
      <c r="C104" s="202">
        <v>0</v>
      </c>
      <c r="D104" s="203">
        <f t="shared" si="71"/>
        <v>0</v>
      </c>
      <c r="E104" s="204">
        <f t="shared" si="71"/>
        <v>525</v>
      </c>
      <c r="F104" s="202">
        <f t="shared" si="53"/>
        <v>350</v>
      </c>
      <c r="G104" s="205">
        <v>18</v>
      </c>
      <c r="H104" s="206">
        <v>8.65</v>
      </c>
      <c r="I104" s="207">
        <f t="shared" si="54"/>
        <v>80.304974614726021</v>
      </c>
      <c r="J104" s="208">
        <v>0</v>
      </c>
      <c r="K104" s="209">
        <f t="shared" si="55"/>
        <v>0</v>
      </c>
      <c r="L104" s="208">
        <v>0</v>
      </c>
      <c r="M104" s="209">
        <f t="shared" si="59"/>
        <v>0</v>
      </c>
      <c r="N104" s="208">
        <v>0</v>
      </c>
      <c r="O104" s="209">
        <f t="shared" si="56"/>
        <v>0</v>
      </c>
      <c r="P104" s="210">
        <v>0</v>
      </c>
      <c r="Q104" s="211">
        <f t="shared" si="70"/>
        <v>3.3581169140030438</v>
      </c>
      <c r="R104" s="212">
        <v>0</v>
      </c>
      <c r="S104" s="211">
        <f t="shared" si="69"/>
        <v>2.4927560169330287</v>
      </c>
      <c r="T104" s="212">
        <v>0</v>
      </c>
      <c r="U104" s="213">
        <f t="shared" si="67"/>
        <v>1.28254234446347</v>
      </c>
      <c r="V104" s="212">
        <v>0</v>
      </c>
      <c r="W104" s="213">
        <f t="shared" si="68"/>
        <v>1.030683575913242</v>
      </c>
      <c r="X104" s="214">
        <v>0</v>
      </c>
      <c r="Y104" s="215">
        <f t="shared" si="65"/>
        <v>3.4872752568493151</v>
      </c>
      <c r="Z104" s="216">
        <v>50</v>
      </c>
      <c r="AA104" s="217">
        <f t="shared" si="60"/>
        <v>6.6129071537290711</v>
      </c>
      <c r="AB104" s="218">
        <v>0</v>
      </c>
      <c r="AC104" s="213">
        <f t="shared" si="66"/>
        <v>8.1240597650304416</v>
      </c>
      <c r="AD104" s="217">
        <f t="shared" si="64"/>
        <v>0</v>
      </c>
      <c r="AE104" s="213">
        <f t="shared" si="61"/>
        <v>10.216424919140028</v>
      </c>
      <c r="AF104" s="24"/>
      <c r="AG104" s="24"/>
      <c r="AH104" s="38" t="s">
        <v>74</v>
      </c>
      <c r="AI104" s="32">
        <f t="shared" si="57"/>
        <v>475.05005844748854</v>
      </c>
      <c r="AJ104" s="33">
        <f t="shared" si="58"/>
        <v>16.778960319159054</v>
      </c>
      <c r="AK104" s="33">
        <f t="shared" si="50"/>
        <v>525</v>
      </c>
      <c r="AL104" s="31">
        <f t="shared" si="51"/>
        <v>3969</v>
      </c>
      <c r="AM104" s="45">
        <f t="shared" si="62"/>
        <v>141.82901876664764</v>
      </c>
      <c r="AN104" s="35">
        <f t="shared" si="63"/>
        <v>875</v>
      </c>
    </row>
    <row r="105" spans="2:40" ht="14.25" hidden="1" x14ac:dyDescent="0.2">
      <c r="B105" s="201">
        <f t="shared" si="52"/>
        <v>97</v>
      </c>
      <c r="C105" s="202">
        <v>0</v>
      </c>
      <c r="D105" s="203">
        <f t="shared" si="71"/>
        <v>0</v>
      </c>
      <c r="E105" s="204">
        <f t="shared" si="71"/>
        <v>525</v>
      </c>
      <c r="F105" s="202">
        <f t="shared" si="53"/>
        <v>350</v>
      </c>
      <c r="G105" s="205">
        <v>18</v>
      </c>
      <c r="H105" s="206">
        <v>8.65</v>
      </c>
      <c r="I105" s="207">
        <f t="shared" si="54"/>
        <v>80.304974614726021</v>
      </c>
      <c r="J105" s="208">
        <v>0</v>
      </c>
      <c r="K105" s="209">
        <f t="shared" si="55"/>
        <v>0</v>
      </c>
      <c r="L105" s="208">
        <v>0</v>
      </c>
      <c r="M105" s="209">
        <f t="shared" si="59"/>
        <v>0</v>
      </c>
      <c r="N105" s="208">
        <v>0</v>
      </c>
      <c r="O105" s="209">
        <f t="shared" si="56"/>
        <v>0</v>
      </c>
      <c r="P105" s="210">
        <v>0</v>
      </c>
      <c r="Q105" s="211">
        <f t="shared" si="70"/>
        <v>3.3581169140030438</v>
      </c>
      <c r="R105" s="212">
        <v>0</v>
      </c>
      <c r="S105" s="211">
        <f t="shared" si="69"/>
        <v>2.4927560169330287</v>
      </c>
      <c r="T105" s="212">
        <v>0</v>
      </c>
      <c r="U105" s="213">
        <f t="shared" si="67"/>
        <v>1.28254234446347</v>
      </c>
      <c r="V105" s="212">
        <v>0</v>
      </c>
      <c r="W105" s="213">
        <f t="shared" si="68"/>
        <v>1.030683575913242</v>
      </c>
      <c r="X105" s="214">
        <v>0</v>
      </c>
      <c r="Y105" s="215">
        <f t="shared" si="65"/>
        <v>3.4872752568493151</v>
      </c>
      <c r="Z105" s="216">
        <v>50</v>
      </c>
      <c r="AA105" s="217">
        <f t="shared" si="60"/>
        <v>6.6129071537290711</v>
      </c>
      <c r="AB105" s="218">
        <v>0</v>
      </c>
      <c r="AC105" s="213">
        <f t="shared" si="66"/>
        <v>8.1240597650304416</v>
      </c>
      <c r="AD105" s="217">
        <f t="shared" si="64"/>
        <v>0</v>
      </c>
      <c r="AE105" s="213">
        <f t="shared" si="61"/>
        <v>10.216424919140028</v>
      </c>
      <c r="AF105" s="24"/>
      <c r="AG105" s="24"/>
      <c r="AH105" s="38" t="s">
        <v>74</v>
      </c>
      <c r="AI105" s="32">
        <f t="shared" si="57"/>
        <v>475.05005844748854</v>
      </c>
      <c r="AJ105" s="33">
        <f t="shared" si="58"/>
        <v>16.778960319159054</v>
      </c>
      <c r="AK105" s="33">
        <f t="shared" si="50"/>
        <v>525</v>
      </c>
      <c r="AL105" s="31">
        <f t="shared" si="51"/>
        <v>3969</v>
      </c>
      <c r="AM105" s="45">
        <f t="shared" si="62"/>
        <v>141.82901876664764</v>
      </c>
      <c r="AN105" s="35">
        <f t="shared" si="63"/>
        <v>875</v>
      </c>
    </row>
    <row r="106" spans="2:40" ht="14.25" hidden="1" x14ac:dyDescent="0.2">
      <c r="B106" s="201">
        <f t="shared" si="52"/>
        <v>98</v>
      </c>
      <c r="C106" s="202">
        <v>0</v>
      </c>
      <c r="D106" s="203">
        <f t="shared" si="71"/>
        <v>0</v>
      </c>
      <c r="E106" s="204">
        <f t="shared" si="71"/>
        <v>525</v>
      </c>
      <c r="F106" s="202">
        <f t="shared" si="53"/>
        <v>350</v>
      </c>
      <c r="G106" s="205">
        <v>18</v>
      </c>
      <c r="H106" s="206">
        <v>8.65</v>
      </c>
      <c r="I106" s="207">
        <f t="shared" si="54"/>
        <v>80.304974614726021</v>
      </c>
      <c r="J106" s="208">
        <v>0</v>
      </c>
      <c r="K106" s="209">
        <f t="shared" si="55"/>
        <v>0</v>
      </c>
      <c r="L106" s="208">
        <v>0</v>
      </c>
      <c r="M106" s="209">
        <f t="shared" si="59"/>
        <v>0</v>
      </c>
      <c r="N106" s="208">
        <v>0</v>
      </c>
      <c r="O106" s="209">
        <f t="shared" si="56"/>
        <v>0</v>
      </c>
      <c r="P106" s="210">
        <v>0</v>
      </c>
      <c r="Q106" s="211">
        <f t="shared" si="70"/>
        <v>3.3581169140030438</v>
      </c>
      <c r="R106" s="212">
        <v>0</v>
      </c>
      <c r="S106" s="211">
        <f t="shared" si="69"/>
        <v>2.4927560169330287</v>
      </c>
      <c r="T106" s="212">
        <v>0</v>
      </c>
      <c r="U106" s="213">
        <f t="shared" si="67"/>
        <v>1.28254234446347</v>
      </c>
      <c r="V106" s="212">
        <v>0</v>
      </c>
      <c r="W106" s="213">
        <f t="shared" si="68"/>
        <v>1.030683575913242</v>
      </c>
      <c r="X106" s="214">
        <v>0</v>
      </c>
      <c r="Y106" s="215">
        <f t="shared" si="65"/>
        <v>3.4872752568493151</v>
      </c>
      <c r="Z106" s="216">
        <v>50</v>
      </c>
      <c r="AA106" s="217">
        <f t="shared" si="60"/>
        <v>6.6129071537290711</v>
      </c>
      <c r="AB106" s="218">
        <v>0</v>
      </c>
      <c r="AC106" s="213">
        <f t="shared" si="66"/>
        <v>8.1240597650304416</v>
      </c>
      <c r="AD106" s="217">
        <f t="shared" si="64"/>
        <v>0</v>
      </c>
      <c r="AE106" s="213">
        <f t="shared" si="61"/>
        <v>10.216424919140028</v>
      </c>
      <c r="AF106" s="24"/>
      <c r="AG106" s="24"/>
      <c r="AH106" s="38" t="s">
        <v>74</v>
      </c>
      <c r="AI106" s="32">
        <f t="shared" si="57"/>
        <v>475.05005844748854</v>
      </c>
      <c r="AJ106" s="33">
        <f t="shared" si="58"/>
        <v>16.778960319159054</v>
      </c>
      <c r="AK106" s="33">
        <f t="shared" si="50"/>
        <v>525</v>
      </c>
      <c r="AL106" s="31">
        <f t="shared" si="51"/>
        <v>3969</v>
      </c>
      <c r="AM106" s="45">
        <f t="shared" si="62"/>
        <v>141.82901876664764</v>
      </c>
      <c r="AN106" s="35">
        <f t="shared" si="63"/>
        <v>875</v>
      </c>
    </row>
    <row r="107" spans="2:40" ht="14.25" hidden="1" x14ac:dyDescent="0.2">
      <c r="B107" s="201">
        <f t="shared" si="52"/>
        <v>99</v>
      </c>
      <c r="C107" s="202">
        <v>0</v>
      </c>
      <c r="D107" s="203">
        <f t="shared" si="71"/>
        <v>0</v>
      </c>
      <c r="E107" s="204">
        <f t="shared" si="71"/>
        <v>525</v>
      </c>
      <c r="F107" s="202">
        <f t="shared" si="53"/>
        <v>350</v>
      </c>
      <c r="G107" s="205">
        <v>18</v>
      </c>
      <c r="H107" s="206">
        <v>8.65</v>
      </c>
      <c r="I107" s="204">
        <f t="shared" si="54"/>
        <v>80.304974614726021</v>
      </c>
      <c r="J107" s="208">
        <v>0</v>
      </c>
      <c r="K107" s="209">
        <f t="shared" si="55"/>
        <v>0</v>
      </c>
      <c r="L107" s="208">
        <v>0</v>
      </c>
      <c r="M107" s="209">
        <f t="shared" si="59"/>
        <v>0</v>
      </c>
      <c r="N107" s="208">
        <v>0</v>
      </c>
      <c r="O107" s="209">
        <f t="shared" si="56"/>
        <v>0</v>
      </c>
      <c r="P107" s="210">
        <v>0</v>
      </c>
      <c r="Q107" s="211">
        <f t="shared" si="70"/>
        <v>3.3581169140030438</v>
      </c>
      <c r="R107" s="219">
        <v>0</v>
      </c>
      <c r="S107" s="211">
        <f t="shared" si="69"/>
        <v>2.4927560169330287</v>
      </c>
      <c r="T107" s="219">
        <v>0</v>
      </c>
      <c r="U107" s="213">
        <f t="shared" si="67"/>
        <v>1.28254234446347</v>
      </c>
      <c r="V107" s="219">
        <v>0</v>
      </c>
      <c r="W107" s="213">
        <f t="shared" si="68"/>
        <v>1.030683575913242</v>
      </c>
      <c r="X107" s="220">
        <v>0</v>
      </c>
      <c r="Y107" s="215">
        <f t="shared" si="65"/>
        <v>3.4872752568493151</v>
      </c>
      <c r="Z107" s="216">
        <v>50</v>
      </c>
      <c r="AA107" s="217">
        <f t="shared" si="60"/>
        <v>6.6129071537290711</v>
      </c>
      <c r="AB107" s="218">
        <v>0</v>
      </c>
      <c r="AC107" s="213">
        <f t="shared" si="66"/>
        <v>8.1240597650304416</v>
      </c>
      <c r="AD107" s="217">
        <f t="shared" si="64"/>
        <v>0</v>
      </c>
      <c r="AE107" s="213">
        <f t="shared" si="61"/>
        <v>10.216424919140028</v>
      </c>
      <c r="AF107" s="24"/>
      <c r="AG107" s="24"/>
      <c r="AH107" s="38" t="s">
        <v>74</v>
      </c>
      <c r="AI107" s="32">
        <f t="shared" si="57"/>
        <v>475.05005844748854</v>
      </c>
      <c r="AJ107" s="33">
        <f t="shared" si="58"/>
        <v>16.778960319159054</v>
      </c>
      <c r="AK107" s="33">
        <f t="shared" si="50"/>
        <v>525</v>
      </c>
      <c r="AL107" s="31">
        <f t="shared" si="51"/>
        <v>3969</v>
      </c>
      <c r="AM107" s="45">
        <f t="shared" si="62"/>
        <v>141.82901876664764</v>
      </c>
      <c r="AN107" s="35">
        <f t="shared" si="63"/>
        <v>875</v>
      </c>
    </row>
    <row r="108" spans="2:40" ht="15" hidden="1" thickBot="1" x14ac:dyDescent="0.25">
      <c r="B108" s="221">
        <f t="shared" si="52"/>
        <v>100</v>
      </c>
      <c r="C108" s="222">
        <v>0</v>
      </c>
      <c r="D108" s="223">
        <f t="shared" si="71"/>
        <v>0</v>
      </c>
      <c r="E108" s="224">
        <f t="shared" si="71"/>
        <v>525</v>
      </c>
      <c r="F108" s="222">
        <f t="shared" si="53"/>
        <v>350</v>
      </c>
      <c r="G108" s="225">
        <v>18</v>
      </c>
      <c r="H108" s="226">
        <v>8.65</v>
      </c>
      <c r="I108" s="227">
        <f t="shared" si="54"/>
        <v>80.304974614726021</v>
      </c>
      <c r="J108" s="228">
        <v>0</v>
      </c>
      <c r="K108" s="229">
        <f t="shared" si="55"/>
        <v>0</v>
      </c>
      <c r="L108" s="228">
        <v>0</v>
      </c>
      <c r="M108" s="229">
        <f t="shared" si="59"/>
        <v>0</v>
      </c>
      <c r="N108" s="228">
        <v>0</v>
      </c>
      <c r="O108" s="229">
        <f t="shared" si="56"/>
        <v>0</v>
      </c>
      <c r="P108" s="230">
        <v>0</v>
      </c>
      <c r="Q108" s="211">
        <f t="shared" si="70"/>
        <v>3.3581169140030438</v>
      </c>
      <c r="R108" s="231">
        <v>0</v>
      </c>
      <c r="S108" s="211">
        <f t="shared" si="69"/>
        <v>2.4927560169330287</v>
      </c>
      <c r="T108" s="231">
        <v>0</v>
      </c>
      <c r="U108" s="232">
        <f t="shared" si="67"/>
        <v>1.28254234446347</v>
      </c>
      <c r="V108" s="231">
        <v>0</v>
      </c>
      <c r="W108" s="232">
        <f t="shared" si="68"/>
        <v>1.030683575913242</v>
      </c>
      <c r="X108" s="233">
        <v>0</v>
      </c>
      <c r="Y108" s="234">
        <f t="shared" si="65"/>
        <v>3.4872752568493151</v>
      </c>
      <c r="Z108" s="235">
        <v>50</v>
      </c>
      <c r="AA108" s="236">
        <f t="shared" si="60"/>
        <v>6.6129071537290711</v>
      </c>
      <c r="AB108" s="237">
        <v>0</v>
      </c>
      <c r="AC108" s="213">
        <f t="shared" si="66"/>
        <v>8.1240597650304416</v>
      </c>
      <c r="AD108" s="236">
        <f t="shared" si="64"/>
        <v>0</v>
      </c>
      <c r="AE108" s="213">
        <f t="shared" si="61"/>
        <v>10.216424919140028</v>
      </c>
      <c r="AF108" s="47"/>
      <c r="AG108" s="48"/>
      <c r="AH108" s="38" t="s">
        <v>74</v>
      </c>
      <c r="AI108" s="32">
        <f t="shared" si="57"/>
        <v>475.05005844748854</v>
      </c>
      <c r="AJ108" s="33">
        <f t="shared" si="58"/>
        <v>16.778960319159054</v>
      </c>
      <c r="AK108" s="42">
        <f t="shared" si="50"/>
        <v>525</v>
      </c>
      <c r="AL108" s="42">
        <f t="shared" si="51"/>
        <v>3969</v>
      </c>
      <c r="AM108" s="45">
        <f t="shared" si="62"/>
        <v>141.82901876664764</v>
      </c>
      <c r="AN108" s="35">
        <f t="shared" si="63"/>
        <v>875</v>
      </c>
    </row>
    <row r="109" spans="2:40" ht="18.600000000000001" customHeight="1" thickTop="1" x14ac:dyDescent="0.2">
      <c r="B109" s="255" t="s">
        <v>76</v>
      </c>
      <c r="C109" s="240"/>
      <c r="D109" s="240"/>
      <c r="E109" s="240"/>
      <c r="F109" s="240"/>
      <c r="G109" s="238"/>
      <c r="H109" s="238"/>
      <c r="I109" s="240"/>
      <c r="J109" s="240"/>
      <c r="K109" s="240"/>
      <c r="L109" s="240"/>
      <c r="M109" s="240"/>
      <c r="N109" s="240"/>
      <c r="O109" s="240"/>
      <c r="P109" s="240"/>
      <c r="Q109" s="240"/>
      <c r="R109" s="240"/>
      <c r="S109" s="240"/>
      <c r="T109" s="240"/>
      <c r="U109" s="240"/>
      <c r="V109" s="240"/>
      <c r="W109" s="240"/>
      <c r="X109" s="241"/>
      <c r="Y109" s="241"/>
      <c r="Z109" s="240"/>
      <c r="AA109" s="240"/>
      <c r="AB109" s="240"/>
      <c r="AC109" s="240"/>
      <c r="AD109" s="240"/>
      <c r="AE109" s="240"/>
    </row>
    <row r="110" spans="2:40" ht="14.25" x14ac:dyDescent="0.2">
      <c r="B110" s="256" t="s">
        <v>77</v>
      </c>
      <c r="C110" s="240"/>
      <c r="D110" s="240"/>
      <c r="E110" s="240"/>
      <c r="F110" s="240"/>
      <c r="G110" s="238"/>
      <c r="H110" s="238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0"/>
      <c r="T110" s="240"/>
      <c r="U110" s="240"/>
      <c r="V110" s="240"/>
      <c r="W110" s="240"/>
      <c r="X110" s="241"/>
      <c r="Y110" s="241"/>
      <c r="Z110" s="240"/>
      <c r="AA110" s="240"/>
      <c r="AB110" s="240"/>
      <c r="AC110" s="240"/>
      <c r="AD110" s="240"/>
      <c r="AE110" s="240"/>
    </row>
    <row r="111" spans="2:40" ht="14.25" x14ac:dyDescent="0.2">
      <c r="B111" s="257"/>
      <c r="C111" s="240"/>
      <c r="D111" s="240"/>
      <c r="E111" s="240"/>
      <c r="F111" s="240"/>
      <c r="G111" s="238"/>
      <c r="H111" s="238"/>
      <c r="I111" s="240"/>
      <c r="J111" s="240"/>
      <c r="K111" s="240"/>
      <c r="L111" s="240"/>
      <c r="M111" s="240"/>
      <c r="N111" s="240"/>
      <c r="O111" s="240"/>
      <c r="P111" s="240"/>
      <c r="Q111" s="240"/>
      <c r="R111" s="240"/>
      <c r="S111" s="240"/>
      <c r="T111" s="240"/>
      <c r="U111" s="240"/>
      <c r="V111" s="240"/>
      <c r="W111" s="240"/>
      <c r="X111" s="241"/>
      <c r="Y111" s="241"/>
      <c r="Z111" s="240"/>
      <c r="AA111" s="240"/>
      <c r="AB111" s="240"/>
      <c r="AC111" s="240"/>
      <c r="AD111" s="240"/>
      <c r="AE111" s="240"/>
    </row>
    <row r="112" spans="2:40" ht="14.25" x14ac:dyDescent="0.2">
      <c r="B112" s="257"/>
      <c r="C112" s="239"/>
      <c r="D112" s="239"/>
      <c r="E112" s="239"/>
      <c r="F112" s="239"/>
      <c r="G112" s="238"/>
      <c r="H112" s="238"/>
      <c r="I112" s="239"/>
      <c r="J112" s="239"/>
      <c r="K112" s="239"/>
      <c r="L112" s="239"/>
      <c r="M112" s="239"/>
      <c r="N112" s="239"/>
      <c r="O112" s="239"/>
      <c r="P112" s="239"/>
      <c r="Q112" s="239"/>
      <c r="R112" s="240"/>
      <c r="S112" s="240"/>
      <c r="T112" s="238"/>
      <c r="U112" s="238"/>
      <c r="V112" s="240"/>
      <c r="W112" s="240"/>
      <c r="X112" s="241"/>
      <c r="Y112" s="241"/>
      <c r="Z112" s="240"/>
      <c r="AA112" s="240"/>
      <c r="AB112" s="240"/>
      <c r="AC112" s="240"/>
      <c r="AD112" s="240"/>
      <c r="AE112" s="240"/>
      <c r="AF112" s="26"/>
      <c r="AG112" s="26"/>
      <c r="AH112" s="26"/>
      <c r="AI112" s="26"/>
      <c r="AJ112" s="15"/>
      <c r="AK112" s="15"/>
      <c r="AL112" s="29"/>
      <c r="AM112" s="29"/>
    </row>
    <row r="113" spans="2:39" x14ac:dyDescent="0.2">
      <c r="B113" s="2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30"/>
      <c r="AM113" s="30"/>
    </row>
    <row r="114" spans="2:39" x14ac:dyDescent="0.2">
      <c r="B114" s="2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30"/>
      <c r="AM114" s="30"/>
    </row>
    <row r="115" spans="2:39" ht="12.75" customHeight="1" x14ac:dyDescent="0.2">
      <c r="B115" s="67"/>
    </row>
    <row r="116" spans="2:39" ht="12.75" customHeight="1" x14ac:dyDescent="0.2">
      <c r="B116" s="67"/>
    </row>
    <row r="117" spans="2:39" ht="12.75" customHeight="1" x14ac:dyDescent="0.2">
      <c r="B117" s="67"/>
    </row>
    <row r="118" spans="2:39" ht="12.75" customHeight="1" x14ac:dyDescent="0.2">
      <c r="B118" s="67"/>
    </row>
  </sheetData>
  <mergeCells count="18">
    <mergeCell ref="Z2:AE2"/>
    <mergeCell ref="AH2:AL2"/>
    <mergeCell ref="Z3:AA3"/>
    <mergeCell ref="AB3:AC3"/>
    <mergeCell ref="AD3:AE3"/>
    <mergeCell ref="P2:Y2"/>
    <mergeCell ref="J2:O2"/>
    <mergeCell ref="C2:E2"/>
    <mergeCell ref="F2:I2"/>
    <mergeCell ref="D3:E3"/>
    <mergeCell ref="N3:O3"/>
    <mergeCell ref="J3:K3"/>
    <mergeCell ref="P3:Q3"/>
    <mergeCell ref="R3:S3"/>
    <mergeCell ref="T3:U3"/>
    <mergeCell ref="V3:W3"/>
    <mergeCell ref="X3:Y3"/>
    <mergeCell ref="L3:M3"/>
  </mergeCells>
  <pageMargins left="0.7" right="0.7" top="0.75" bottom="0.75" header="0.3" footer="0.3"/>
  <pageSetup paperSize="3"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E65F-11CF-416D-8F3A-F26A07D0FAB5}">
  <dimension ref="B1:F22"/>
  <sheetViews>
    <sheetView zoomScale="140" zoomScaleNormal="140" workbookViewId="0">
      <selection activeCell="C30" sqref="C30"/>
    </sheetView>
  </sheetViews>
  <sheetFormatPr defaultRowHeight="12.75" x14ac:dyDescent="0.2"/>
  <cols>
    <col min="1" max="1" width="3.83203125" customWidth="1"/>
    <col min="2" max="2" width="29.5" customWidth="1"/>
    <col min="3" max="3" width="49.33203125" customWidth="1"/>
    <col min="4" max="5" width="23.5" customWidth="1"/>
    <col min="6" max="6" width="62.6640625" bestFit="1" customWidth="1"/>
  </cols>
  <sheetData>
    <row r="1" spans="2:6" ht="13.5" thickBot="1" x14ac:dyDescent="0.25"/>
    <row r="2" spans="2:6" ht="29.25" thickTop="1" x14ac:dyDescent="0.2">
      <c r="B2" s="670" t="s">
        <v>78</v>
      </c>
      <c r="C2" s="672" t="s">
        <v>79</v>
      </c>
      <c r="D2" s="281" t="s">
        <v>80</v>
      </c>
      <c r="E2" s="281" t="s">
        <v>81</v>
      </c>
      <c r="F2" s="282" t="s">
        <v>79</v>
      </c>
    </row>
    <row r="3" spans="2:6" ht="17.45" customHeight="1" thickBot="1" x14ac:dyDescent="0.25">
      <c r="B3" s="671"/>
      <c r="C3" s="673"/>
      <c r="D3" s="283" t="s">
        <v>82</v>
      </c>
      <c r="E3" s="283" t="s">
        <v>82</v>
      </c>
      <c r="F3" s="284" t="s">
        <v>83</v>
      </c>
    </row>
    <row r="4" spans="2:6" ht="15" thickTop="1" x14ac:dyDescent="0.2">
      <c r="B4" s="674" t="s">
        <v>84</v>
      </c>
      <c r="C4" s="285" t="s">
        <v>85</v>
      </c>
      <c r="D4" s="286">
        <v>1450</v>
      </c>
      <c r="E4" s="286">
        <v>2186</v>
      </c>
      <c r="F4" s="287" t="s">
        <v>86</v>
      </c>
    </row>
    <row r="5" spans="2:6" ht="14.25" x14ac:dyDescent="0.2">
      <c r="B5" s="675"/>
      <c r="C5" s="246" t="s">
        <v>87</v>
      </c>
      <c r="D5" s="156">
        <v>1450</v>
      </c>
      <c r="E5" s="156">
        <v>2186</v>
      </c>
      <c r="F5" s="288" t="s">
        <v>86</v>
      </c>
    </row>
    <row r="6" spans="2:6" ht="14.25" x14ac:dyDescent="0.2">
      <c r="B6" s="667" t="s">
        <v>88</v>
      </c>
      <c r="C6" s="246" t="s">
        <v>89</v>
      </c>
      <c r="D6" s="156">
        <v>1600</v>
      </c>
      <c r="E6" s="156">
        <v>2400</v>
      </c>
      <c r="F6" s="288" t="s">
        <v>90</v>
      </c>
    </row>
    <row r="7" spans="2:6" ht="14.25" x14ac:dyDescent="0.2">
      <c r="B7" s="668"/>
      <c r="C7" s="246" t="s">
        <v>91</v>
      </c>
      <c r="D7" s="156">
        <v>1600</v>
      </c>
      <c r="E7" s="156">
        <v>2400</v>
      </c>
      <c r="F7" s="288" t="s">
        <v>90</v>
      </c>
    </row>
    <row r="8" spans="2:6" ht="14.25" x14ac:dyDescent="0.2">
      <c r="B8" s="668"/>
      <c r="C8" s="246" t="s">
        <v>92</v>
      </c>
      <c r="D8" s="156">
        <v>1600</v>
      </c>
      <c r="E8" s="156">
        <v>2400</v>
      </c>
      <c r="F8" s="288" t="s">
        <v>90</v>
      </c>
    </row>
    <row r="9" spans="2:6" ht="14.25" x14ac:dyDescent="0.2">
      <c r="B9" s="676" t="s">
        <v>93</v>
      </c>
      <c r="C9" s="289" t="s">
        <v>94</v>
      </c>
      <c r="D9" s="156">
        <v>1571</v>
      </c>
      <c r="E9" s="156">
        <v>2402</v>
      </c>
      <c r="F9" s="288" t="s">
        <v>95</v>
      </c>
    </row>
    <row r="10" spans="2:6" ht="14.25" x14ac:dyDescent="0.2">
      <c r="B10" s="676"/>
      <c r="C10" s="289" t="s">
        <v>96</v>
      </c>
      <c r="D10" s="156">
        <v>1571</v>
      </c>
      <c r="E10" s="156">
        <v>2402</v>
      </c>
      <c r="F10" s="288" t="s">
        <v>97</v>
      </c>
    </row>
    <row r="11" spans="2:6" ht="14.25" x14ac:dyDescent="0.2">
      <c r="B11" s="676"/>
      <c r="C11" s="289" t="s">
        <v>98</v>
      </c>
      <c r="D11" s="156">
        <v>50</v>
      </c>
      <c r="E11" s="156">
        <v>583</v>
      </c>
      <c r="F11" s="288" t="s">
        <v>99</v>
      </c>
    </row>
    <row r="12" spans="2:6" ht="14.25" x14ac:dyDescent="0.2">
      <c r="B12" s="676"/>
      <c r="C12" s="289" t="s">
        <v>100</v>
      </c>
      <c r="D12" s="156">
        <v>1571</v>
      </c>
      <c r="E12" s="156">
        <v>2402</v>
      </c>
      <c r="F12" s="288" t="s">
        <v>97</v>
      </c>
    </row>
    <row r="13" spans="2:6" ht="14.25" x14ac:dyDescent="0.2">
      <c r="B13" s="675" t="e">
        <f t="shared" ref="B13" si="0">B9+1</f>
        <v>#VALUE!</v>
      </c>
      <c r="C13" s="289" t="s">
        <v>101</v>
      </c>
      <c r="D13" s="156">
        <v>34500</v>
      </c>
      <c r="E13" s="156">
        <v>47950</v>
      </c>
      <c r="F13" s="288" t="s">
        <v>102</v>
      </c>
    </row>
    <row r="14" spans="2:6" ht="14.25" x14ac:dyDescent="0.2">
      <c r="B14" s="667" t="s">
        <v>103</v>
      </c>
      <c r="C14" s="289" t="s">
        <v>104</v>
      </c>
      <c r="D14" s="156">
        <v>34500</v>
      </c>
      <c r="E14" s="156">
        <v>47950</v>
      </c>
      <c r="F14" s="288" t="s">
        <v>102</v>
      </c>
    </row>
    <row r="15" spans="2:6" ht="14.25" x14ac:dyDescent="0.2">
      <c r="B15" s="668"/>
      <c r="C15" s="289" t="s">
        <v>105</v>
      </c>
      <c r="D15" s="156">
        <v>34500</v>
      </c>
      <c r="E15" s="156">
        <v>47950</v>
      </c>
      <c r="F15" s="288" t="s">
        <v>102</v>
      </c>
    </row>
    <row r="16" spans="2:6" ht="14.25" x14ac:dyDescent="0.2">
      <c r="B16" s="668"/>
      <c r="C16" s="289" t="s">
        <v>106</v>
      </c>
      <c r="D16" s="156">
        <v>34500</v>
      </c>
      <c r="E16" s="156">
        <v>47950</v>
      </c>
      <c r="F16" s="288" t="s">
        <v>102</v>
      </c>
    </row>
    <row r="17" spans="2:6" ht="14.25" x14ac:dyDescent="0.2">
      <c r="B17" s="668"/>
      <c r="C17" s="289" t="s">
        <v>107</v>
      </c>
      <c r="D17" s="156">
        <v>34500</v>
      </c>
      <c r="E17" s="156">
        <v>47950</v>
      </c>
      <c r="F17" s="288" t="s">
        <v>102</v>
      </c>
    </row>
    <row r="18" spans="2:6" ht="14.25" x14ac:dyDescent="0.2">
      <c r="B18" s="668"/>
      <c r="C18" s="289" t="s">
        <v>108</v>
      </c>
      <c r="D18" s="156">
        <v>34500</v>
      </c>
      <c r="E18" s="156">
        <v>47950</v>
      </c>
      <c r="F18" s="288" t="s">
        <v>102</v>
      </c>
    </row>
    <row r="19" spans="2:6" ht="14.25" x14ac:dyDescent="0.2">
      <c r="B19" s="667" t="s">
        <v>109</v>
      </c>
      <c r="C19" s="289" t="s">
        <v>110</v>
      </c>
      <c r="D19" s="156">
        <v>148000</v>
      </c>
      <c r="E19" s="156">
        <v>199667</v>
      </c>
      <c r="F19" s="288" t="s">
        <v>111</v>
      </c>
    </row>
    <row r="20" spans="2:6" ht="14.25" x14ac:dyDescent="0.2">
      <c r="B20" s="668"/>
      <c r="C20" s="289" t="s">
        <v>112</v>
      </c>
      <c r="D20" s="156">
        <v>148000</v>
      </c>
      <c r="E20" s="156">
        <v>199667</v>
      </c>
      <c r="F20" s="288" t="s">
        <v>111</v>
      </c>
    </row>
    <row r="21" spans="2:6" ht="15" thickBot="1" x14ac:dyDescent="0.25">
      <c r="B21" s="669"/>
      <c r="C21" s="290" t="s">
        <v>113</v>
      </c>
      <c r="D21" s="176">
        <v>148000</v>
      </c>
      <c r="E21" s="176">
        <v>199667</v>
      </c>
      <c r="F21" s="291" t="s">
        <v>111</v>
      </c>
    </row>
    <row r="22" spans="2:6" ht="13.5" thickTop="1" x14ac:dyDescent="0.2"/>
  </sheetData>
  <mergeCells count="7">
    <mergeCell ref="B14:B18"/>
    <mergeCell ref="B19:B21"/>
    <mergeCell ref="B2:B3"/>
    <mergeCell ref="C2:C3"/>
    <mergeCell ref="B4:B5"/>
    <mergeCell ref="B6:B8"/>
    <mergeCell ref="B9:B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BC95-68E1-4644-8198-9ECF76B08ACD}">
  <dimension ref="A1:Q55"/>
  <sheetViews>
    <sheetView topLeftCell="A3" zoomScale="115" zoomScaleNormal="115" workbookViewId="0">
      <selection activeCell="C54" sqref="C54"/>
    </sheetView>
  </sheetViews>
  <sheetFormatPr defaultRowHeight="12.75" x14ac:dyDescent="0.2"/>
  <cols>
    <col min="1" max="1" width="3.83203125" style="20" customWidth="1"/>
    <col min="2" max="2" width="60.6640625" style="20" bestFit="1" customWidth="1"/>
    <col min="3" max="3" width="18.1640625" style="20" customWidth="1"/>
    <col min="4" max="9" width="18" style="20" customWidth="1"/>
    <col min="11" max="11" width="9.33203125" style="6"/>
    <col min="12" max="12" width="10.5" style="6" bestFit="1" customWidth="1"/>
    <col min="13" max="17" width="9.33203125" style="6"/>
  </cols>
  <sheetData>
    <row r="1" spans="2:10" ht="13.5" thickBot="1" x14ac:dyDescent="0.25"/>
    <row r="2" spans="2:10" ht="15" thickTop="1" x14ac:dyDescent="0.2">
      <c r="B2" s="308" t="s">
        <v>114</v>
      </c>
      <c r="C2" s="309">
        <v>46.83</v>
      </c>
      <c r="D2" s="309" t="s">
        <v>115</v>
      </c>
      <c r="E2" s="310" t="s">
        <v>116</v>
      </c>
      <c r="F2" s="310" t="s">
        <v>117</v>
      </c>
      <c r="G2" s="310" t="s">
        <v>118</v>
      </c>
      <c r="H2" s="310" t="s">
        <v>119</v>
      </c>
      <c r="I2" s="311" t="s">
        <v>120</v>
      </c>
      <c r="J2" s="3"/>
    </row>
    <row r="3" spans="2:10" ht="59.25" customHeight="1" x14ac:dyDescent="0.2">
      <c r="B3" s="315" t="s">
        <v>1</v>
      </c>
      <c r="C3" s="316" t="s">
        <v>121</v>
      </c>
      <c r="D3" s="316" t="s">
        <v>122</v>
      </c>
      <c r="E3" s="316" t="s">
        <v>123</v>
      </c>
      <c r="F3" s="316" t="s">
        <v>124</v>
      </c>
      <c r="G3" s="316" t="s">
        <v>125</v>
      </c>
      <c r="H3" s="316" t="s">
        <v>126</v>
      </c>
      <c r="I3" s="317" t="s">
        <v>127</v>
      </c>
    </row>
    <row r="4" spans="2:10" ht="15" thickBot="1" x14ac:dyDescent="0.25">
      <c r="B4" s="318"/>
      <c r="C4" s="319" t="s">
        <v>69</v>
      </c>
      <c r="D4" s="319" t="s">
        <v>128</v>
      </c>
      <c r="E4" s="319" t="s">
        <v>128</v>
      </c>
      <c r="F4" s="319" t="s">
        <v>128</v>
      </c>
      <c r="G4" s="319" t="s">
        <v>128</v>
      </c>
      <c r="H4" s="319" t="s">
        <v>128</v>
      </c>
      <c r="I4" s="320" t="s">
        <v>128</v>
      </c>
    </row>
    <row r="5" spans="2:10" ht="14.25" x14ac:dyDescent="0.2">
      <c r="B5" s="324" t="str">
        <f>'Table 1 Water Stored'!B4</f>
        <v>East Pit</v>
      </c>
      <c r="C5" s="312"/>
      <c r="D5" s="313">
        <f>'Table 1 Water Stored'!C4</f>
        <v>740204439</v>
      </c>
      <c r="E5" s="313">
        <v>0</v>
      </c>
      <c r="F5" s="313">
        <f>E5</f>
        <v>0</v>
      </c>
      <c r="G5" s="313">
        <f t="shared" ref="G5:G27" si="0">F5</f>
        <v>0</v>
      </c>
      <c r="H5" s="313">
        <f>G5</f>
        <v>0</v>
      </c>
      <c r="I5" s="314">
        <f t="shared" ref="I5:I20" si="1">H5</f>
        <v>0</v>
      </c>
    </row>
    <row r="6" spans="2:10" ht="14.25" x14ac:dyDescent="0.2">
      <c r="B6" s="325" t="str">
        <f>'Table 1 Water Stored'!B5</f>
        <v>Estrella Pit</v>
      </c>
      <c r="C6" s="292"/>
      <c r="D6" s="247">
        <f>'Table 1 Water Stored'!C5</f>
        <v>363542840</v>
      </c>
      <c r="E6" s="247">
        <v>0</v>
      </c>
      <c r="F6" s="247">
        <f t="shared" ref="E6:F30" si="2">E6</f>
        <v>0</v>
      </c>
      <c r="G6" s="247">
        <f t="shared" si="0"/>
        <v>0</v>
      </c>
      <c r="H6" s="247">
        <f t="shared" ref="H6:H21" si="3">G6</f>
        <v>0</v>
      </c>
      <c r="I6" s="293">
        <f t="shared" si="1"/>
        <v>0</v>
      </c>
    </row>
    <row r="7" spans="2:10" ht="14.25" x14ac:dyDescent="0.2">
      <c r="B7" s="325" t="str">
        <f>'Table 1 Water Stored'!B6</f>
        <v>Lee Hill Pit</v>
      </c>
      <c r="C7" s="292"/>
      <c r="D7" s="247">
        <f>'Table 1 Water Stored'!C6</f>
        <v>0</v>
      </c>
      <c r="E7" s="247">
        <v>0</v>
      </c>
      <c r="F7" s="247">
        <f t="shared" si="2"/>
        <v>0</v>
      </c>
      <c r="G7" s="247">
        <f t="shared" si="0"/>
        <v>0</v>
      </c>
      <c r="H7" s="247">
        <f t="shared" si="3"/>
        <v>0</v>
      </c>
      <c r="I7" s="293">
        <f t="shared" si="1"/>
        <v>0</v>
      </c>
    </row>
    <row r="8" spans="2:10" ht="13.15" customHeight="1" x14ac:dyDescent="0.2">
      <c r="B8" s="325" t="str">
        <f>'Table 1 Water Stored'!B7</f>
        <v>Reservoir 9</v>
      </c>
      <c r="C8" s="292"/>
      <c r="D8" s="247">
        <f>'Table 1 Water Stored'!C7</f>
        <v>2737148</v>
      </c>
      <c r="E8" s="247">
        <v>0</v>
      </c>
      <c r="F8" s="247">
        <f t="shared" si="2"/>
        <v>0</v>
      </c>
      <c r="G8" s="247">
        <f t="shared" si="0"/>
        <v>0</v>
      </c>
      <c r="H8" s="247">
        <f t="shared" si="3"/>
        <v>0</v>
      </c>
      <c r="I8" s="293">
        <f t="shared" si="1"/>
        <v>0</v>
      </c>
    </row>
    <row r="9" spans="2:10" ht="13.15" customHeight="1" x14ac:dyDescent="0.2">
      <c r="B9" s="325" t="str">
        <f>'Table 1 Water Stored'!B8</f>
        <v>Reservoir 4a (Overflow Pond)</v>
      </c>
      <c r="C9" s="294"/>
      <c r="D9" s="247">
        <f>'Table 1 Water Stored'!C8</f>
        <v>1368574</v>
      </c>
      <c r="E9" s="247">
        <v>0</v>
      </c>
      <c r="F9" s="247">
        <f t="shared" si="2"/>
        <v>0</v>
      </c>
      <c r="G9" s="247">
        <f t="shared" si="0"/>
        <v>0</v>
      </c>
      <c r="H9" s="247">
        <f t="shared" si="3"/>
        <v>0</v>
      </c>
      <c r="I9" s="293">
        <f t="shared" si="1"/>
        <v>0</v>
      </c>
    </row>
    <row r="10" spans="2:10" ht="13.15" customHeight="1" x14ac:dyDescent="0.2">
      <c r="B10" s="325" t="str">
        <f>'Table 1 Water Stored'!B9</f>
        <v>Reservoir 2 (Overflow Pond)</v>
      </c>
      <c r="C10" s="292"/>
      <c r="D10" s="247">
        <f>'Table 1 Water Stored'!C9</f>
        <v>684287</v>
      </c>
      <c r="E10" s="247">
        <v>0</v>
      </c>
      <c r="F10" s="247">
        <f t="shared" si="2"/>
        <v>0</v>
      </c>
      <c r="G10" s="247">
        <f t="shared" si="0"/>
        <v>0</v>
      </c>
      <c r="H10" s="247">
        <f t="shared" si="3"/>
        <v>0</v>
      </c>
      <c r="I10" s="293">
        <f t="shared" si="1"/>
        <v>0</v>
      </c>
    </row>
    <row r="11" spans="2:10" ht="14.25" x14ac:dyDescent="0.2">
      <c r="B11" s="325" t="str">
        <f>'Table 1 Water Stored'!B10</f>
        <v>Reservoir 17</v>
      </c>
      <c r="C11" s="292"/>
      <c r="D11" s="247">
        <f>'Table 1 Water Stored'!C10</f>
        <v>9149896</v>
      </c>
      <c r="E11" s="247">
        <v>0</v>
      </c>
      <c r="F11" s="247">
        <f t="shared" si="2"/>
        <v>0</v>
      </c>
      <c r="G11" s="247">
        <f t="shared" si="0"/>
        <v>0</v>
      </c>
      <c r="H11" s="247">
        <f t="shared" si="3"/>
        <v>0</v>
      </c>
      <c r="I11" s="293">
        <f t="shared" si="1"/>
        <v>0</v>
      </c>
    </row>
    <row r="12" spans="2:10" ht="14.25" x14ac:dyDescent="0.2">
      <c r="B12" s="325" t="str">
        <f>'Table 1 Water Stored'!B11</f>
        <v>Fleming Pond 2</v>
      </c>
      <c r="C12" s="292"/>
      <c r="D12" s="247">
        <f>'Table 1 Water Stored'!C11</f>
        <v>5040000</v>
      </c>
      <c r="E12" s="247">
        <v>0</v>
      </c>
      <c r="F12" s="247">
        <f t="shared" si="2"/>
        <v>0</v>
      </c>
      <c r="G12" s="247">
        <f t="shared" si="0"/>
        <v>0</v>
      </c>
      <c r="H12" s="247">
        <f t="shared" si="3"/>
        <v>0</v>
      </c>
      <c r="I12" s="293">
        <f t="shared" si="1"/>
        <v>0</v>
      </c>
    </row>
    <row r="13" spans="2:10" ht="12.4" customHeight="1" x14ac:dyDescent="0.2">
      <c r="B13" s="325" t="str">
        <f>'Table 1 Water Stored'!B12</f>
        <v>Frog Pond</v>
      </c>
      <c r="C13" s="292"/>
      <c r="D13" s="247">
        <f>'Table 1 Water Stored'!C12</f>
        <v>1500000</v>
      </c>
      <c r="E13" s="247">
        <v>0</v>
      </c>
      <c r="F13" s="247">
        <f t="shared" si="2"/>
        <v>0</v>
      </c>
      <c r="G13" s="247">
        <f t="shared" si="0"/>
        <v>0</v>
      </c>
      <c r="H13" s="247">
        <f t="shared" si="3"/>
        <v>0</v>
      </c>
      <c r="I13" s="293">
        <f t="shared" si="1"/>
        <v>0</v>
      </c>
    </row>
    <row r="14" spans="2:10" ht="13.15" customHeight="1" x14ac:dyDescent="0.2">
      <c r="B14" s="325" t="str">
        <f>'Table 1 Water Stored'!B13</f>
        <v>PLS Tank at Ivanhoe Concentrator</v>
      </c>
      <c r="C14" s="292"/>
      <c r="D14" s="247">
        <f>'Table 1 Water Stored'!C13</f>
        <v>300000</v>
      </c>
      <c r="E14" s="247">
        <v>0</v>
      </c>
      <c r="F14" s="247">
        <f t="shared" si="2"/>
        <v>0</v>
      </c>
      <c r="G14" s="247">
        <f t="shared" si="0"/>
        <v>0</v>
      </c>
      <c r="H14" s="247">
        <f t="shared" si="3"/>
        <v>0</v>
      </c>
      <c r="I14" s="293">
        <f t="shared" si="1"/>
        <v>0</v>
      </c>
    </row>
    <row r="15" spans="2:10" ht="13.15" customHeight="1" x14ac:dyDescent="0.2">
      <c r="B15" s="325" t="str">
        <f>'Table 1 Water Stored'!B14</f>
        <v>5900 PLS Sump</v>
      </c>
      <c r="C15" s="292"/>
      <c r="D15" s="247">
        <f>'Table 1 Water Stored'!C14</f>
        <v>299131</v>
      </c>
      <c r="E15" s="247">
        <v>0</v>
      </c>
      <c r="F15" s="247">
        <f t="shared" si="2"/>
        <v>0</v>
      </c>
      <c r="G15" s="247">
        <f t="shared" si="0"/>
        <v>0</v>
      </c>
      <c r="H15" s="247">
        <f t="shared" si="3"/>
        <v>0</v>
      </c>
      <c r="I15" s="293">
        <f t="shared" si="1"/>
        <v>0</v>
      </c>
    </row>
    <row r="16" spans="2:10" ht="13.15" customHeight="1" x14ac:dyDescent="0.2">
      <c r="B16" s="325" t="str">
        <f>'Table 1 Water Stored'!B15</f>
        <v>Lee Hill Sump #1</v>
      </c>
      <c r="C16" s="292"/>
      <c r="D16" s="247">
        <f>'Table 1 Water Stored'!C15</f>
        <v>60000</v>
      </c>
      <c r="E16" s="247">
        <v>0</v>
      </c>
      <c r="F16" s="247">
        <f t="shared" si="2"/>
        <v>0</v>
      </c>
      <c r="G16" s="247">
        <f t="shared" si="0"/>
        <v>0</v>
      </c>
      <c r="H16" s="247">
        <f t="shared" si="3"/>
        <v>0</v>
      </c>
      <c r="I16" s="293">
        <f t="shared" si="1"/>
        <v>0</v>
      </c>
    </row>
    <row r="17" spans="2:12" ht="13.15" customHeight="1" x14ac:dyDescent="0.2">
      <c r="B17" s="325" t="str">
        <f>'Table 1 Water Stored'!B16</f>
        <v>5400 Sump</v>
      </c>
      <c r="C17" s="292"/>
      <c r="D17" s="247">
        <f>'Table 1 Water Stored'!C16</f>
        <v>36000</v>
      </c>
      <c r="E17" s="247">
        <v>0</v>
      </c>
      <c r="F17" s="247">
        <f t="shared" si="2"/>
        <v>0</v>
      </c>
      <c r="G17" s="247">
        <f t="shared" si="0"/>
        <v>0</v>
      </c>
      <c r="H17" s="247">
        <f t="shared" si="3"/>
        <v>0</v>
      </c>
      <c r="I17" s="293">
        <f t="shared" si="1"/>
        <v>0</v>
      </c>
    </row>
    <row r="18" spans="2:12" ht="14.25" x14ac:dyDescent="0.2">
      <c r="B18" s="325" t="str">
        <f>'Table 1 Water Stored'!B17</f>
        <v>Tailings Thickener</v>
      </c>
      <c r="C18" s="292"/>
      <c r="D18" s="247">
        <f>'Table 1 Water Stored'!C17</f>
        <v>6777710</v>
      </c>
      <c r="E18" s="247">
        <v>0</v>
      </c>
      <c r="F18" s="247">
        <f t="shared" si="2"/>
        <v>0</v>
      </c>
      <c r="G18" s="247">
        <f t="shared" si="0"/>
        <v>0</v>
      </c>
      <c r="H18" s="247">
        <f t="shared" si="3"/>
        <v>0</v>
      </c>
      <c r="I18" s="293">
        <f t="shared" si="1"/>
        <v>0</v>
      </c>
    </row>
    <row r="19" spans="2:12" ht="14.25" x14ac:dyDescent="0.2">
      <c r="B19" s="325" t="str">
        <f>'Table 1 Water Stored'!B18</f>
        <v>6525 Raffinate Tank</v>
      </c>
      <c r="C19" s="292"/>
      <c r="D19" s="247">
        <f>'Table 1 Water Stored'!C18</f>
        <v>80000</v>
      </c>
      <c r="E19" s="247">
        <v>0</v>
      </c>
      <c r="F19" s="247">
        <f t="shared" si="2"/>
        <v>0</v>
      </c>
      <c r="G19" s="247">
        <f t="shared" si="0"/>
        <v>0</v>
      </c>
      <c r="H19" s="247">
        <f t="shared" si="3"/>
        <v>0</v>
      </c>
      <c r="I19" s="293">
        <f t="shared" si="1"/>
        <v>0</v>
      </c>
    </row>
    <row r="20" spans="2:12" ht="14.25" x14ac:dyDescent="0.2">
      <c r="B20" s="325" t="str">
        <f>'Table 1 Water Stored'!B19</f>
        <v xml:space="preserve">South Stockpile </v>
      </c>
      <c r="C20" s="292"/>
      <c r="D20" s="247">
        <f>'Table 1 Water Stored'!C19</f>
        <v>120700000</v>
      </c>
      <c r="E20" s="247">
        <v>0</v>
      </c>
      <c r="F20" s="247">
        <f t="shared" si="2"/>
        <v>0</v>
      </c>
      <c r="G20" s="247">
        <f t="shared" si="0"/>
        <v>0</v>
      </c>
      <c r="H20" s="247">
        <f t="shared" si="3"/>
        <v>0</v>
      </c>
      <c r="I20" s="293">
        <f t="shared" si="1"/>
        <v>0</v>
      </c>
    </row>
    <row r="21" spans="2:12" ht="14.25" x14ac:dyDescent="0.2">
      <c r="B21" s="325" t="str">
        <f>'Table 1 Water Stored'!B20</f>
        <v>Reservoir 6</v>
      </c>
      <c r="C21" s="292"/>
      <c r="D21" s="247">
        <f>'Table 1 Water Stored'!C20</f>
        <v>54580043</v>
      </c>
      <c r="E21" s="247">
        <v>0</v>
      </c>
      <c r="F21" s="247">
        <f t="shared" si="2"/>
        <v>0</v>
      </c>
      <c r="G21" s="247">
        <f t="shared" si="0"/>
        <v>0</v>
      </c>
      <c r="H21" s="247">
        <f t="shared" si="3"/>
        <v>0</v>
      </c>
      <c r="I21" s="293">
        <f t="shared" ref="I21" si="4">H21</f>
        <v>0</v>
      </c>
    </row>
    <row r="22" spans="2:12" ht="13.15" customHeight="1" x14ac:dyDescent="0.2">
      <c r="B22" s="325" t="str">
        <f>'Table 1 Water Stored'!B21</f>
        <v>Reservoir 7</v>
      </c>
      <c r="C22" s="292"/>
      <c r="D22" s="247">
        <f>'Table 1 Water Stored'!C21</f>
        <v>63201939</v>
      </c>
      <c r="E22" s="247">
        <f>D22-E45</f>
        <v>3000954.3782499433</v>
      </c>
      <c r="F22" s="247">
        <v>0</v>
      </c>
      <c r="G22" s="247">
        <f t="shared" si="0"/>
        <v>0</v>
      </c>
      <c r="H22" s="247">
        <v>0</v>
      </c>
      <c r="I22" s="293">
        <v>0</v>
      </c>
    </row>
    <row r="23" spans="2:12" ht="13.15" customHeight="1" x14ac:dyDescent="0.2">
      <c r="B23" s="325" t="str">
        <f>'Table 1 Water Stored'!B22</f>
        <v>Reservoir 8</v>
      </c>
      <c r="C23" s="292"/>
      <c r="D23" s="247">
        <f>'Table 1 Water Stored'!C22</f>
        <v>1955106</v>
      </c>
      <c r="E23" s="247">
        <f t="shared" ref="E23" si="5">D23</f>
        <v>1955106</v>
      </c>
      <c r="F23" s="247">
        <v>0</v>
      </c>
      <c r="G23" s="247">
        <f t="shared" si="0"/>
        <v>0</v>
      </c>
      <c r="H23" s="247">
        <v>0</v>
      </c>
      <c r="I23" s="293">
        <v>0</v>
      </c>
    </row>
    <row r="24" spans="2:12" ht="13.15" customHeight="1" x14ac:dyDescent="0.2">
      <c r="B24" s="325" t="str">
        <f>'Table 1 Water Stored'!B23</f>
        <v>SX/EW PLS Feed Pond</v>
      </c>
      <c r="C24" s="292"/>
      <c r="D24" s="247">
        <f>'Table 1 Water Stored'!C23</f>
        <v>1260000</v>
      </c>
      <c r="E24" s="247">
        <f>D24</f>
        <v>1260000</v>
      </c>
      <c r="F24" s="247">
        <v>0</v>
      </c>
      <c r="G24" s="247">
        <f t="shared" si="0"/>
        <v>0</v>
      </c>
      <c r="H24" s="247">
        <v>0</v>
      </c>
      <c r="I24" s="293">
        <v>0</v>
      </c>
    </row>
    <row r="25" spans="2:12" ht="13.15" customHeight="1" x14ac:dyDescent="0.2">
      <c r="B25" s="325" t="str">
        <f>'Table 1 Water Stored'!B24</f>
        <v>SX/EW Raffinate Pond</v>
      </c>
      <c r="C25" s="292"/>
      <c r="D25" s="247">
        <f>'Table 1 Water Stored'!C24</f>
        <v>1824765.6</v>
      </c>
      <c r="E25" s="247">
        <f t="shared" si="2"/>
        <v>1824765.6</v>
      </c>
      <c r="F25" s="247">
        <v>0</v>
      </c>
      <c r="G25" s="247">
        <f t="shared" si="0"/>
        <v>0</v>
      </c>
      <c r="H25" s="247">
        <v>0</v>
      </c>
      <c r="I25" s="293">
        <v>0</v>
      </c>
    </row>
    <row r="26" spans="2:12" ht="13.15" customHeight="1" x14ac:dyDescent="0.2">
      <c r="B26" s="325" t="str">
        <f>'Table 1 Water Stored'!B25</f>
        <v>SX/EW Raffinate Tank</v>
      </c>
      <c r="C26" s="292"/>
      <c r="D26" s="247">
        <f>'Table 1 Water Stored'!C25</f>
        <v>900000</v>
      </c>
      <c r="E26" s="247">
        <f t="shared" si="2"/>
        <v>900000</v>
      </c>
      <c r="F26" s="247">
        <v>0</v>
      </c>
      <c r="G26" s="247">
        <f t="shared" si="0"/>
        <v>0</v>
      </c>
      <c r="H26" s="247">
        <v>0</v>
      </c>
      <c r="I26" s="293">
        <v>0</v>
      </c>
    </row>
    <row r="27" spans="2:12" ht="13.15" customHeight="1" x14ac:dyDescent="0.2">
      <c r="B27" s="325" t="str">
        <f>'Table 1 Water Stored'!B26</f>
        <v>East Headwall Impoundment</v>
      </c>
      <c r="C27" s="292"/>
      <c r="D27" s="247">
        <f>'Table 1 Water Stored'!C26</f>
        <v>273714.83999999997</v>
      </c>
      <c r="E27" s="247">
        <f t="shared" si="2"/>
        <v>273714.83999999997</v>
      </c>
      <c r="F27" s="247">
        <v>0</v>
      </c>
      <c r="G27" s="247">
        <f t="shared" si="0"/>
        <v>0</v>
      </c>
      <c r="H27" s="247">
        <v>0</v>
      </c>
      <c r="I27" s="293">
        <v>0</v>
      </c>
    </row>
    <row r="28" spans="2:12" ht="13.15" customHeight="1" x14ac:dyDescent="0.2">
      <c r="B28" s="325" t="str">
        <f>'Table 1 Water Stored'!B27</f>
        <v>East Lampbright Sumps</v>
      </c>
      <c r="C28" s="292"/>
      <c r="D28" s="247">
        <f>'Table 1 Water Stored'!C27</f>
        <v>1200000</v>
      </c>
      <c r="E28" s="247">
        <f t="shared" si="2"/>
        <v>1200000</v>
      </c>
      <c r="F28" s="247">
        <v>0</v>
      </c>
      <c r="G28" s="247">
        <f t="shared" ref="G28:G30" si="6">F28</f>
        <v>0</v>
      </c>
      <c r="H28" s="247">
        <v>0</v>
      </c>
      <c r="I28" s="293">
        <v>0</v>
      </c>
    </row>
    <row r="29" spans="2:12" ht="13.15" customHeight="1" x14ac:dyDescent="0.2">
      <c r="B29" s="325" t="str">
        <f>'Table 1 Water Stored'!B28</f>
        <v>LFES SS PLS Tank</v>
      </c>
      <c r="C29" s="292"/>
      <c r="D29" s="247">
        <f>'Table 1 Water Stored'!C28</f>
        <v>185923</v>
      </c>
      <c r="E29" s="247">
        <f t="shared" si="2"/>
        <v>185923</v>
      </c>
      <c r="F29" s="247">
        <v>0</v>
      </c>
      <c r="G29" s="247">
        <f t="shared" si="6"/>
        <v>0</v>
      </c>
      <c r="H29" s="247">
        <v>0</v>
      </c>
      <c r="I29" s="293">
        <v>0</v>
      </c>
    </row>
    <row r="30" spans="2:12" ht="14.25" customHeight="1" x14ac:dyDescent="0.2">
      <c r="B30" s="325" t="str">
        <f>'Table 1 Water Stored'!B29</f>
        <v>Lampbright Stockpile</v>
      </c>
      <c r="C30" s="292"/>
      <c r="D30" s="247">
        <f>'Table 1 Water Stored'!C29</f>
        <v>350600000</v>
      </c>
      <c r="E30" s="247">
        <f t="shared" si="2"/>
        <v>350600000</v>
      </c>
      <c r="F30" s="247">
        <v>0</v>
      </c>
      <c r="G30" s="247">
        <f t="shared" si="6"/>
        <v>0</v>
      </c>
      <c r="H30" s="247">
        <v>0</v>
      </c>
      <c r="I30" s="293">
        <v>0</v>
      </c>
    </row>
    <row r="31" spans="2:12" ht="13.15" customHeight="1" x14ac:dyDescent="0.2">
      <c r="B31" s="326" t="s">
        <v>129</v>
      </c>
      <c r="C31" s="247">
        <v>1414</v>
      </c>
      <c r="D31" s="247"/>
      <c r="E31" s="247"/>
      <c r="F31" s="247"/>
      <c r="G31" s="247"/>
      <c r="H31" s="247"/>
      <c r="I31" s="293"/>
      <c r="L31" s="22"/>
    </row>
    <row r="32" spans="2:12" ht="13.15" customHeight="1" x14ac:dyDescent="0.2">
      <c r="B32" s="295"/>
      <c r="C32" s="247"/>
      <c r="D32" s="247"/>
      <c r="E32" s="247"/>
      <c r="F32" s="247"/>
      <c r="G32" s="247"/>
      <c r="H32" s="247"/>
      <c r="I32" s="293"/>
      <c r="L32" s="22"/>
    </row>
    <row r="33" spans="2:17" ht="13.15" customHeight="1" x14ac:dyDescent="0.2">
      <c r="B33" s="323" t="s">
        <v>29</v>
      </c>
      <c r="C33" s="321">
        <f>C31</f>
        <v>1414</v>
      </c>
      <c r="D33" s="321">
        <f t="shared" ref="D33:I33" si="7">SUM(D5:D31)</f>
        <v>1728461516.4399998</v>
      </c>
      <c r="E33" s="321">
        <f>SUM(E5:E31)</f>
        <v>361200463.81824994</v>
      </c>
      <c r="F33" s="321">
        <f t="shared" si="7"/>
        <v>0</v>
      </c>
      <c r="G33" s="321">
        <f t="shared" si="7"/>
        <v>0</v>
      </c>
      <c r="H33" s="321">
        <f t="shared" si="7"/>
        <v>0</v>
      </c>
      <c r="I33" s="322">
        <f t="shared" si="7"/>
        <v>0</v>
      </c>
    </row>
    <row r="34" spans="2:17" ht="13.15" customHeight="1" x14ac:dyDescent="0.2">
      <c r="B34" s="326" t="s">
        <v>130</v>
      </c>
      <c r="C34" s="296"/>
      <c r="D34" s="297"/>
      <c r="E34" s="247">
        <f>('Table 2 StormwaterGroundwater'!AJ9+'Table 2 StormwaterGroundwater'!AI9)*1440*365</f>
        <v>430828755.26324999</v>
      </c>
      <c r="F34" s="247">
        <f>('Table 2 StormwaterGroundwater'!AJ10+'Table 2 StormwaterGroundwater'!AI10)*1440*365</f>
        <v>416925779.26324999</v>
      </c>
      <c r="G34" s="247">
        <f>('Table 2 StormwaterGroundwater'!AJ11+'Table 2 StormwaterGroundwater'!AI11)*1440*365</f>
        <v>403022803.26324993</v>
      </c>
      <c r="H34" s="247">
        <f>('Table 2 StormwaterGroundwater'!AJ12+'Table 2 StormwaterGroundwater'!AI12)*1440*365</f>
        <v>389119827.26324993</v>
      </c>
      <c r="I34" s="293">
        <f>('Table 2 StormwaterGroundwater'!AJ13+'Table 2 StormwaterGroundwater'!AI13)*1440*365</f>
        <v>375216851.26324993</v>
      </c>
      <c r="L34" s="22"/>
    </row>
    <row r="35" spans="2:17" ht="13.15" customHeight="1" x14ac:dyDescent="0.2">
      <c r="B35" s="327" t="s">
        <v>131</v>
      </c>
      <c r="C35" s="298"/>
      <c r="D35" s="297"/>
      <c r="E35" s="299">
        <v>1</v>
      </c>
      <c r="F35" s="299">
        <v>0.4327516009866435</v>
      </c>
      <c r="G35" s="299">
        <v>0.22413941797159445</v>
      </c>
      <c r="H35" s="299">
        <v>0.216407336993752</v>
      </c>
      <c r="I35" s="300">
        <v>0.20867525601590953</v>
      </c>
      <c r="L35" s="22"/>
    </row>
    <row r="36" spans="2:17" ht="15" thickBot="1" x14ac:dyDescent="0.25">
      <c r="B36" s="330" t="s">
        <v>132</v>
      </c>
      <c r="C36" s="331"/>
      <c r="D36" s="332"/>
      <c r="E36" s="333">
        <f>((($C$2/12)*$C$31*325851*E35))</f>
        <v>1798089807.885</v>
      </c>
      <c r="F36" s="333">
        <f>((($C$2/12)*$C$31*325851*F35))</f>
        <v>778126243.08000004</v>
      </c>
      <c r="G36" s="333">
        <f>((($C$2/12)*$C$31*325851*G35))</f>
        <v>403022803</v>
      </c>
      <c r="H36" s="333">
        <f>((($C$2/12)*$C$31*325851*H35))</f>
        <v>389119827</v>
      </c>
      <c r="I36" s="334">
        <f>((($C$2/12)*$C$31*325851*I35))</f>
        <v>375216850.99999994</v>
      </c>
      <c r="L36" s="22"/>
    </row>
    <row r="37" spans="2:17" ht="13.15" customHeight="1" thickTop="1" x14ac:dyDescent="0.2">
      <c r="B37" s="328" t="s">
        <v>133</v>
      </c>
      <c r="C37" s="301">
        <v>1169</v>
      </c>
      <c r="D37" s="302">
        <f>'Table 1 Water Stored'!C34</f>
        <v>161491755.59999999</v>
      </c>
      <c r="E37" s="302">
        <v>0</v>
      </c>
      <c r="F37" s="301">
        <v>0</v>
      </c>
      <c r="G37" s="301">
        <v>0</v>
      </c>
      <c r="H37" s="301">
        <v>0</v>
      </c>
      <c r="I37" s="303">
        <v>0</v>
      </c>
    </row>
    <row r="38" spans="2:17" ht="13.15" customHeight="1" x14ac:dyDescent="0.2">
      <c r="B38" s="326" t="s">
        <v>134</v>
      </c>
      <c r="C38" s="296"/>
      <c r="D38" s="297"/>
      <c r="E38" s="247">
        <f>('Table 2 StormwaterGroundwater'!C9+'Table 2 StormwaterGroundwater'!E9)*1440*365</f>
        <v>803919708.14750218</v>
      </c>
      <c r="F38" s="247">
        <f>('Table 2 StormwaterGroundwater'!C10+'Table 2 StormwaterGroundwater'!E10)*1440*365</f>
        <v>767070592.30550623</v>
      </c>
      <c r="G38" s="247">
        <f>('Table 2 StormwaterGroundwater'!C11+'Table 2 StormwaterGroundwater'!E11)*1440*365</f>
        <v>732155960.76556492</v>
      </c>
      <c r="H38" s="247">
        <f>('Table 2 StormwaterGroundwater'!C12+'Table 2 StormwaterGroundwater'!E12)*1440*365</f>
        <v>696592811.64792728</v>
      </c>
      <c r="I38" s="293">
        <f>('Table 2 StormwaterGroundwater'!C13+'Table 2 StormwaterGroundwater'!E13)*1440*365</f>
        <v>659967576.17007446</v>
      </c>
      <c r="M38" s="22"/>
    </row>
    <row r="39" spans="2:17" ht="13.15" customHeight="1" x14ac:dyDescent="0.2">
      <c r="B39" s="326" t="s">
        <v>135</v>
      </c>
      <c r="C39" s="298"/>
      <c r="D39" s="297"/>
      <c r="E39" s="299">
        <v>0.64943541892394974</v>
      </c>
      <c r="F39" s="299">
        <v>0.42660304782427494</v>
      </c>
      <c r="G39" s="299">
        <v>0.40718542397321189</v>
      </c>
      <c r="H39" s="299">
        <v>0.38740712982923442</v>
      </c>
      <c r="I39" s="300">
        <v>0.3670381608727098</v>
      </c>
    </row>
    <row r="40" spans="2:17" ht="15" thickBot="1" x14ac:dyDescent="0.25">
      <c r="B40" s="329" t="s">
        <v>136</v>
      </c>
      <c r="C40" s="304"/>
      <c r="D40" s="305"/>
      <c r="E40" s="306">
        <f>((($C$2/12)*$C$37*325851*E39))</f>
        <v>965411463.74750221</v>
      </c>
      <c r="F40" s="306">
        <f>((($C$2/12)*$C$31*325851*F39))</f>
        <v>767070592.30550599</v>
      </c>
      <c r="G40" s="306">
        <f>((($C$2/12)*$C$31*325851*G39))</f>
        <v>732155960.7655648</v>
      </c>
      <c r="H40" s="306">
        <f>((($C$2/12)*$C$31*325851*H39))</f>
        <v>696592811.6479274</v>
      </c>
      <c r="I40" s="307">
        <f>((($C$2/12)*$C$31*325851*I39))</f>
        <v>659967576.17007446</v>
      </c>
    </row>
    <row r="41" spans="2:17" ht="13.5" thickTop="1" x14ac:dyDescent="0.2">
      <c r="B41" s="643"/>
      <c r="C41" s="644"/>
      <c r="D41" s="645"/>
      <c r="E41" s="646"/>
      <c r="F41" s="646"/>
      <c r="G41" s="646"/>
      <c r="H41" s="646"/>
      <c r="I41" s="646"/>
    </row>
    <row r="42" spans="2:17" x14ac:dyDescent="0.2">
      <c r="B42" s="17"/>
      <c r="C42" s="21"/>
      <c r="D42" s="24"/>
      <c r="E42" s="23"/>
      <c r="F42" s="23"/>
      <c r="G42" s="23"/>
      <c r="H42" s="23"/>
      <c r="I42" s="23"/>
    </row>
    <row r="43" spans="2:17" x14ac:dyDescent="0.2">
      <c r="B43" s="17"/>
      <c r="C43" s="21"/>
      <c r="D43" s="21"/>
      <c r="E43" s="21"/>
      <c r="F43" s="21"/>
      <c r="G43" s="23"/>
      <c r="H43" s="23"/>
      <c r="I43" s="23"/>
    </row>
    <row r="44" spans="2:17" s="20" customFormat="1" x14ac:dyDescent="0.2">
      <c r="B44" s="17"/>
      <c r="C44" s="21"/>
      <c r="D44" s="21"/>
      <c r="E44" s="21"/>
      <c r="G44" s="21"/>
      <c r="H44" s="21"/>
      <c r="I44" s="21"/>
      <c r="J44"/>
      <c r="K44" s="6"/>
      <c r="L44" s="6"/>
      <c r="M44" s="6"/>
      <c r="N44" s="6"/>
      <c r="O44" s="6"/>
      <c r="P44" s="6"/>
      <c r="Q44" s="6"/>
    </row>
    <row r="45" spans="2:17" s="20" customFormat="1" hidden="1" x14ac:dyDescent="0.2">
      <c r="B45" s="642"/>
      <c r="C45" s="21"/>
      <c r="D45" s="21"/>
      <c r="E45" s="21">
        <v>60200984.621750057</v>
      </c>
      <c r="F45" s="21"/>
      <c r="G45" s="21"/>
      <c r="H45" s="21"/>
      <c r="I45" s="21"/>
      <c r="J45"/>
      <c r="K45" s="6"/>
      <c r="L45" s="6"/>
      <c r="M45" s="6"/>
      <c r="N45" s="6"/>
      <c r="O45" s="6"/>
      <c r="P45" s="6"/>
      <c r="Q45" s="6"/>
    </row>
    <row r="46" spans="2:17" s="20" customFormat="1" x14ac:dyDescent="0.2">
      <c r="B46" s="17"/>
      <c r="C46" s="21"/>
      <c r="D46" s="21"/>
      <c r="E46" s="21"/>
      <c r="F46" s="21"/>
      <c r="G46" s="21"/>
      <c r="H46" s="21"/>
      <c r="I46" s="21"/>
      <c r="J46" s="3"/>
      <c r="K46" s="6"/>
      <c r="L46" s="6"/>
      <c r="M46" s="6"/>
      <c r="N46" s="6"/>
      <c r="O46" s="6"/>
      <c r="P46" s="6"/>
      <c r="Q46" s="6"/>
    </row>
    <row r="47" spans="2:17" s="20" customFormat="1" x14ac:dyDescent="0.2">
      <c r="B47" s="17"/>
      <c r="C47" s="21"/>
      <c r="D47" s="21"/>
      <c r="E47" s="21"/>
      <c r="F47" s="21"/>
      <c r="G47" s="21"/>
      <c r="H47" s="21"/>
      <c r="I47" s="21"/>
      <c r="J47"/>
      <c r="K47" s="6"/>
      <c r="L47" s="6"/>
      <c r="M47" s="6"/>
      <c r="N47" s="6"/>
      <c r="O47" s="6"/>
      <c r="P47" s="6"/>
      <c r="Q47" s="6"/>
    </row>
    <row r="48" spans="2:17" x14ac:dyDescent="0.2">
      <c r="B48" s="17"/>
      <c r="C48" s="21"/>
      <c r="D48" s="21"/>
      <c r="E48" s="21"/>
      <c r="F48" s="21"/>
      <c r="G48" s="21"/>
      <c r="H48" s="21"/>
      <c r="I48" s="21"/>
    </row>
    <row r="49" spans="2:9" x14ac:dyDescent="0.2">
      <c r="B49" s="17"/>
      <c r="C49" s="21"/>
      <c r="D49" s="21"/>
      <c r="E49" s="21"/>
      <c r="F49" s="21"/>
      <c r="G49" s="21"/>
      <c r="H49" s="21"/>
      <c r="I49" s="21"/>
    </row>
    <row r="50" spans="2:9" x14ac:dyDescent="0.2">
      <c r="B50" s="17"/>
      <c r="C50" s="21"/>
      <c r="D50" s="21"/>
      <c r="E50" s="21"/>
      <c r="F50" s="21"/>
      <c r="G50" s="21"/>
      <c r="H50" s="21"/>
      <c r="I50" s="21"/>
    </row>
    <row r="51" spans="2:9" x14ac:dyDescent="0.2">
      <c r="B51" s="21"/>
      <c r="C51" s="21"/>
      <c r="D51" s="21"/>
      <c r="E51" s="21"/>
      <c r="F51" s="21"/>
      <c r="G51" s="21"/>
      <c r="H51" s="21"/>
      <c r="I51" s="21"/>
    </row>
    <row r="52" spans="2:9" x14ac:dyDescent="0.2">
      <c r="C52" s="21"/>
      <c r="D52" s="21"/>
    </row>
    <row r="53" spans="2:9" x14ac:dyDescent="0.2">
      <c r="F53" s="21"/>
      <c r="G53" s="21"/>
      <c r="H53" s="21"/>
      <c r="I53" s="21"/>
    </row>
    <row r="54" spans="2:9" x14ac:dyDescent="0.2">
      <c r="F54" s="21"/>
      <c r="G54" s="21"/>
      <c r="H54" s="21"/>
      <c r="I54" s="21"/>
    </row>
    <row r="55" spans="2:9" x14ac:dyDescent="0.2">
      <c r="F55" s="21"/>
      <c r="G55" s="21"/>
      <c r="H55" s="21"/>
      <c r="I55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6"/>
  <sheetViews>
    <sheetView view="pageBreakPreview" topLeftCell="F1" zoomScale="110" zoomScaleNormal="100" zoomScaleSheetLayoutView="110" workbookViewId="0">
      <selection activeCell="V17" sqref="V17"/>
    </sheetView>
  </sheetViews>
  <sheetFormatPr defaultRowHeight="12.75" customHeight="1" outlineLevelCol="1" x14ac:dyDescent="0.2"/>
  <cols>
    <col min="1" max="1" width="4.33203125" style="6" customWidth="1"/>
    <col min="2" max="2" width="5.83203125" style="6" customWidth="1"/>
    <col min="3" max="3" width="13.1640625" style="6" customWidth="1"/>
    <col min="4" max="4" width="16.33203125" style="6" customWidth="1"/>
    <col min="5" max="5" width="15" style="6" customWidth="1"/>
    <col min="6" max="6" width="11.83203125" style="6" customWidth="1"/>
    <col min="7" max="7" width="16.6640625" style="6" customWidth="1" outlineLevel="1"/>
    <col min="8" max="8" width="15.1640625" style="6" customWidth="1" outlineLevel="1"/>
    <col min="9" max="9" width="15.5" style="6" customWidth="1" outlineLevel="1"/>
    <col min="10" max="10" width="10.83203125" style="6" customWidth="1" outlineLevel="1"/>
    <col min="11" max="11" width="29.5" style="6" bestFit="1" customWidth="1"/>
    <col min="12" max="12" width="15.5" style="6" customWidth="1" outlineLevel="1"/>
    <col min="13" max="13" width="13.1640625" style="6" customWidth="1" outlineLevel="1"/>
    <col min="14" max="14" width="12.6640625" style="6" customWidth="1" outlineLevel="1"/>
    <col min="15" max="15" width="8.83203125" style="6"/>
    <col min="16" max="16" width="0" style="6" hidden="1" customWidth="1"/>
    <col min="17" max="17" width="0" style="10" hidden="1" customWidth="1"/>
    <col min="18" max="18" width="19.6640625" style="10" hidden="1" customWidth="1"/>
    <col min="19" max="19" width="23.33203125" style="10" hidden="1" customWidth="1"/>
    <col min="20" max="20" width="18.33203125" style="10" hidden="1" customWidth="1"/>
    <col min="21" max="21" width="22.1640625" style="64" hidden="1" customWidth="1"/>
    <col min="22" max="22" width="8.83203125" style="6"/>
    <col min="23" max="23" width="13.6640625" style="6" customWidth="1"/>
    <col min="24" max="35" width="8.83203125" style="6"/>
  </cols>
  <sheetData>
    <row r="1" spans="2:23" ht="13.5" thickBot="1" x14ac:dyDescent="0.25"/>
    <row r="2" spans="2:23" ht="15" thickTop="1" x14ac:dyDescent="0.2">
      <c r="B2" s="678"/>
      <c r="C2" s="672" t="s">
        <v>137</v>
      </c>
      <c r="D2" s="686"/>
      <c r="E2" s="686"/>
      <c r="F2" s="686"/>
      <c r="G2" s="686"/>
      <c r="H2" s="686"/>
      <c r="I2" s="686"/>
      <c r="J2" s="686"/>
      <c r="K2" s="337"/>
      <c r="L2" s="649" t="s">
        <v>138</v>
      </c>
      <c r="M2" s="684"/>
      <c r="N2" s="685"/>
    </row>
    <row r="3" spans="2:23" ht="28.5" x14ac:dyDescent="0.2">
      <c r="B3" s="679"/>
      <c r="C3" s="681" t="s">
        <v>139</v>
      </c>
      <c r="D3" s="683"/>
      <c r="E3" s="683"/>
      <c r="F3" s="683"/>
      <c r="G3" s="681" t="s">
        <v>140</v>
      </c>
      <c r="H3" s="681"/>
      <c r="I3" s="683"/>
      <c r="J3" s="683"/>
      <c r="K3" s="339" t="s">
        <v>141</v>
      </c>
      <c r="L3" s="338" t="s">
        <v>142</v>
      </c>
      <c r="M3" s="681" t="s">
        <v>143</v>
      </c>
      <c r="N3" s="682"/>
    </row>
    <row r="4" spans="2:23" ht="114.75" thickBot="1" x14ac:dyDescent="0.25">
      <c r="B4" s="680"/>
      <c r="C4" s="353" t="s">
        <v>144</v>
      </c>
      <c r="D4" s="353" t="s">
        <v>145</v>
      </c>
      <c r="E4" s="353" t="s">
        <v>146</v>
      </c>
      <c r="F4" s="353" t="s">
        <v>147</v>
      </c>
      <c r="G4" s="353" t="s">
        <v>148</v>
      </c>
      <c r="H4" s="353" t="s">
        <v>149</v>
      </c>
      <c r="I4" s="353" t="s">
        <v>150</v>
      </c>
      <c r="J4" s="353" t="s">
        <v>38</v>
      </c>
      <c r="K4" s="353" t="s">
        <v>151</v>
      </c>
      <c r="L4" s="353" t="s">
        <v>152</v>
      </c>
      <c r="M4" s="353" t="s">
        <v>153</v>
      </c>
      <c r="N4" s="354" t="s">
        <v>154</v>
      </c>
    </row>
    <row r="5" spans="2:23" ht="15" thickBot="1" x14ac:dyDescent="0.25">
      <c r="B5" s="350" t="s">
        <v>67</v>
      </c>
      <c r="C5" s="351" t="s">
        <v>68</v>
      </c>
      <c r="D5" s="351" t="s">
        <v>68</v>
      </c>
      <c r="E5" s="351" t="s">
        <v>68</v>
      </c>
      <c r="F5" s="351" t="s">
        <v>155</v>
      </c>
      <c r="G5" s="351" t="s">
        <v>68</v>
      </c>
      <c r="H5" s="351" t="s">
        <v>68</v>
      </c>
      <c r="I5" s="351" t="s">
        <v>68</v>
      </c>
      <c r="J5" s="351" t="s">
        <v>68</v>
      </c>
      <c r="K5" s="351" t="s">
        <v>68</v>
      </c>
      <c r="L5" s="351" t="s">
        <v>68</v>
      </c>
      <c r="M5" s="351" t="s">
        <v>68</v>
      </c>
      <c r="N5" s="352" t="s">
        <v>68</v>
      </c>
      <c r="O5" s="16"/>
    </row>
    <row r="6" spans="2:23" ht="15" thickTop="1" x14ac:dyDescent="0.2">
      <c r="B6" s="340">
        <v>1</v>
      </c>
      <c r="C6" s="341">
        <f>(('Table 4 Evaporation'!D33-'Table 4 Evaporation'!E33)+'Table 4 Evaporation'!E34)/(365*1440)</f>
        <v>3421.0232265696341</v>
      </c>
      <c r="D6" s="342">
        <f>SUM(G6:J6)</f>
        <v>819.68941260131282</v>
      </c>
      <c r="E6" s="342" t="s">
        <v>73</v>
      </c>
      <c r="F6" s="342" t="s">
        <v>73</v>
      </c>
      <c r="G6" s="343">
        <f>'Table 2 StormwaterGroundwater'!F9</f>
        <v>350</v>
      </c>
      <c r="H6" s="343">
        <f>'Table 2 StormwaterGroundwater'!G9+'Table 2 StormwaterGroundwater'!H9+'Table 2 StormwaterGroundwater'!I9+'Table 2 StormwaterGroundwater'!K9+'Table 2 StormwaterGroundwater'!M9+'Table 2 StormwaterGroundwater'!O9</f>
        <v>159.13406684788811</v>
      </c>
      <c r="I6" s="343">
        <f>SUM('Table 2 StormwaterGroundwater'!Q9,'Table 2 StormwaterGroundwater'!U9,'Table 2 StormwaterGroundwater'!W9,'Table 2 StormwaterGroundwater'!Y9,('Table 2 StormwaterGroundwater'!S9*(59/193)))</f>
        <v>101.58747969558598</v>
      </c>
      <c r="J6" s="343">
        <f>SUM('Table 2 StormwaterGroundwater'!AA9,'Table 2 StormwaterGroundwater'!AC9,'Table 2 StormwaterGroundwater'!AE9)</f>
        <v>208.96786605783865</v>
      </c>
      <c r="K6" s="342" t="s">
        <v>73</v>
      </c>
      <c r="L6" s="342">
        <f>('Table 4 Evaporation'!D37+'Table 4 Evaporation'!E38)/(365*1440)</f>
        <v>1836.7798016504989</v>
      </c>
      <c r="M6" s="343">
        <f>'Table 2 StormwaterGroundwater'!E9</f>
        <v>1410</v>
      </c>
      <c r="N6" s="344">
        <f>'Table 2 StormwaterGroundwater'!C9</f>
        <v>119.52760302036199</v>
      </c>
      <c r="Q6" s="73" t="s">
        <v>156</v>
      </c>
      <c r="R6" s="10">
        <f>97*60*16</f>
        <v>93120</v>
      </c>
      <c r="S6" s="10">
        <f>U11/R6</f>
        <v>8.6202618292864113</v>
      </c>
    </row>
    <row r="7" spans="2:23" ht="14.25" x14ac:dyDescent="0.2">
      <c r="B7" s="345">
        <f t="shared" ref="B7:B70" si="0">B6+1</f>
        <v>2</v>
      </c>
      <c r="C7" s="346">
        <f>('Table 4 Evaporation'!E33+'Table 4 Evaporation'!F34)/(365*1440)</f>
        <v>1480.4532783133561</v>
      </c>
      <c r="D7" s="159">
        <f>SUM(G7:J7)</f>
        <v>793.23778398639649</v>
      </c>
      <c r="E7" s="159" t="s">
        <v>73</v>
      </c>
      <c r="F7" s="159" t="s">
        <v>73</v>
      </c>
      <c r="G7" s="289">
        <f>'Table 2 StormwaterGroundwater'!F10</f>
        <v>350</v>
      </c>
      <c r="H7" s="289">
        <f>'Table 2 StormwaterGroundwater'!G10+'Table 2 StormwaterGroundwater'!H10+'Table 2 StormwaterGroundwater'!I10+'Table 2 StormwaterGroundwater'!K10+'Table 2 StormwaterGroundwater'!M10+'Table 2 StormwaterGroundwater'!O10</f>
        <v>159.13406684788811</v>
      </c>
      <c r="I7" s="289">
        <f>SUM('Table 2 StormwaterGroundwater'!Q10,'Table 2 StormwaterGroundwater'!U10,'Table 2 StormwaterGroundwater'!W10,'Table 2 StormwaterGroundwater'!Y10,('Table 2 StormwaterGroundwater'!S10*(59/193)))</f>
        <v>88.361665388127847</v>
      </c>
      <c r="J7" s="289">
        <f>SUM('Table 2 StormwaterGroundwater'!AA10,'Table 2 StormwaterGroundwater'!AC10,'Table 2 StormwaterGroundwater'!AE10)</f>
        <v>195.74205175038051</v>
      </c>
      <c r="K7" s="159" t="s">
        <v>73</v>
      </c>
      <c r="L7" s="159">
        <f>M7+N7</f>
        <v>1459.4189351322416</v>
      </c>
      <c r="M7" s="289">
        <f>'Table 2 StormwaterGroundwater'!E10</f>
        <v>1339.5</v>
      </c>
      <c r="N7" s="347">
        <f>'Table 2 StormwaterGroundwater'!C10</f>
        <v>119.91893513224164</v>
      </c>
      <c r="Q7" s="73" t="s">
        <v>157</v>
      </c>
      <c r="R7" s="10">
        <f>53*60*16</f>
        <v>50880</v>
      </c>
      <c r="S7" s="10">
        <f>U11/R7</f>
        <v>15.776705612090225</v>
      </c>
    </row>
    <row r="8" spans="2:23" ht="14.25" x14ac:dyDescent="0.2">
      <c r="B8" s="345">
        <f t="shared" si="0"/>
        <v>3</v>
      </c>
      <c r="C8" s="346">
        <f>('Table 4 Evaporation'!F33+'Table 4 Evaporation'!G34)/(365*1440)</f>
        <v>766.78615537148005</v>
      </c>
      <c r="D8" s="156">
        <f>SUM(G8:J8)</f>
        <v>766.78615537148016</v>
      </c>
      <c r="E8" s="159" t="s">
        <v>73</v>
      </c>
      <c r="F8" s="159" t="s">
        <v>73</v>
      </c>
      <c r="G8" s="289">
        <f>'Table 2 StormwaterGroundwater'!F11</f>
        <v>350</v>
      </c>
      <c r="H8" s="289">
        <f>'Table 2 StormwaterGroundwater'!G11+'Table 2 StormwaterGroundwater'!H11+'Table 2 StormwaterGroundwater'!I11+'Table 2 StormwaterGroundwater'!K11+'Table 2 StormwaterGroundwater'!M11+'Table 2 StormwaterGroundwater'!O11</f>
        <v>159.13406684788811</v>
      </c>
      <c r="I8" s="289">
        <f>SUM('Table 2 StormwaterGroundwater'!Q11,'Table 2 StormwaterGroundwater'!U11,'Table 2 StormwaterGroundwater'!W11,'Table 2 StormwaterGroundwater'!Y11,('Table 2 StormwaterGroundwater'!S11*(59/193)))</f>
        <v>88.361665388127847</v>
      </c>
      <c r="J8" s="289">
        <f>SUM('Table 2 StormwaterGroundwater'!AA11,'Table 2 StormwaterGroundwater'!AC11,'Table 2 StormwaterGroundwater'!AE11)</f>
        <v>169.29042313546421</v>
      </c>
      <c r="K8" s="159" t="s">
        <v>73</v>
      </c>
      <c r="L8" s="159">
        <f>M8+N8</f>
        <v>1392.9907929329622</v>
      </c>
      <c r="M8" s="289">
        <f>'Table 2 StormwaterGroundwater'!E11</f>
        <v>1272.5249999999999</v>
      </c>
      <c r="N8" s="347">
        <f>'Table 2 StormwaterGroundwater'!C11</f>
        <v>120.46579293296242</v>
      </c>
      <c r="O8" s="22"/>
      <c r="P8" s="22"/>
      <c r="R8" s="10">
        <v>74</v>
      </c>
    </row>
    <row r="9" spans="2:23" ht="14.25" x14ac:dyDescent="0.2">
      <c r="B9" s="345">
        <f t="shared" si="0"/>
        <v>4</v>
      </c>
      <c r="C9" s="346">
        <f>('Table 4 Evaporation'!G33+'Table 4 Evaporation'!H34)/(365*1440)</f>
        <v>740.33452675656383</v>
      </c>
      <c r="D9" s="156">
        <f>SUM(G9:J9)</f>
        <v>740.33452675656395</v>
      </c>
      <c r="E9" s="159" t="s">
        <v>73</v>
      </c>
      <c r="F9" s="159" t="s">
        <v>73</v>
      </c>
      <c r="G9" s="289">
        <f>'Table 2 StormwaterGroundwater'!F12</f>
        <v>350</v>
      </c>
      <c r="H9" s="289">
        <f>'Table 2 StormwaterGroundwater'!G12+'Table 2 StormwaterGroundwater'!H12+'Table 2 StormwaterGroundwater'!I12+'Table 2 StormwaterGroundwater'!K12+'Table 2 StormwaterGroundwater'!M12+'Table 2 StormwaterGroundwater'!O12</f>
        <v>159.13406684788811</v>
      </c>
      <c r="I9" s="289">
        <f>SUM('Table 2 StormwaterGroundwater'!Q12,'Table 2 StormwaterGroundwater'!U12,'Table 2 StormwaterGroundwater'!W12,'Table 2 StormwaterGroundwater'!Y12,('Table 2 StormwaterGroundwater'!S12*(59/193)))</f>
        <v>88.361665388127847</v>
      </c>
      <c r="J9" s="289">
        <f>SUM('Table 2 StormwaterGroundwater'!AA12,'Table 2 StormwaterGroundwater'!AC12,'Table 2 StormwaterGroundwater'!AE12)</f>
        <v>142.83879452054794</v>
      </c>
      <c r="K9" s="159" t="s">
        <v>73</v>
      </c>
      <c r="L9" s="159">
        <f t="shared" ref="L9:L10" si="1">M9+N9</f>
        <v>1325.3287892844887</v>
      </c>
      <c r="M9" s="289">
        <f>'Table 2 StormwaterGroundwater'!E12</f>
        <v>1208.8987499999998</v>
      </c>
      <c r="N9" s="347">
        <f>'Table 2 StormwaterGroundwater'!C12</f>
        <v>116.4300392844888</v>
      </c>
      <c r="O9" s="22"/>
      <c r="P9" s="22"/>
      <c r="R9" s="677" t="s">
        <v>158</v>
      </c>
      <c r="S9" s="677"/>
      <c r="T9" s="677"/>
    </row>
    <row r="10" spans="2:23" ht="14.25" x14ac:dyDescent="0.2">
      <c r="B10" s="345">
        <f t="shared" si="0"/>
        <v>5</v>
      </c>
      <c r="C10" s="346">
        <f>('Table 4 Evaporation'!H33+'Table 4 Evaporation'!I34)/(365*1440)</f>
        <v>713.8828981416475</v>
      </c>
      <c r="D10" s="156">
        <f>SUM(G10:J10)</f>
        <v>713.88289814164762</v>
      </c>
      <c r="E10" s="159" t="s">
        <v>73</v>
      </c>
      <c r="F10" s="159" t="s">
        <v>73</v>
      </c>
      <c r="G10" s="289">
        <f>'Table 2 StormwaterGroundwater'!F13</f>
        <v>350</v>
      </c>
      <c r="H10" s="289">
        <f>'Table 2 StormwaterGroundwater'!G13+'Table 2 StormwaterGroundwater'!H13+'Table 2 StormwaterGroundwater'!I13+'Table 2 StormwaterGroundwater'!K13+'Table 2 StormwaterGroundwater'!M13+'Table 2 StormwaterGroundwater'!O13</f>
        <v>159.13406684788811</v>
      </c>
      <c r="I10" s="289">
        <f>SUM('Table 2 StormwaterGroundwater'!Q13,'Table 2 StormwaterGroundwater'!U13,'Table 2 StormwaterGroundwater'!W13,'Table 2 StormwaterGroundwater'!Y13,('Table 2 StormwaterGroundwater'!S13*(59/193)))</f>
        <v>88.361665388127847</v>
      </c>
      <c r="J10" s="289">
        <f>SUM('Table 2 StormwaterGroundwater'!AA13,'Table 2 StormwaterGroundwater'!AC13,'Table 2 StormwaterGroundwater'!AE13)</f>
        <v>116.38716590563165</v>
      </c>
      <c r="K10" s="159" t="s">
        <v>73</v>
      </c>
      <c r="L10" s="159">
        <f t="shared" si="1"/>
        <v>1255.6460733829424</v>
      </c>
      <c r="M10" s="289">
        <f>'Table 2 StormwaterGroundwater'!E13</f>
        <v>1148.4538124999997</v>
      </c>
      <c r="N10" s="347">
        <f>'Table 2 StormwaterGroundwater'!C13</f>
        <v>107.19226088294275</v>
      </c>
      <c r="O10" s="22"/>
      <c r="P10" s="22"/>
      <c r="R10" s="10" t="s">
        <v>159</v>
      </c>
      <c r="S10" s="10" t="s">
        <v>160</v>
      </c>
      <c r="T10" s="10" t="s">
        <v>161</v>
      </c>
      <c r="U10" s="64" t="s">
        <v>162</v>
      </c>
    </row>
    <row r="11" spans="2:23" ht="15.75" x14ac:dyDescent="0.2">
      <c r="B11" s="345">
        <f t="shared" si="0"/>
        <v>6</v>
      </c>
      <c r="C11" s="159" t="s">
        <v>73</v>
      </c>
      <c r="D11" s="156" t="s">
        <v>73</v>
      </c>
      <c r="E11" s="159">
        <f>'Table 2 StormwaterGroundwater'!AM14+'Table 6 WTP Flow Balance'!H5+'Table 6 WTP Flow Balance'!$U$8</f>
        <v>557.44359829385462</v>
      </c>
      <c r="F11" s="159">
        <f>(E11*1440)/(74*60*16)</f>
        <v>11.299532397848404</v>
      </c>
      <c r="G11" s="289">
        <f>'Table 2 StormwaterGroundwater'!F14</f>
        <v>350</v>
      </c>
      <c r="H11" s="289">
        <f>'Table 2 StormwaterGroundwater'!G14+'Table 2 StormwaterGroundwater'!H14+'Table 2 StormwaterGroundwater'!I14+'Table 2 StormwaterGroundwater'!K14+'Table 2 StormwaterGroundwater'!M14+'Table 2 StormwaterGroundwater'!O14</f>
        <v>159.13406684788811</v>
      </c>
      <c r="I11" s="289">
        <f>SUM('Table 2 StormwaterGroundwater'!Q14,'Table 2 StormwaterGroundwater'!U14,'Table 2 StormwaterGroundwater'!W14,'Table 2 StormwaterGroundwater'!Y14,('Table 2 StormwaterGroundwater'!S14*(59/193)))</f>
        <v>88.361665388127847</v>
      </c>
      <c r="J11" s="289">
        <f>SUM('Table 2 StormwaterGroundwater'!AA14,'Table 2 StormwaterGroundwater'!AC14,'Table 2 StormwaterGroundwater'!AE14)</f>
        <v>89.935537290715359</v>
      </c>
      <c r="K11" s="159">
        <f>G11+M11+N11</f>
        <v>1539.3186909745264</v>
      </c>
      <c r="L11" s="289" t="s">
        <v>73</v>
      </c>
      <c r="M11" s="289">
        <f>'Table 2 StormwaterGroundwater'!E14</f>
        <v>1091.0311218749996</v>
      </c>
      <c r="N11" s="347">
        <f>'Table 2 StormwaterGroundwater'!C14</f>
        <v>98.287569099526721</v>
      </c>
      <c r="O11" s="22"/>
      <c r="P11" s="22"/>
      <c r="Q11" s="46"/>
      <c r="R11" s="66">
        <f t="shared" ref="R11:R42" si="2">$R$8*60*16</f>
        <v>71040</v>
      </c>
      <c r="S11" s="66">
        <f>T11*74</f>
        <v>836.16539744078193</v>
      </c>
      <c r="T11" s="46">
        <f t="shared" ref="T11:T42" si="3">U11/R11</f>
        <v>11.299532397848404</v>
      </c>
      <c r="U11" s="68">
        <f>E11*1440</f>
        <v>802718.78154315066</v>
      </c>
      <c r="W11" s="72"/>
    </row>
    <row r="12" spans="2:23" ht="14.25" x14ac:dyDescent="0.2">
      <c r="B12" s="345">
        <f t="shared" si="0"/>
        <v>7</v>
      </c>
      <c r="C12" s="159" t="s">
        <v>73</v>
      </c>
      <c r="D12" s="289" t="s">
        <v>73</v>
      </c>
      <c r="E12" s="159">
        <f>'Table 2 StormwaterGroundwater'!AM15+'Table 6 WTP Flow Balance'!H6+'Table 6 WTP Flow Balance'!$U$8</f>
        <v>532.20839459807848</v>
      </c>
      <c r="F12" s="159">
        <f t="shared" ref="F12:F75" si="4">(E12*1440)/(74*60*16)</f>
        <v>10.788007998609698</v>
      </c>
      <c r="G12" s="289">
        <f>'Table 2 StormwaterGroundwater'!F15</f>
        <v>350</v>
      </c>
      <c r="H12" s="289">
        <f>'Table 2 StormwaterGroundwater'!G15+'Table 2 StormwaterGroundwater'!H15+'Table 2 StormwaterGroundwater'!I15+'Table 2 StormwaterGroundwater'!K15+'Table 2 StormwaterGroundwater'!M15+'Table 2 StormwaterGroundwater'!O15</f>
        <v>159.13406684788811</v>
      </c>
      <c r="I12" s="289">
        <f>SUM('Table 2 StormwaterGroundwater'!Q15,'Table 2 StormwaterGroundwater'!U15,'Table 2 StormwaterGroundwater'!W15,'Table 2 StormwaterGroundwater'!Y15,('Table 2 StormwaterGroundwater'!S15*(59/193)))</f>
        <v>88.361665388127847</v>
      </c>
      <c r="J12" s="289">
        <f>SUM('Table 2 StormwaterGroundwater'!AA15,'Table 2 StormwaterGroundwater'!AC15,'Table 2 StormwaterGroundwater'!AE15)</f>
        <v>73.70033359493911</v>
      </c>
      <c r="K12" s="159">
        <f>G12+M12+N12</f>
        <v>1476.7267276072489</v>
      </c>
      <c r="L12" s="289" t="s">
        <v>73</v>
      </c>
      <c r="M12" s="289">
        <f>'Table 2 StormwaterGroundwater'!E15</f>
        <v>1036.4795657812497</v>
      </c>
      <c r="N12" s="347">
        <f>'Table 2 StormwaterGroundwater'!C15</f>
        <v>90.247161825999299</v>
      </c>
      <c r="Q12" s="46"/>
      <c r="R12" s="66">
        <f t="shared" si="2"/>
        <v>71040</v>
      </c>
      <c r="S12" s="66">
        <f t="shared" ref="S12:S75" si="5">T12*74</f>
        <v>798.31259189711773</v>
      </c>
      <c r="T12" s="46">
        <f t="shared" si="3"/>
        <v>10.788007998609698</v>
      </c>
      <c r="U12" s="68">
        <f t="shared" ref="U12:U75" si="6">E12*1440</f>
        <v>766380.08822123299</v>
      </c>
    </row>
    <row r="13" spans="2:23" ht="14.25" x14ac:dyDescent="0.2">
      <c r="B13" s="345">
        <f t="shared" si="0"/>
        <v>8</v>
      </c>
      <c r="C13" s="159" t="s">
        <v>73</v>
      </c>
      <c r="D13" s="289" t="s">
        <v>73</v>
      </c>
      <c r="E13" s="159">
        <f>'Table 2 StormwaterGroundwater'!AM16+'Table 6 WTP Flow Balance'!H7+'Table 6 WTP Flow Balance'!$U$8</f>
        <v>497.55676598316211</v>
      </c>
      <c r="F13" s="159">
        <f t="shared" si="4"/>
        <v>10.085610121280313</v>
      </c>
      <c r="G13" s="289">
        <f>'Table 2 StormwaterGroundwater'!F16</f>
        <v>350</v>
      </c>
      <c r="H13" s="289">
        <f>'Table 2 StormwaterGroundwater'!G16+'Table 2 StormwaterGroundwater'!H16+'Table 2 StormwaterGroundwater'!I16+'Table 2 StormwaterGroundwater'!K16+'Table 2 StormwaterGroundwater'!M16+'Table 2 StormwaterGroundwater'!O16</f>
        <v>159.13406684788811</v>
      </c>
      <c r="I13" s="289">
        <f>SUM('Table 2 StormwaterGroundwater'!Q16,'Table 2 StormwaterGroundwater'!U16,'Table 2 StormwaterGroundwater'!W16,'Table 2 StormwaterGroundwater'!Y16,('Table 2 StormwaterGroundwater'!S16*(59/193)))</f>
        <v>88.361665388127847</v>
      </c>
      <c r="J13" s="289">
        <f>SUM('Table 2 StormwaterGroundwater'!AA16,'Table 2 StormwaterGroundwater'!AC16,'Table 2 StormwaterGroundwater'!AE16)</f>
        <v>47.248704980022822</v>
      </c>
      <c r="K13" s="159">
        <f>G13+M13+N13</f>
        <v>1417.8596562981559</v>
      </c>
      <c r="L13" s="289" t="s">
        <v>73</v>
      </c>
      <c r="M13" s="289">
        <f>'Table 2 StormwaterGroundwater'!E16</f>
        <v>984.65558749218712</v>
      </c>
      <c r="N13" s="347">
        <f>'Table 2 StormwaterGroundwater'!C16</f>
        <v>83.204068805968689</v>
      </c>
      <c r="Q13" s="46"/>
      <c r="R13" s="66">
        <f t="shared" si="2"/>
        <v>71040</v>
      </c>
      <c r="S13" s="66">
        <f t="shared" si="5"/>
        <v>746.33514897474311</v>
      </c>
      <c r="T13" s="46">
        <f t="shared" si="3"/>
        <v>10.085610121280313</v>
      </c>
      <c r="U13" s="68">
        <f t="shared" si="6"/>
        <v>716481.74301575345</v>
      </c>
    </row>
    <row r="14" spans="2:23" ht="14.25" x14ac:dyDescent="0.2">
      <c r="B14" s="345">
        <f t="shared" si="0"/>
        <v>9</v>
      </c>
      <c r="C14" s="159" t="s">
        <v>73</v>
      </c>
      <c r="D14" s="289" t="s">
        <v>73</v>
      </c>
      <c r="E14" s="159">
        <f>'Table 2 StormwaterGroundwater'!AM17+'Table 6 WTP Flow Balance'!H8+'Table 6 WTP Flow Balance'!$U$8</f>
        <v>463.20513736824586</v>
      </c>
      <c r="F14" s="159">
        <f t="shared" si="4"/>
        <v>9.3892933250320105</v>
      </c>
      <c r="G14" s="289">
        <f>'Table 2 StormwaterGroundwater'!F17</f>
        <v>350</v>
      </c>
      <c r="H14" s="289">
        <f>'Table 2 StormwaterGroundwater'!G17+'Table 2 StormwaterGroundwater'!H17+'Table 2 StormwaterGroundwater'!I17+'Table 2 StormwaterGroundwater'!K17+'Table 2 StormwaterGroundwater'!M17+'Table 2 StormwaterGroundwater'!O17</f>
        <v>159.13406684788811</v>
      </c>
      <c r="I14" s="289">
        <f>SUM('Table 2 StormwaterGroundwater'!Q17,'Table 2 StormwaterGroundwater'!U17,'Table 2 StormwaterGroundwater'!W17,'Table 2 StormwaterGroundwater'!Y17,('Table 2 StormwaterGroundwater'!S17*(59/193)))</f>
        <v>88.361665388127847</v>
      </c>
      <c r="J14" s="289">
        <f>SUM('Table 2 StormwaterGroundwater'!AA17,'Table 2 StormwaterGroundwater'!AC17,'Table 2 StormwaterGroundwater'!AE17)</f>
        <v>20.797076365106541</v>
      </c>
      <c r="K14" s="159">
        <f t="shared" ref="K14:K75" si="7">G14+M14+N14</f>
        <v>1362.5542999277734</v>
      </c>
      <c r="L14" s="289" t="s">
        <v>73</v>
      </c>
      <c r="M14" s="289">
        <f>'Table 2 StormwaterGroundwater'!E17</f>
        <v>935.42280811757769</v>
      </c>
      <c r="N14" s="347">
        <f>'Table 2 StormwaterGroundwater'!C17</f>
        <v>77.131491810195655</v>
      </c>
      <c r="Q14" s="46"/>
      <c r="R14" s="66">
        <f t="shared" si="2"/>
        <v>71040</v>
      </c>
      <c r="S14" s="66">
        <f t="shared" si="5"/>
        <v>694.80770605236876</v>
      </c>
      <c r="T14" s="46">
        <f t="shared" si="3"/>
        <v>9.3892933250320105</v>
      </c>
      <c r="U14" s="68">
        <f t="shared" si="6"/>
        <v>667015.39781027404</v>
      </c>
    </row>
    <row r="15" spans="2:23" ht="14.25" x14ac:dyDescent="0.2">
      <c r="B15" s="345">
        <f t="shared" si="0"/>
        <v>10</v>
      </c>
      <c r="C15" s="159" t="s">
        <v>73</v>
      </c>
      <c r="D15" s="289" t="s">
        <v>73</v>
      </c>
      <c r="E15" s="159">
        <f>'Table 2 StormwaterGroundwater'!AM18+'Table 6 WTP Flow Balance'!H9+'Table 6 WTP Flow Balance'!$U$8</f>
        <v>441.06484377520928</v>
      </c>
      <c r="F15" s="159">
        <f t="shared" si="4"/>
        <v>8.9405035900380252</v>
      </c>
      <c r="G15" s="289">
        <f>'Table 2 StormwaterGroundwater'!F18</f>
        <v>350</v>
      </c>
      <c r="H15" s="289">
        <f>'Table 2 StormwaterGroundwater'!G18+'Table 2 StormwaterGroundwater'!H18+'Table 2 StormwaterGroundwater'!I18+'Table 2 StormwaterGroundwater'!K18+'Table 2 StormwaterGroundwater'!M18+'Table 2 StormwaterGroundwater'!O18</f>
        <v>159.13406684788811</v>
      </c>
      <c r="I15" s="289">
        <f>SUM('Table 2 StormwaterGroundwater'!Q18,'Table 2 StormwaterGroundwater'!U18,'Table 2 StormwaterGroundwater'!W18,'Table 2 StormwaterGroundwater'!Y18,('Table 2 StormwaterGroundwater'!S18*(59/193)))</f>
        <v>69.365056322298315</v>
      </c>
      <c r="J15" s="289">
        <f>SUM('Table 2 StormwaterGroundwater'!AA18,'Table 2 StormwaterGroundwater'!AC18,'Table 2 StormwaterGroundwater'!AE18)</f>
        <v>24.953391837899542</v>
      </c>
      <c r="K15" s="159">
        <f t="shared" si="7"/>
        <v>1310.5816990410913</v>
      </c>
      <c r="L15" s="289" t="s">
        <v>73</v>
      </c>
      <c r="M15" s="289">
        <f>'Table 2 StormwaterGroundwater'!E18</f>
        <v>888.65166771169879</v>
      </c>
      <c r="N15" s="347">
        <f>'Table 2 StormwaterGroundwater'!C18</f>
        <v>71.930031329392392</v>
      </c>
      <c r="Q15" s="46"/>
      <c r="R15" s="66">
        <f t="shared" si="2"/>
        <v>71040</v>
      </c>
      <c r="S15" s="66">
        <f t="shared" si="5"/>
        <v>661.59726566281381</v>
      </c>
      <c r="T15" s="46">
        <f t="shared" si="3"/>
        <v>8.9405035900380252</v>
      </c>
      <c r="U15" s="68">
        <f t="shared" si="6"/>
        <v>635133.37503630132</v>
      </c>
    </row>
    <row r="16" spans="2:23" ht="14.25" x14ac:dyDescent="0.2">
      <c r="B16" s="345">
        <f t="shared" si="0"/>
        <v>11</v>
      </c>
      <c r="C16" s="159" t="s">
        <v>73</v>
      </c>
      <c r="D16" s="289" t="s">
        <v>73</v>
      </c>
      <c r="E16" s="159">
        <f>'Table 2 StormwaterGroundwater'!AM19+'Table 6 WTP Flow Balance'!H10+'Table 6 WTP Flow Balance'!$U$8</f>
        <v>411.84158010891082</v>
      </c>
      <c r="F16" s="159">
        <f t="shared" si="4"/>
        <v>8.3481401373427868</v>
      </c>
      <c r="G16" s="289">
        <f>'Table 2 StormwaterGroundwater'!F19</f>
        <v>350</v>
      </c>
      <c r="H16" s="289">
        <f>'Table 2 StormwaterGroundwater'!G19+'Table 2 StormwaterGroundwater'!H19+'Table 2 StormwaterGroundwater'!I19+'Table 2 StormwaterGroundwater'!K19+'Table 2 StormwaterGroundwater'!M19+'Table 2 StormwaterGroundwater'!O19</f>
        <v>159.13406684788811</v>
      </c>
      <c r="I16" s="289">
        <f>SUM('Table 2 StormwaterGroundwater'!Q19,'Table 2 StormwaterGroundwater'!U19,'Table 2 StormwaterGroundwater'!W19,'Table 2 StormwaterGroundwater'!Y19,('Table 2 StormwaterGroundwater'!S19*(59/193)))</f>
        <v>47.141792655999858</v>
      </c>
      <c r="J16" s="289">
        <f>SUM('Table 2 StormwaterGroundwater'!AA19,'Table 2 StormwaterGroundwater'!AC19,'Table 2 StormwaterGroundwater'!AE19)</f>
        <v>24.953391837899542</v>
      </c>
      <c r="K16" s="159">
        <f t="shared" si="7"/>
        <v>1261.68729575677</v>
      </c>
      <c r="L16" s="289" t="s">
        <v>73</v>
      </c>
      <c r="M16" s="289">
        <f>'Table 2 StormwaterGroundwater'!E19</f>
        <v>844.21908432611383</v>
      </c>
      <c r="N16" s="347">
        <f>'Table 2 StormwaterGroundwater'!C19</f>
        <v>67.46821143065624</v>
      </c>
      <c r="Q16" s="46"/>
      <c r="R16" s="66">
        <f t="shared" si="2"/>
        <v>71040</v>
      </c>
      <c r="S16" s="66">
        <f t="shared" si="5"/>
        <v>617.7623701633662</v>
      </c>
      <c r="T16" s="46">
        <f t="shared" si="3"/>
        <v>8.3481401373427868</v>
      </c>
      <c r="U16" s="68">
        <f t="shared" si="6"/>
        <v>593051.87535683159</v>
      </c>
    </row>
    <row r="17" spans="2:21" ht="14.25" x14ac:dyDescent="0.2">
      <c r="B17" s="345">
        <f t="shared" si="0"/>
        <v>12</v>
      </c>
      <c r="C17" s="159" t="s">
        <v>73</v>
      </c>
      <c r="D17" s="289" t="s">
        <v>73</v>
      </c>
      <c r="E17" s="159">
        <f>'Table 2 StormwaterGroundwater'!AM20+'Table 6 WTP Flow Balance'!H11+'Table 6 WTP Flow Balance'!$U$8</f>
        <v>395.44621204623286</v>
      </c>
      <c r="F17" s="159">
        <f t="shared" si="4"/>
        <v>8.0158015955317481</v>
      </c>
      <c r="G17" s="289">
        <f>'Table 2 StormwaterGroundwater'!F20</f>
        <v>350</v>
      </c>
      <c r="H17" s="289">
        <f>'Table 2 StormwaterGroundwater'!G20+'Table 2 StormwaterGroundwater'!H20+'Table 2 StormwaterGroundwater'!I20+'Table 2 StormwaterGroundwater'!K20+'Table 2 StormwaterGroundwater'!M20+'Table 2 StormwaterGroundwater'!O20</f>
        <v>159.13406684788811</v>
      </c>
      <c r="I17" s="289">
        <f>SUM('Table 2 StormwaterGroundwater'!Q20,'Table 2 StormwaterGroundwater'!U20,'Table 2 StormwaterGroundwater'!W20,'Table 2 StormwaterGroundwater'!Y20,('Table 2 StormwaterGroundwater'!S20*(59/193)))</f>
        <v>37.246424593321912</v>
      </c>
      <c r="J17" s="289">
        <f>SUM('Table 2 StormwaterGroundwater'!AA20,'Table 2 StormwaterGroundwater'!AC20,'Table 2 StormwaterGroundwater'!AE20)</f>
        <v>24.953391837899542</v>
      </c>
      <c r="K17" s="159">
        <f t="shared" si="7"/>
        <v>1215.6321683312808</v>
      </c>
      <c r="L17" s="289" t="s">
        <v>73</v>
      </c>
      <c r="M17" s="289">
        <f>'Table 2 StormwaterGroundwater'!E20</f>
        <v>802.00813010980812</v>
      </c>
      <c r="N17" s="347">
        <f>'Table 2 StormwaterGroundwater'!C20</f>
        <v>63.624038221472823</v>
      </c>
      <c r="Q17" s="46"/>
      <c r="R17" s="66">
        <f t="shared" si="2"/>
        <v>71040</v>
      </c>
      <c r="S17" s="66">
        <f t="shared" si="5"/>
        <v>593.1693180693494</v>
      </c>
      <c r="T17" s="46">
        <f t="shared" si="3"/>
        <v>8.0158015955317481</v>
      </c>
      <c r="U17" s="68">
        <f t="shared" si="6"/>
        <v>569442.54534657532</v>
      </c>
    </row>
    <row r="18" spans="2:21" ht="14.25" x14ac:dyDescent="0.2">
      <c r="B18" s="345">
        <f t="shared" si="0"/>
        <v>13</v>
      </c>
      <c r="C18" s="159" t="s">
        <v>73</v>
      </c>
      <c r="D18" s="289" t="s">
        <v>73</v>
      </c>
      <c r="E18" s="159">
        <f>'Table 2 StormwaterGroundwater'!AM21+'Table 6 WTP Flow Balance'!H12+'Table 6 WTP Flow Balance'!$U$8</f>
        <v>362.89458343131656</v>
      </c>
      <c r="F18" s="159">
        <f t="shared" si="4"/>
        <v>7.3559712857699306</v>
      </c>
      <c r="G18" s="289">
        <f>'Table 2 StormwaterGroundwater'!F21</f>
        <v>350</v>
      </c>
      <c r="H18" s="289">
        <f>'Table 2 StormwaterGroundwater'!G21+'Table 2 StormwaterGroundwater'!H21+'Table 2 StormwaterGroundwater'!I21+'Table 2 StormwaterGroundwater'!K21+'Table 2 StormwaterGroundwater'!M21+'Table 2 StormwaterGroundwater'!O21</f>
        <v>159.13406684788811</v>
      </c>
      <c r="I18" s="289">
        <f>SUM('Table 2 StormwaterGroundwater'!Q21,'Table 2 StormwaterGroundwater'!U21,'Table 2 StormwaterGroundwater'!W21,'Table 2 StormwaterGroundwater'!Y21,('Table 2 StormwaterGroundwater'!S21*(59/193)))</f>
        <v>10.794795978405631</v>
      </c>
      <c r="J18" s="289">
        <f>SUM('Table 2 StormwaterGroundwater'!AA21,'Table 2 StormwaterGroundwater'!AC21,'Table 2 StormwaterGroundwater'!AE21)</f>
        <v>24.953391837899542</v>
      </c>
      <c r="K18" s="159">
        <f t="shared" si="7"/>
        <v>1172.2065802805305</v>
      </c>
      <c r="L18" s="289" t="s">
        <v>73</v>
      </c>
      <c r="M18" s="289">
        <f>'Table 2 StormwaterGroundwater'!E21</f>
        <v>761.90772360431765</v>
      </c>
      <c r="N18" s="347">
        <f>'Table 2 StormwaterGroundwater'!C21</f>
        <v>60.298856676212743</v>
      </c>
      <c r="Q18" s="46"/>
      <c r="R18" s="66">
        <f t="shared" si="2"/>
        <v>71040</v>
      </c>
      <c r="S18" s="66">
        <f t="shared" si="5"/>
        <v>544.34187514697487</v>
      </c>
      <c r="T18" s="46">
        <f t="shared" si="3"/>
        <v>7.3559712857699306</v>
      </c>
      <c r="U18" s="68">
        <f t="shared" si="6"/>
        <v>522568.20014109585</v>
      </c>
    </row>
    <row r="19" spans="2:21" ht="14.25" x14ac:dyDescent="0.2">
      <c r="B19" s="345">
        <f t="shared" si="0"/>
        <v>14</v>
      </c>
      <c r="C19" s="159" t="s">
        <v>73</v>
      </c>
      <c r="D19" s="289" t="s">
        <v>73</v>
      </c>
      <c r="E19" s="159">
        <f>'Table 2 StormwaterGroundwater'!AM22+'Table 6 WTP Flow Balance'!H13+'Table 6 WTP Flow Balance'!$U$8</f>
        <v>323.5184256349886</v>
      </c>
      <c r="F19" s="159">
        <f t="shared" si="4"/>
        <v>6.5578059250335521</v>
      </c>
      <c r="G19" s="289">
        <f>'Table 2 StormwaterGroundwater'!F22</f>
        <v>350</v>
      </c>
      <c r="H19" s="289">
        <f>'Table 2 StormwaterGroundwater'!G22+'Table 2 StormwaterGroundwater'!H22+'Table 2 StormwaterGroundwater'!I22+'Table 2 StormwaterGroundwater'!K22+'Table 2 StormwaterGroundwater'!M22+'Table 2 StormwaterGroundwater'!O22</f>
        <v>126.43205271594367</v>
      </c>
      <c r="I19" s="289">
        <f>SUM('Table 2 StormwaterGroundwater'!Q22,'Table 2 StormwaterGroundwater'!U22,'Table 2 StormwaterGroundwater'!W22,'Table 2 StormwaterGroundwater'!Y22,('Table 2 StormwaterGroundwater'!S22*(59/193)))</f>
        <v>9.9206523140220693</v>
      </c>
      <c r="J19" s="289">
        <f>SUM('Table 2 StormwaterGroundwater'!AA22,'Table 2 StormwaterGroundwater'!AC22,'Table 2 StormwaterGroundwater'!AE22)</f>
        <v>24.953391837899542</v>
      </c>
      <c r="K19" s="159">
        <f t="shared" si="7"/>
        <v>1131.2195846042907</v>
      </c>
      <c r="L19" s="289" t="s">
        <v>73</v>
      </c>
      <c r="M19" s="289">
        <f>'Table 2 StormwaterGroundwater'!E22</f>
        <v>723.81233742410177</v>
      </c>
      <c r="N19" s="347">
        <f>'Table 2 StormwaterGroundwater'!C22</f>
        <v>57.407247180188897</v>
      </c>
      <c r="Q19" s="46"/>
      <c r="R19" s="66">
        <f t="shared" si="2"/>
        <v>71040</v>
      </c>
      <c r="S19" s="66">
        <f t="shared" si="5"/>
        <v>485.27763845248285</v>
      </c>
      <c r="T19" s="46">
        <f t="shared" si="3"/>
        <v>6.5578059250335521</v>
      </c>
      <c r="U19" s="68">
        <f t="shared" si="6"/>
        <v>465866.53291438357</v>
      </c>
    </row>
    <row r="20" spans="2:21" ht="14.25" x14ac:dyDescent="0.2">
      <c r="B20" s="345">
        <f t="shared" si="0"/>
        <v>15</v>
      </c>
      <c r="C20" s="159" t="s">
        <v>73</v>
      </c>
      <c r="D20" s="289" t="s">
        <v>73</v>
      </c>
      <c r="E20" s="159">
        <f>'Table 2 StormwaterGroundwater'!AM23+'Table 6 WTP Flow Balance'!H14+'Table 6 WTP Flow Balance'!$U$8</f>
        <v>298.54134753377093</v>
      </c>
      <c r="F20" s="159">
        <f t="shared" si="4"/>
        <v>6.0515138013602208</v>
      </c>
      <c r="G20" s="289">
        <f>'Table 2 StormwaterGroundwater'!F23</f>
        <v>350</v>
      </c>
      <c r="H20" s="289">
        <f>'Table 2 StormwaterGroundwater'!G23+'Table 2 StormwaterGroundwater'!H23+'Table 2 StormwaterGroundwater'!I23+'Table 2 StormwaterGroundwater'!K23+'Table 2 StormwaterGroundwater'!M23+'Table 2 StormwaterGroundwater'!O23</f>
        <v>106.95497461472601</v>
      </c>
      <c r="I20" s="289">
        <f>SUM('Table 2 StormwaterGroundwater'!Q23,'Table 2 StormwaterGroundwater'!U23,'Table 2 StormwaterGroundwater'!W23,'Table 2 StormwaterGroundwater'!Y23,('Table 2 StormwaterGroundwater'!S23*(59/193)))</f>
        <v>9.9206523140220693</v>
      </c>
      <c r="J20" s="289">
        <f>SUM('Table 2 StormwaterGroundwater'!AA23,'Table 2 StormwaterGroundwater'!AC23,'Table 2 StormwaterGroundwater'!AE23)</f>
        <v>24.953391837899542</v>
      </c>
      <c r="K20" s="159">
        <f t="shared" si="7"/>
        <v>1092.4844898495692</v>
      </c>
      <c r="L20" s="289" t="s">
        <v>73</v>
      </c>
      <c r="M20" s="289">
        <f>'Table 2 StormwaterGroundwater'!E23</f>
        <v>687.6217205528967</v>
      </c>
      <c r="N20" s="347">
        <f>'Table 2 StormwaterGroundwater'!C23</f>
        <v>54.862769296672361</v>
      </c>
      <c r="Q20" s="46"/>
      <c r="R20" s="66">
        <f t="shared" si="2"/>
        <v>71040</v>
      </c>
      <c r="S20" s="66">
        <f t="shared" si="5"/>
        <v>447.81202130065634</v>
      </c>
      <c r="T20" s="46">
        <f t="shared" si="3"/>
        <v>6.0515138013602208</v>
      </c>
      <c r="U20" s="68">
        <f t="shared" si="6"/>
        <v>429899.54044863011</v>
      </c>
    </row>
    <row r="21" spans="2:21" ht="14.25" x14ac:dyDescent="0.2">
      <c r="B21" s="345">
        <f t="shared" si="0"/>
        <v>16</v>
      </c>
      <c r="C21" s="159" t="s">
        <v>73</v>
      </c>
      <c r="D21" s="289" t="s">
        <v>73</v>
      </c>
      <c r="E21" s="159">
        <f>'Table 2 StormwaterGroundwater'!AM24+'Table 6 WTP Flow Balance'!H15+'Table 6 WTP Flow Balance'!$U$8</f>
        <v>293.34134753377094</v>
      </c>
      <c r="F21" s="159">
        <f t="shared" si="4"/>
        <v>5.9461083959548162</v>
      </c>
      <c r="G21" s="289">
        <f>'Table 2 StormwaterGroundwater'!F24</f>
        <v>350</v>
      </c>
      <c r="H21" s="289">
        <f>'Table 2 StormwaterGroundwater'!G24+'Table 2 StormwaterGroundwater'!H24+'Table 2 StormwaterGroundwater'!I24+'Table 2 StormwaterGroundwater'!K24+'Table 2 StormwaterGroundwater'!M24+'Table 2 StormwaterGroundwater'!O24</f>
        <v>106.95497461472601</v>
      </c>
      <c r="I21" s="289">
        <f>SUM('Table 2 StormwaterGroundwater'!Q24,'Table 2 StormwaterGroundwater'!U24,'Table 2 StormwaterGroundwater'!W24,'Table 2 StormwaterGroundwater'!Y24,('Table 2 StormwaterGroundwater'!S24*(59/193)))</f>
        <v>9.9206523140220693</v>
      </c>
      <c r="J21" s="289">
        <f>SUM('Table 2 StormwaterGroundwater'!AA24,'Table 2 StormwaterGroundwater'!AC24,'Table 2 StormwaterGroundwater'!AE24)</f>
        <v>24.953391837899542</v>
      </c>
      <c r="K21" s="159">
        <f t="shared" si="7"/>
        <v>1055.8611618612799</v>
      </c>
      <c r="L21" s="289" t="s">
        <v>73</v>
      </c>
      <c r="M21" s="289">
        <f>'Table 2 StormwaterGroundwater'!E24</f>
        <v>653.24063452525183</v>
      </c>
      <c r="N21" s="347">
        <f>'Table 2 StormwaterGroundwater'!C24</f>
        <v>52.620527336028076</v>
      </c>
      <c r="Q21" s="46"/>
      <c r="R21" s="66">
        <f t="shared" si="2"/>
        <v>71040</v>
      </c>
      <c r="S21" s="66">
        <f t="shared" si="5"/>
        <v>440.01202130065639</v>
      </c>
      <c r="T21" s="46">
        <f t="shared" si="3"/>
        <v>5.9461083959548162</v>
      </c>
      <c r="U21" s="68">
        <f t="shared" si="6"/>
        <v>422411.54044863017</v>
      </c>
    </row>
    <row r="22" spans="2:21" ht="14.25" x14ac:dyDescent="0.2">
      <c r="B22" s="345">
        <f t="shared" si="0"/>
        <v>17</v>
      </c>
      <c r="C22" s="159" t="s">
        <v>73</v>
      </c>
      <c r="D22" s="289" t="s">
        <v>73</v>
      </c>
      <c r="E22" s="159">
        <f>'Table 2 StormwaterGroundwater'!AM25+'Table 6 WTP Flow Balance'!H16+'Table 6 WTP Flow Balance'!$U$8</f>
        <v>288.44134753377091</v>
      </c>
      <c r="F22" s="159">
        <f t="shared" si="4"/>
        <v>5.8467840716304913</v>
      </c>
      <c r="G22" s="289">
        <f>'Table 2 StormwaterGroundwater'!F25</f>
        <v>350</v>
      </c>
      <c r="H22" s="289">
        <f>'Table 2 StormwaterGroundwater'!G25+'Table 2 StormwaterGroundwater'!H25+'Table 2 StormwaterGroundwater'!I25+'Table 2 StormwaterGroundwater'!K25+'Table 2 StormwaterGroundwater'!M25+'Table 2 StormwaterGroundwater'!O25</f>
        <v>106.95497461472601</v>
      </c>
      <c r="I22" s="289">
        <f>SUM('Table 2 StormwaterGroundwater'!Q25,'Table 2 StormwaterGroundwater'!U25,'Table 2 StormwaterGroundwater'!W25,'Table 2 StormwaterGroundwater'!Y25,('Table 2 StormwaterGroundwater'!S25*(59/193)))</f>
        <v>9.9206523140220693</v>
      </c>
      <c r="J22" s="289">
        <f>SUM('Table 2 StormwaterGroundwater'!AA25,'Table 2 StormwaterGroundwater'!AC25,'Table 2 StormwaterGroundwater'!AE25)</f>
        <v>24.953391837899542</v>
      </c>
      <c r="K22" s="159">
        <f t="shared" si="7"/>
        <v>1021.1903175714306</v>
      </c>
      <c r="L22" s="289" t="s">
        <v>73</v>
      </c>
      <c r="M22" s="289">
        <f>'Table 2 StormwaterGroundwater'!E25</f>
        <v>620.57860279898921</v>
      </c>
      <c r="N22" s="347">
        <f>'Table 2 StormwaterGroundwater'!C25</f>
        <v>50.611714772441346</v>
      </c>
      <c r="Q22" s="46"/>
      <c r="R22" s="66">
        <f t="shared" si="2"/>
        <v>71040</v>
      </c>
      <c r="S22" s="66">
        <f t="shared" si="5"/>
        <v>432.66202130065636</v>
      </c>
      <c r="T22" s="46">
        <f t="shared" si="3"/>
        <v>5.8467840716304913</v>
      </c>
      <c r="U22" s="68">
        <f t="shared" si="6"/>
        <v>415355.54044863011</v>
      </c>
    </row>
    <row r="23" spans="2:21" ht="14.25" x14ac:dyDescent="0.2">
      <c r="B23" s="345">
        <f t="shared" si="0"/>
        <v>18</v>
      </c>
      <c r="C23" s="159" t="s">
        <v>73</v>
      </c>
      <c r="D23" s="289" t="s">
        <v>73</v>
      </c>
      <c r="E23" s="159">
        <f>'Table 2 StormwaterGroundwater'!AM26+'Table 6 WTP Flow Balance'!H17+'Table 6 WTP Flow Balance'!$U$8</f>
        <v>283.74134753377092</v>
      </c>
      <c r="F23" s="159">
        <f t="shared" si="4"/>
        <v>5.7515138013602209</v>
      </c>
      <c r="G23" s="289">
        <f>'Table 2 StormwaterGroundwater'!F26</f>
        <v>350</v>
      </c>
      <c r="H23" s="289">
        <f>'Table 2 StormwaterGroundwater'!G26+'Table 2 StormwaterGroundwater'!H26+'Table 2 StormwaterGroundwater'!I26+'Table 2 StormwaterGroundwater'!K26+'Table 2 StormwaterGroundwater'!M26+'Table 2 StormwaterGroundwater'!O26</f>
        <v>106.95497461472601</v>
      </c>
      <c r="I23" s="289">
        <f>SUM('Table 2 StormwaterGroundwater'!Q26,'Table 2 StormwaterGroundwater'!U26,'Table 2 StormwaterGroundwater'!W26,'Table 2 StormwaterGroundwater'!Y26,('Table 2 StormwaterGroundwater'!S26*(59/193)))</f>
        <v>9.9206523140220693</v>
      </c>
      <c r="J23" s="289">
        <f>SUM('Table 2 StormwaterGroundwater'!AA26,'Table 2 StormwaterGroundwater'!AC26,'Table 2 StormwaterGroundwater'!AE26)</f>
        <v>24.953391837899542</v>
      </c>
      <c r="K23" s="159">
        <f t="shared" si="7"/>
        <v>988.35115578256102</v>
      </c>
      <c r="L23" s="289" t="s">
        <v>73</v>
      </c>
      <c r="M23" s="289">
        <f>'Table 2 StormwaterGroundwater'!E26</f>
        <v>589.54967265903974</v>
      </c>
      <c r="N23" s="347">
        <f>'Table 2 StormwaterGroundwater'!C26</f>
        <v>48.80148312352123</v>
      </c>
      <c r="Q23" s="46"/>
      <c r="R23" s="66">
        <f t="shared" si="2"/>
        <v>71040</v>
      </c>
      <c r="S23" s="66">
        <f t="shared" si="5"/>
        <v>425.61202130065635</v>
      </c>
      <c r="T23" s="46">
        <f t="shared" si="3"/>
        <v>5.7515138013602209</v>
      </c>
      <c r="U23" s="68">
        <f t="shared" si="6"/>
        <v>408587.54044863011</v>
      </c>
    </row>
    <row r="24" spans="2:21" ht="14.25" x14ac:dyDescent="0.2">
      <c r="B24" s="345">
        <f t="shared" si="0"/>
        <v>19</v>
      </c>
      <c r="C24" s="159" t="s">
        <v>73</v>
      </c>
      <c r="D24" s="289" t="s">
        <v>73</v>
      </c>
      <c r="E24" s="159">
        <f>'Table 2 StormwaterGroundwater'!AM27+'Table 6 WTP Flow Balance'!H18+'Table 6 WTP Flow Balance'!$U$8</f>
        <v>279.34134753377094</v>
      </c>
      <c r="F24" s="159">
        <f t="shared" si="4"/>
        <v>5.6623246121710329</v>
      </c>
      <c r="G24" s="289">
        <f>'Table 2 StormwaterGroundwater'!F27</f>
        <v>350</v>
      </c>
      <c r="H24" s="289">
        <f>'Table 2 StormwaterGroundwater'!G27+'Table 2 StormwaterGroundwater'!H27+'Table 2 StormwaterGroundwater'!I27+'Table 2 StormwaterGroundwater'!K27+'Table 2 StormwaterGroundwater'!M27+'Table 2 StormwaterGroundwater'!O27</f>
        <v>106.95497461472601</v>
      </c>
      <c r="I24" s="289">
        <f>SUM('Table 2 StormwaterGroundwater'!Q27,'Table 2 StormwaterGroundwater'!U27,'Table 2 StormwaterGroundwater'!W27,'Table 2 StormwaterGroundwater'!Y27,('Table 2 StormwaterGroundwater'!S27*(59/193)))</f>
        <v>9.9206523140220693</v>
      </c>
      <c r="J24" s="289">
        <f>SUM('Table 2 StormwaterGroundwater'!AA27,'Table 2 StormwaterGroundwater'!AC27,'Table 2 StormwaterGroundwater'!AE27)</f>
        <v>24.953391837899542</v>
      </c>
      <c r="K24" s="159">
        <f t="shared" si="7"/>
        <v>957.22236126722464</v>
      </c>
      <c r="L24" s="289" t="s">
        <v>73</v>
      </c>
      <c r="M24" s="289">
        <f>'Table 2 StormwaterGroundwater'!E27</f>
        <v>560.0721890260877</v>
      </c>
      <c r="N24" s="347">
        <f>'Table 2 StormwaterGroundwater'!C27</f>
        <v>47.15017224113695</v>
      </c>
      <c r="Q24" s="46"/>
      <c r="R24" s="66">
        <f t="shared" si="2"/>
        <v>71040</v>
      </c>
      <c r="S24" s="66">
        <f t="shared" si="5"/>
        <v>419.01202130065644</v>
      </c>
      <c r="T24" s="46">
        <f t="shared" si="3"/>
        <v>5.6623246121710329</v>
      </c>
      <c r="U24" s="68">
        <f t="shared" si="6"/>
        <v>402251.54044863017</v>
      </c>
    </row>
    <row r="25" spans="2:21" ht="14.25" x14ac:dyDescent="0.2">
      <c r="B25" s="345">
        <f t="shared" si="0"/>
        <v>20</v>
      </c>
      <c r="C25" s="159" t="s">
        <v>73</v>
      </c>
      <c r="D25" s="289" t="s">
        <v>73</v>
      </c>
      <c r="E25" s="159">
        <f>'Table 2 StormwaterGroundwater'!AM28+'Table 6 WTP Flow Balance'!H19+'Table 6 WTP Flow Balance'!$U$8</f>
        <v>275.24134753377092</v>
      </c>
      <c r="F25" s="159">
        <f t="shared" si="4"/>
        <v>5.5792165040629236</v>
      </c>
      <c r="G25" s="289">
        <f>'Table 2 StormwaterGroundwater'!F28</f>
        <v>350</v>
      </c>
      <c r="H25" s="289">
        <f>'Table 2 StormwaterGroundwater'!G28+'Table 2 StormwaterGroundwater'!H28+'Table 2 StormwaterGroundwater'!I28+'Table 2 StormwaterGroundwater'!K28+'Table 2 StormwaterGroundwater'!M28+'Table 2 StormwaterGroundwater'!O28</f>
        <v>106.95497461472601</v>
      </c>
      <c r="I25" s="289">
        <f>SUM('Table 2 StormwaterGroundwater'!Q28,'Table 2 StormwaterGroundwater'!U28,'Table 2 StormwaterGroundwater'!W28,'Table 2 StormwaterGroundwater'!Y28,('Table 2 StormwaterGroundwater'!S28*(59/193)))</f>
        <v>9.9206523140220693</v>
      </c>
      <c r="J25" s="289">
        <f>SUM('Table 2 StormwaterGroundwater'!AA28,'Table 2 StormwaterGroundwater'!AC28,'Table 2 StormwaterGroundwater'!AE28)</f>
        <v>24.953391837899542</v>
      </c>
      <c r="K25" s="159">
        <f t="shared" si="7"/>
        <v>927.69352374064533</v>
      </c>
      <c r="L25" s="289" t="s">
        <v>73</v>
      </c>
      <c r="M25" s="289">
        <f>'Table 2 StormwaterGroundwater'!E28</f>
        <v>532.06857957478326</v>
      </c>
      <c r="N25" s="347">
        <f>'Table 2 StormwaterGroundwater'!C28</f>
        <v>45.624944165862132</v>
      </c>
      <c r="Q25" s="46"/>
      <c r="R25" s="66">
        <f t="shared" si="2"/>
        <v>71040</v>
      </c>
      <c r="S25" s="66">
        <f t="shared" si="5"/>
        <v>412.86202130065635</v>
      </c>
      <c r="T25" s="46">
        <f t="shared" si="3"/>
        <v>5.5792165040629236</v>
      </c>
      <c r="U25" s="68">
        <f t="shared" si="6"/>
        <v>396347.54044863011</v>
      </c>
    </row>
    <row r="26" spans="2:21" ht="14.25" x14ac:dyDescent="0.2">
      <c r="B26" s="345">
        <f t="shared" si="0"/>
        <v>21</v>
      </c>
      <c r="C26" s="159" t="s">
        <v>73</v>
      </c>
      <c r="D26" s="289" t="s">
        <v>73</v>
      </c>
      <c r="E26" s="159">
        <f>'Table 2 StormwaterGroundwater'!AM29+'Table 6 WTP Flow Balance'!H20+'Table 6 WTP Flow Balance'!$U$8</f>
        <v>273.94134753377091</v>
      </c>
      <c r="F26" s="159">
        <f t="shared" si="4"/>
        <v>5.5528651527115729</v>
      </c>
      <c r="G26" s="289">
        <f>'Table 2 StormwaterGroundwater'!F29</f>
        <v>350</v>
      </c>
      <c r="H26" s="289">
        <f>'Table 2 StormwaterGroundwater'!G29+'Table 2 StormwaterGroundwater'!H29+'Table 2 StormwaterGroundwater'!I29+'Table 2 StormwaterGroundwater'!K29+'Table 2 StormwaterGroundwater'!M29+'Table 2 StormwaterGroundwater'!O29</f>
        <v>106.95497461472601</v>
      </c>
      <c r="I26" s="289">
        <f>SUM('Table 2 StormwaterGroundwater'!Q29,'Table 2 StormwaterGroundwater'!U29,'Table 2 StormwaterGroundwater'!W29,'Table 2 StormwaterGroundwater'!Y29,('Table 2 StormwaterGroundwater'!S29*(59/193)))</f>
        <v>9.9206523140220693</v>
      </c>
      <c r="J26" s="289">
        <f>SUM('Table 2 StormwaterGroundwater'!AA29,'Table 2 StormwaterGroundwater'!AC29,'Table 2 StormwaterGroundwater'!AE29)</f>
        <v>24.953391837899542</v>
      </c>
      <c r="K26" s="159">
        <f t="shared" si="7"/>
        <v>919.20185752422867</v>
      </c>
      <c r="L26" s="289" t="s">
        <v>73</v>
      </c>
      <c r="M26" s="289">
        <f>'Table 2 StormwaterGroundwater'!E29</f>
        <v>525</v>
      </c>
      <c r="N26" s="347">
        <f>'Table 2 StormwaterGroundwater'!C29</f>
        <v>44.201857524228679</v>
      </c>
      <c r="Q26" s="46"/>
      <c r="R26" s="66">
        <f t="shared" si="2"/>
        <v>71040</v>
      </c>
      <c r="S26" s="66">
        <f t="shared" si="5"/>
        <v>410.91202130065642</v>
      </c>
      <c r="T26" s="46">
        <f t="shared" si="3"/>
        <v>5.5528651527115729</v>
      </c>
      <c r="U26" s="68">
        <f t="shared" si="6"/>
        <v>394475.54044863011</v>
      </c>
    </row>
    <row r="27" spans="2:21" ht="14.25" x14ac:dyDescent="0.2">
      <c r="B27" s="345">
        <f t="shared" si="0"/>
        <v>22</v>
      </c>
      <c r="C27" s="159" t="s">
        <v>73</v>
      </c>
      <c r="D27" s="289" t="s">
        <v>73</v>
      </c>
      <c r="E27" s="159">
        <f>'Table 2 StormwaterGroundwater'!AM30+'Table 6 WTP Flow Balance'!H21+'Table 6 WTP Flow Balance'!$U$8</f>
        <v>273.84134753377094</v>
      </c>
      <c r="F27" s="159">
        <f t="shared" si="4"/>
        <v>5.550838125684546</v>
      </c>
      <c r="G27" s="289">
        <f>'Table 2 StormwaterGroundwater'!F30</f>
        <v>350</v>
      </c>
      <c r="H27" s="289">
        <f>'Table 2 StormwaterGroundwater'!G30+'Table 2 StormwaterGroundwater'!H30+'Table 2 StormwaterGroundwater'!I30+'Table 2 StormwaterGroundwater'!K30+'Table 2 StormwaterGroundwater'!M30+'Table 2 StormwaterGroundwater'!O30</f>
        <v>106.95497461472601</v>
      </c>
      <c r="I27" s="289">
        <f>SUM('Table 2 StormwaterGroundwater'!Q30,'Table 2 StormwaterGroundwater'!U30,'Table 2 StormwaterGroundwater'!W30,'Table 2 StormwaterGroundwater'!Y30,('Table 2 StormwaterGroundwater'!S30*(59/193)))</f>
        <v>9.9206523140220693</v>
      </c>
      <c r="J27" s="289">
        <f>SUM('Table 2 StormwaterGroundwater'!AA30,'Table 2 StormwaterGroundwater'!AC30,'Table 2 StormwaterGroundwater'!AE30)</f>
        <v>24.953391837899542</v>
      </c>
      <c r="K27" s="159">
        <f t="shared" si="7"/>
        <v>917.8608901551861</v>
      </c>
      <c r="L27" s="289" t="s">
        <v>73</v>
      </c>
      <c r="M27" s="289">
        <f>'Table 2 StormwaterGroundwater'!E30</f>
        <v>525</v>
      </c>
      <c r="N27" s="347">
        <f>'Table 2 StormwaterGroundwater'!C30</f>
        <v>42.860890155186055</v>
      </c>
      <c r="Q27" s="46"/>
      <c r="R27" s="66">
        <f t="shared" si="2"/>
        <v>71040</v>
      </c>
      <c r="S27" s="66">
        <f t="shared" si="5"/>
        <v>410.76202130065639</v>
      </c>
      <c r="T27" s="46">
        <f t="shared" si="3"/>
        <v>5.550838125684546</v>
      </c>
      <c r="U27" s="68">
        <f t="shared" si="6"/>
        <v>394331.54044863017</v>
      </c>
    </row>
    <row r="28" spans="2:21" ht="14.25" x14ac:dyDescent="0.2">
      <c r="B28" s="345">
        <f t="shared" si="0"/>
        <v>23</v>
      </c>
      <c r="C28" s="159" t="s">
        <v>73</v>
      </c>
      <c r="D28" s="289" t="s">
        <v>73</v>
      </c>
      <c r="E28" s="159">
        <f>'Table 2 StormwaterGroundwater'!AM31+'Table 6 WTP Flow Balance'!H22+'Table 6 WTP Flow Balance'!$U$8</f>
        <v>273.6413475337709</v>
      </c>
      <c r="F28" s="159">
        <f t="shared" si="4"/>
        <v>5.5467840716304915</v>
      </c>
      <c r="G28" s="289">
        <f>'Table 2 StormwaterGroundwater'!F31</f>
        <v>350</v>
      </c>
      <c r="H28" s="289">
        <f>'Table 2 StormwaterGroundwater'!G31+'Table 2 StormwaterGroundwater'!H31+'Table 2 StormwaterGroundwater'!I31+'Table 2 StormwaterGroundwater'!K31+'Table 2 StormwaterGroundwater'!M31+'Table 2 StormwaterGroundwater'!O31</f>
        <v>106.95497461472601</v>
      </c>
      <c r="I28" s="289">
        <f>SUM('Table 2 StormwaterGroundwater'!Q31,'Table 2 StormwaterGroundwater'!U31,'Table 2 StormwaterGroundwater'!W31,'Table 2 StormwaterGroundwater'!Y31,('Table 2 StormwaterGroundwater'!S31*(59/193)))</f>
        <v>9.9206523140220693</v>
      </c>
      <c r="J28" s="289">
        <f>SUM('Table 2 StormwaterGroundwater'!AA31,'Table 2 StormwaterGroundwater'!AC31,'Table 2 StormwaterGroundwater'!AE31)</f>
        <v>24.953391837899542</v>
      </c>
      <c r="K28" s="159">
        <f t="shared" si="7"/>
        <v>916.58175182933701</v>
      </c>
      <c r="L28" s="289" t="s">
        <v>73</v>
      </c>
      <c r="M28" s="289">
        <f>'Table 2 StormwaterGroundwater'!E31</f>
        <v>525</v>
      </c>
      <c r="N28" s="347">
        <f>'Table 2 StormwaterGroundwater'!C31</f>
        <v>41.581751829336987</v>
      </c>
      <c r="Q28" s="46"/>
      <c r="R28" s="66">
        <f t="shared" si="2"/>
        <v>71040</v>
      </c>
      <c r="S28" s="66">
        <f t="shared" si="5"/>
        <v>410.46202130065637</v>
      </c>
      <c r="T28" s="46">
        <f t="shared" si="3"/>
        <v>5.5467840716304915</v>
      </c>
      <c r="U28" s="68">
        <f t="shared" si="6"/>
        <v>394043.54044863011</v>
      </c>
    </row>
    <row r="29" spans="2:21" ht="14.25" x14ac:dyDescent="0.2">
      <c r="B29" s="345">
        <f t="shared" si="0"/>
        <v>24</v>
      </c>
      <c r="C29" s="159" t="s">
        <v>73</v>
      </c>
      <c r="D29" s="289" t="s">
        <v>73</v>
      </c>
      <c r="E29" s="159">
        <f>'Table 2 StormwaterGroundwater'!AM32+'Table 6 WTP Flow Balance'!H23+'Table 6 WTP Flow Balance'!$U$8</f>
        <v>273.44134753377091</v>
      </c>
      <c r="F29" s="159">
        <f t="shared" si="4"/>
        <v>5.5427300175764378</v>
      </c>
      <c r="G29" s="289">
        <f>'Table 2 StormwaterGroundwater'!F32</f>
        <v>350</v>
      </c>
      <c r="H29" s="289">
        <f>'Table 2 StormwaterGroundwater'!G32+'Table 2 StormwaterGroundwater'!H32+'Table 2 StormwaterGroundwater'!I32+'Table 2 StormwaterGroundwater'!K32+'Table 2 StormwaterGroundwater'!M32+'Table 2 StormwaterGroundwater'!O32</f>
        <v>106.95497461472601</v>
      </c>
      <c r="I29" s="289">
        <f>SUM('Table 2 StormwaterGroundwater'!Q32,'Table 2 StormwaterGroundwater'!U32,'Table 2 StormwaterGroundwater'!W32,'Table 2 StormwaterGroundwater'!Y32,('Table 2 StormwaterGroundwater'!S32*(59/193)))</f>
        <v>9.9206523140220693</v>
      </c>
      <c r="J29" s="289">
        <f>SUM('Table 2 StormwaterGroundwater'!AA32,'Table 2 StormwaterGroundwater'!AC32,'Table 2 StormwaterGroundwater'!AE32)</f>
        <v>24.953391837899542</v>
      </c>
      <c r="K29" s="159">
        <f t="shared" si="7"/>
        <v>915.34790703973533</v>
      </c>
      <c r="L29" s="289" t="s">
        <v>73</v>
      </c>
      <c r="M29" s="289">
        <f>'Table 2 StormwaterGroundwater'!E32</f>
        <v>525</v>
      </c>
      <c r="N29" s="347">
        <f>'Table 2 StormwaterGroundwater'!C32</f>
        <v>40.34790703973534</v>
      </c>
      <c r="Q29" s="46"/>
      <c r="R29" s="66">
        <f t="shared" si="2"/>
        <v>71040</v>
      </c>
      <c r="S29" s="66">
        <f t="shared" si="5"/>
        <v>410.16202130065642</v>
      </c>
      <c r="T29" s="46">
        <f t="shared" si="3"/>
        <v>5.5427300175764378</v>
      </c>
      <c r="U29" s="68">
        <f t="shared" si="6"/>
        <v>393755.54044863011</v>
      </c>
    </row>
    <row r="30" spans="2:21" ht="14.25" x14ac:dyDescent="0.2">
      <c r="B30" s="345">
        <f t="shared" si="0"/>
        <v>25</v>
      </c>
      <c r="C30" s="159" t="s">
        <v>73</v>
      </c>
      <c r="D30" s="289" t="s">
        <v>73</v>
      </c>
      <c r="E30" s="159">
        <f>'Table 2 StormwaterGroundwater'!AM33+'Table 6 WTP Flow Balance'!H24+'Table 6 WTP Flow Balance'!$U$8</f>
        <v>273.24134753377092</v>
      </c>
      <c r="F30" s="159">
        <f t="shared" si="4"/>
        <v>5.5386759635223832</v>
      </c>
      <c r="G30" s="289">
        <f>'Table 2 StormwaterGroundwater'!F33</f>
        <v>350</v>
      </c>
      <c r="H30" s="289">
        <f>'Table 2 StormwaterGroundwater'!G33+'Table 2 StormwaterGroundwater'!H33+'Table 2 StormwaterGroundwater'!I33+'Table 2 StormwaterGroundwater'!K33+'Table 2 StormwaterGroundwater'!M33+'Table 2 StormwaterGroundwater'!O33</f>
        <v>106.95497461472601</v>
      </c>
      <c r="I30" s="289">
        <f>SUM('Table 2 StormwaterGroundwater'!Q33,'Table 2 StormwaterGroundwater'!U33,'Table 2 StormwaterGroundwater'!W33,'Table 2 StormwaterGroundwater'!Y33,('Table 2 StormwaterGroundwater'!S33*(59/193)))</f>
        <v>9.9206523140220693</v>
      </c>
      <c r="J30" s="289">
        <f>SUM('Table 2 StormwaterGroundwater'!AA33,'Table 2 StormwaterGroundwater'!AC33,'Table 2 StormwaterGroundwater'!AE33)</f>
        <v>24.953391837899542</v>
      </c>
      <c r="K30" s="159">
        <f t="shared" si="7"/>
        <v>914.14915675567386</v>
      </c>
      <c r="L30" s="289" t="s">
        <v>73</v>
      </c>
      <c r="M30" s="289">
        <f>'Table 2 StormwaterGroundwater'!E33</f>
        <v>525</v>
      </c>
      <c r="N30" s="347">
        <f>'Table 2 StormwaterGroundwater'!C33</f>
        <v>39.1491567556738</v>
      </c>
      <c r="Q30" s="46"/>
      <c r="R30" s="66">
        <f t="shared" si="2"/>
        <v>71040</v>
      </c>
      <c r="S30" s="66">
        <f t="shared" si="5"/>
        <v>409.86202130065635</v>
      </c>
      <c r="T30" s="46">
        <f t="shared" si="3"/>
        <v>5.5386759635223832</v>
      </c>
      <c r="U30" s="68">
        <f t="shared" si="6"/>
        <v>393467.54044863011</v>
      </c>
    </row>
    <row r="31" spans="2:21" ht="14.25" x14ac:dyDescent="0.2">
      <c r="B31" s="345">
        <f t="shared" si="0"/>
        <v>26</v>
      </c>
      <c r="C31" s="159" t="s">
        <v>73</v>
      </c>
      <c r="D31" s="289" t="s">
        <v>73</v>
      </c>
      <c r="E31" s="159">
        <f>'Table 2 StormwaterGroundwater'!AM34+'Table 6 WTP Flow Balance'!H25+'Table 6 WTP Flow Balance'!$U$8</f>
        <v>273.1413475337709</v>
      </c>
      <c r="F31" s="159">
        <f t="shared" si="4"/>
        <v>5.5366489364953564</v>
      </c>
      <c r="G31" s="289">
        <f>'Table 2 StormwaterGroundwater'!F34</f>
        <v>350</v>
      </c>
      <c r="H31" s="289">
        <f>'Table 2 StormwaterGroundwater'!G34+'Table 2 StormwaterGroundwater'!H34+'Table 2 StormwaterGroundwater'!I34+'Table 2 StormwaterGroundwater'!K34+'Table 2 StormwaterGroundwater'!M34+'Table 2 StormwaterGroundwater'!O34</f>
        <v>106.95497461472601</v>
      </c>
      <c r="I31" s="289">
        <f>SUM('Table 2 StormwaterGroundwater'!Q34,'Table 2 StormwaterGroundwater'!U34,'Table 2 StormwaterGroundwater'!W34,'Table 2 StormwaterGroundwater'!Y34,('Table 2 StormwaterGroundwater'!S34*(59/193)))</f>
        <v>9.9206523140220693</v>
      </c>
      <c r="J31" s="289">
        <f>SUM('Table 2 StormwaterGroundwater'!AA34,'Table 2 StormwaterGroundwater'!AC34,'Table 2 StormwaterGroundwater'!AE34)</f>
        <v>24.953391837899542</v>
      </c>
      <c r="K31" s="159">
        <f t="shared" si="7"/>
        <v>912.97799404255534</v>
      </c>
      <c r="L31" s="289" t="s">
        <v>73</v>
      </c>
      <c r="M31" s="289">
        <f>'Table 2 StormwaterGroundwater'!E34</f>
        <v>525</v>
      </c>
      <c r="N31" s="347">
        <f>'Table 2 StormwaterGroundwater'!C34</f>
        <v>37.977994042555295</v>
      </c>
      <c r="Q31" s="46"/>
      <c r="R31" s="66">
        <f t="shared" si="2"/>
        <v>71040</v>
      </c>
      <c r="S31" s="66">
        <f t="shared" si="5"/>
        <v>409.71202130065637</v>
      </c>
      <c r="T31" s="46">
        <f t="shared" si="3"/>
        <v>5.5366489364953564</v>
      </c>
      <c r="U31" s="68">
        <f t="shared" si="6"/>
        <v>393323.54044863011</v>
      </c>
    </row>
    <row r="32" spans="2:21" ht="14.25" x14ac:dyDescent="0.2">
      <c r="B32" s="345">
        <f t="shared" si="0"/>
        <v>27</v>
      </c>
      <c r="C32" s="159" t="s">
        <v>73</v>
      </c>
      <c r="D32" s="289" t="s">
        <v>73</v>
      </c>
      <c r="E32" s="159">
        <f>'Table 2 StormwaterGroundwater'!AM35+'Table 6 WTP Flow Balance'!H26+'Table 6 WTP Flow Balance'!$U$8</f>
        <v>272.94134753377091</v>
      </c>
      <c r="F32" s="159">
        <f t="shared" si="4"/>
        <v>5.5325948824413018</v>
      </c>
      <c r="G32" s="289">
        <f>'Table 2 StormwaterGroundwater'!F35</f>
        <v>350</v>
      </c>
      <c r="H32" s="289">
        <f>'Table 2 StormwaterGroundwater'!G35+'Table 2 StormwaterGroundwater'!H35+'Table 2 StormwaterGroundwater'!I35+'Table 2 StormwaterGroundwater'!K35+'Table 2 StormwaterGroundwater'!M35+'Table 2 StormwaterGroundwater'!O35</f>
        <v>106.95497461472601</v>
      </c>
      <c r="I32" s="289">
        <f>SUM('Table 2 StormwaterGroundwater'!Q35,'Table 2 StormwaterGroundwater'!U35,'Table 2 StormwaterGroundwater'!W35,'Table 2 StormwaterGroundwater'!Y35,('Table 2 StormwaterGroundwater'!S35*(59/193)))</f>
        <v>9.9206523140220693</v>
      </c>
      <c r="J32" s="289">
        <f>SUM('Table 2 StormwaterGroundwater'!AA35,'Table 2 StormwaterGroundwater'!AC35,'Table 2 StormwaterGroundwater'!AE35)</f>
        <v>24.953391837899542</v>
      </c>
      <c r="K32" s="159">
        <f t="shared" si="7"/>
        <v>911.82626169641242</v>
      </c>
      <c r="L32" s="289" t="s">
        <v>73</v>
      </c>
      <c r="M32" s="289">
        <f>'Table 2 StormwaterGroundwater'!E35</f>
        <v>525</v>
      </c>
      <c r="N32" s="347">
        <f>'Table 2 StormwaterGroundwater'!C35</f>
        <v>36.826261696412445</v>
      </c>
      <c r="R32" s="66">
        <f t="shared" si="2"/>
        <v>71040</v>
      </c>
      <c r="S32" s="66">
        <f t="shared" si="5"/>
        <v>409.41202130065631</v>
      </c>
      <c r="T32" s="46">
        <f t="shared" si="3"/>
        <v>5.5325948824413018</v>
      </c>
      <c r="U32" s="68">
        <f t="shared" si="6"/>
        <v>393035.54044863011</v>
      </c>
    </row>
    <row r="33" spans="2:23" ht="14.25" x14ac:dyDescent="0.2">
      <c r="B33" s="345">
        <f t="shared" si="0"/>
        <v>28</v>
      </c>
      <c r="C33" s="159" t="s">
        <v>73</v>
      </c>
      <c r="D33" s="289" t="s">
        <v>73</v>
      </c>
      <c r="E33" s="159">
        <f>'Table 2 StormwaterGroundwater'!AM36+'Table 6 WTP Flow Balance'!H27+'Table 6 WTP Flow Balance'!$U$8</f>
        <v>272.74134753377092</v>
      </c>
      <c r="F33" s="159">
        <f t="shared" si="4"/>
        <v>5.5285408283872481</v>
      </c>
      <c r="G33" s="289">
        <f>'Table 2 StormwaterGroundwater'!F36</f>
        <v>350</v>
      </c>
      <c r="H33" s="289">
        <f>'Table 2 StormwaterGroundwater'!G36+'Table 2 StormwaterGroundwater'!H36+'Table 2 StormwaterGroundwater'!I36+'Table 2 StormwaterGroundwater'!K36+'Table 2 StormwaterGroundwater'!M36+'Table 2 StormwaterGroundwater'!O36</f>
        <v>106.95497461472601</v>
      </c>
      <c r="I33" s="289">
        <f>SUM('Table 2 StormwaterGroundwater'!Q36,'Table 2 StormwaterGroundwater'!U36,'Table 2 StormwaterGroundwater'!W36,'Table 2 StormwaterGroundwater'!Y36,('Table 2 StormwaterGroundwater'!S36*(59/193)))</f>
        <v>9.9206523140220693</v>
      </c>
      <c r="J33" s="289">
        <f>SUM('Table 2 StormwaterGroundwater'!AA36,'Table 2 StormwaterGroundwater'!AC36,'Table 2 StormwaterGroundwater'!AE36)</f>
        <v>24.953391837899542</v>
      </c>
      <c r="K33" s="159">
        <f t="shared" si="7"/>
        <v>910.68832239232427</v>
      </c>
      <c r="L33" s="289" t="s">
        <v>73</v>
      </c>
      <c r="M33" s="289">
        <f>'Table 2 StormwaterGroundwater'!E36</f>
        <v>525</v>
      </c>
      <c r="N33" s="347">
        <f>'Table 2 StormwaterGroundwater'!C36</f>
        <v>35.688322392324245</v>
      </c>
      <c r="R33" s="66">
        <f t="shared" si="2"/>
        <v>71040</v>
      </c>
      <c r="S33" s="66">
        <f t="shared" si="5"/>
        <v>409.11202130065635</v>
      </c>
      <c r="T33" s="46">
        <f t="shared" si="3"/>
        <v>5.5285408283872481</v>
      </c>
      <c r="U33" s="68">
        <f t="shared" si="6"/>
        <v>392747.54044863011</v>
      </c>
    </row>
    <row r="34" spans="2:23" ht="14.25" x14ac:dyDescent="0.2">
      <c r="B34" s="345">
        <f t="shared" si="0"/>
        <v>29</v>
      </c>
      <c r="C34" s="159" t="s">
        <v>73</v>
      </c>
      <c r="D34" s="289" t="s">
        <v>73</v>
      </c>
      <c r="E34" s="159">
        <f>'Table 2 StormwaterGroundwater'!AM37+'Table 6 WTP Flow Balance'!H28+'Table 6 WTP Flow Balance'!$U$8</f>
        <v>272.6413475337709</v>
      </c>
      <c r="F34" s="159">
        <f t="shared" si="4"/>
        <v>5.5265138013602213</v>
      </c>
      <c r="G34" s="289">
        <f>'Table 2 StormwaterGroundwater'!F37</f>
        <v>350</v>
      </c>
      <c r="H34" s="289">
        <f>'Table 2 StormwaterGroundwater'!G37+'Table 2 StormwaterGroundwater'!H37+'Table 2 StormwaterGroundwater'!I37+'Table 2 StormwaterGroundwater'!K37+'Table 2 StormwaterGroundwater'!M37+'Table 2 StormwaterGroundwater'!O37</f>
        <v>106.95497461472601</v>
      </c>
      <c r="I34" s="289">
        <f>SUM('Table 2 StormwaterGroundwater'!Q37,'Table 2 StormwaterGroundwater'!U37,'Table 2 StormwaterGroundwater'!W37,'Table 2 StormwaterGroundwater'!Y37,('Table 2 StormwaterGroundwater'!S37*(59/193)))</f>
        <v>9.9206523140220693</v>
      </c>
      <c r="J34" s="289">
        <f>SUM('Table 2 StormwaterGroundwater'!AA37,'Table 2 StormwaterGroundwater'!AC37,'Table 2 StormwaterGroundwater'!AE37)</f>
        <v>24.953391837899542</v>
      </c>
      <c r="K34" s="159">
        <f t="shared" si="7"/>
        <v>909.56393845868558</v>
      </c>
      <c r="L34" s="289" t="s">
        <v>73</v>
      </c>
      <c r="M34" s="289">
        <f>'Table 2 StormwaterGroundwater'!E37</f>
        <v>525</v>
      </c>
      <c r="N34" s="347">
        <f>'Table 2 StormwaterGroundwater'!C37</f>
        <v>34.563938458685627</v>
      </c>
      <c r="R34" s="66">
        <f t="shared" si="2"/>
        <v>71040</v>
      </c>
      <c r="S34" s="66">
        <f t="shared" si="5"/>
        <v>408.96202130065637</v>
      </c>
      <c r="T34" s="46">
        <f t="shared" si="3"/>
        <v>5.5265138013602213</v>
      </c>
      <c r="U34" s="68">
        <f t="shared" si="6"/>
        <v>392603.54044863011</v>
      </c>
    </row>
    <row r="35" spans="2:23" ht="14.25" x14ac:dyDescent="0.2">
      <c r="B35" s="345">
        <f t="shared" si="0"/>
        <v>30</v>
      </c>
      <c r="C35" s="159" t="s">
        <v>73</v>
      </c>
      <c r="D35" s="289" t="s">
        <v>73</v>
      </c>
      <c r="E35" s="159">
        <f>'Table 2 StormwaterGroundwater'!AM38+'Table 6 WTP Flow Balance'!H29+'Table 6 WTP Flow Balance'!$U$8</f>
        <v>272.44134753377091</v>
      </c>
      <c r="F35" s="159">
        <f t="shared" si="4"/>
        <v>5.5224597473061667</v>
      </c>
      <c r="G35" s="289">
        <f>'Table 2 StormwaterGroundwater'!F38</f>
        <v>350</v>
      </c>
      <c r="H35" s="289">
        <f>'Table 2 StormwaterGroundwater'!G38+'Table 2 StormwaterGroundwater'!H38+'Table 2 StormwaterGroundwater'!I38+'Table 2 StormwaterGroundwater'!K38+'Table 2 StormwaterGroundwater'!M38+'Table 2 StormwaterGroundwater'!O38</f>
        <v>106.95497461472601</v>
      </c>
      <c r="I35" s="289">
        <f>SUM('Table 2 StormwaterGroundwater'!Q38,'Table 2 StormwaterGroundwater'!U38,'Table 2 StormwaterGroundwater'!W38,'Table 2 StormwaterGroundwater'!Y38,('Table 2 StormwaterGroundwater'!S38*(59/193)))</f>
        <v>9.9206523140220693</v>
      </c>
      <c r="J35" s="289">
        <f>SUM('Table 2 StormwaterGroundwater'!AA38,'Table 2 StormwaterGroundwater'!AC38,'Table 2 StormwaterGroundwater'!AE38)</f>
        <v>24.953391837899542</v>
      </c>
      <c r="K35" s="159">
        <f t="shared" si="7"/>
        <v>908.45490843342429</v>
      </c>
      <c r="L35" s="289" t="s">
        <v>73</v>
      </c>
      <c r="M35" s="289">
        <f>'Table 2 StormwaterGroundwater'!E38</f>
        <v>525</v>
      </c>
      <c r="N35" s="347">
        <f>'Table 2 StormwaterGroundwater'!C38</f>
        <v>33.454908433424336</v>
      </c>
      <c r="R35" s="66">
        <f t="shared" si="2"/>
        <v>71040</v>
      </c>
      <c r="S35" s="66">
        <f t="shared" si="5"/>
        <v>408.66202130065636</v>
      </c>
      <c r="T35" s="46">
        <f t="shared" si="3"/>
        <v>5.5224597473061667</v>
      </c>
      <c r="U35" s="68">
        <f t="shared" si="6"/>
        <v>392315.54044863011</v>
      </c>
    </row>
    <row r="36" spans="2:23" ht="14.25" x14ac:dyDescent="0.2">
      <c r="B36" s="345">
        <f t="shared" si="0"/>
        <v>31</v>
      </c>
      <c r="C36" s="159" t="s">
        <v>73</v>
      </c>
      <c r="D36" s="289" t="s">
        <v>73</v>
      </c>
      <c r="E36" s="159">
        <f>'Table 2 StormwaterGroundwater'!AM39+'Table 6 WTP Flow Balance'!H30+'Table 6 WTP Flow Balance'!$U$8</f>
        <v>272.34134753377094</v>
      </c>
      <c r="F36" s="159">
        <f t="shared" si="4"/>
        <v>5.5204327202791408</v>
      </c>
      <c r="G36" s="289">
        <f>'Table 2 StormwaterGroundwater'!F39</f>
        <v>350</v>
      </c>
      <c r="H36" s="289">
        <f>'Table 2 StormwaterGroundwater'!G39+'Table 2 StormwaterGroundwater'!H39+'Table 2 StormwaterGroundwater'!I39+'Table 2 StormwaterGroundwater'!K39+'Table 2 StormwaterGroundwater'!M39+'Table 2 StormwaterGroundwater'!O39</f>
        <v>106.95497461472601</v>
      </c>
      <c r="I36" s="289">
        <f>SUM('Table 2 StormwaterGroundwater'!Q39,'Table 2 StormwaterGroundwater'!U39,'Table 2 StormwaterGroundwater'!W39,'Table 2 StormwaterGroundwater'!Y39,('Table 2 StormwaterGroundwater'!S39*(59/193)))</f>
        <v>9.9206523140220693</v>
      </c>
      <c r="J36" s="289">
        <f>SUM('Table 2 StormwaterGroundwater'!AA39,'Table 2 StormwaterGroundwater'!AC39,'Table 2 StormwaterGroundwater'!AE39)</f>
        <v>24.953391837899542</v>
      </c>
      <c r="K36" s="159">
        <f t="shared" si="7"/>
        <v>907.36169612090362</v>
      </c>
      <c r="L36" s="289" t="s">
        <v>73</v>
      </c>
      <c r="M36" s="289">
        <f>'Table 2 StormwaterGroundwater'!E39</f>
        <v>525</v>
      </c>
      <c r="N36" s="347">
        <f>'Table 2 StormwaterGroundwater'!C39</f>
        <v>32.361696120903567</v>
      </c>
      <c r="R36" s="66">
        <f t="shared" si="2"/>
        <v>71040</v>
      </c>
      <c r="S36" s="66">
        <f t="shared" si="5"/>
        <v>408.51202130065644</v>
      </c>
      <c r="T36" s="46">
        <f t="shared" si="3"/>
        <v>5.5204327202791408</v>
      </c>
      <c r="U36" s="68">
        <f t="shared" si="6"/>
        <v>392171.54044863017</v>
      </c>
    </row>
    <row r="37" spans="2:23" ht="14.25" x14ac:dyDescent="0.2">
      <c r="B37" s="345">
        <f t="shared" si="0"/>
        <v>32</v>
      </c>
      <c r="C37" s="159" t="s">
        <v>73</v>
      </c>
      <c r="D37" s="289" t="s">
        <v>73</v>
      </c>
      <c r="E37" s="159">
        <f>'Table 2 StormwaterGroundwater'!AM40+'Table 6 WTP Flow Balance'!H31+'Table 6 WTP Flow Balance'!$U$8</f>
        <v>272.1413475337709</v>
      </c>
      <c r="F37" s="159">
        <f t="shared" si="4"/>
        <v>5.5163786662250862</v>
      </c>
      <c r="G37" s="289">
        <f>'Table 2 StormwaterGroundwater'!F40</f>
        <v>350</v>
      </c>
      <c r="H37" s="289">
        <f>'Table 2 StormwaterGroundwater'!G40+'Table 2 StormwaterGroundwater'!H40+'Table 2 StormwaterGroundwater'!I40+'Table 2 StormwaterGroundwater'!K40+'Table 2 StormwaterGroundwater'!M40+'Table 2 StormwaterGroundwater'!O40</f>
        <v>106.95497461472601</v>
      </c>
      <c r="I37" s="289">
        <f>SUM('Table 2 StormwaterGroundwater'!Q40,'Table 2 StormwaterGroundwater'!U40,'Table 2 StormwaterGroundwater'!W40,'Table 2 StormwaterGroundwater'!Y40,('Table 2 StormwaterGroundwater'!S40*(59/193)))</f>
        <v>9.9206523140220693</v>
      </c>
      <c r="J37" s="289">
        <f>SUM('Table 2 StormwaterGroundwater'!AA40,'Table 2 StormwaterGroundwater'!AC40,'Table 2 StormwaterGroundwater'!AE40)</f>
        <v>24.953391837899542</v>
      </c>
      <c r="K37" s="159">
        <f t="shared" si="7"/>
        <v>906.2863227246969</v>
      </c>
      <c r="L37" s="289" t="s">
        <v>73</v>
      </c>
      <c r="M37" s="289">
        <f>'Table 2 StormwaterGroundwater'!E40</f>
        <v>525</v>
      </c>
      <c r="N37" s="347">
        <f>'Table 2 StormwaterGroundwater'!C40</f>
        <v>31.286322724696909</v>
      </c>
      <c r="R37" s="66">
        <f t="shared" si="2"/>
        <v>71040</v>
      </c>
      <c r="S37" s="66">
        <f t="shared" si="5"/>
        <v>408.21202130065637</v>
      </c>
      <c r="T37" s="46">
        <f t="shared" si="3"/>
        <v>5.5163786662250862</v>
      </c>
      <c r="U37" s="68">
        <f t="shared" si="6"/>
        <v>391883.54044863011</v>
      </c>
      <c r="W37" s="22" t="e">
        <f>SUM(#REF!)</f>
        <v>#REF!</v>
      </c>
    </row>
    <row r="38" spans="2:23" ht="14.25" x14ac:dyDescent="0.2">
      <c r="B38" s="345">
        <f t="shared" si="0"/>
        <v>33</v>
      </c>
      <c r="C38" s="159" t="s">
        <v>73</v>
      </c>
      <c r="D38" s="289" t="s">
        <v>73</v>
      </c>
      <c r="E38" s="159">
        <f>'Table 2 StormwaterGroundwater'!AM41+'Table 6 WTP Flow Balance'!H32+'Table 6 WTP Flow Balance'!$U$8</f>
        <v>272.04134753377093</v>
      </c>
      <c r="F38" s="159">
        <f t="shared" si="4"/>
        <v>5.5143516391980594</v>
      </c>
      <c r="G38" s="289">
        <f>'Table 2 StormwaterGroundwater'!F41</f>
        <v>350</v>
      </c>
      <c r="H38" s="289">
        <f>'Table 2 StormwaterGroundwater'!G41+'Table 2 StormwaterGroundwater'!H41+'Table 2 StormwaterGroundwater'!I41+'Table 2 StormwaterGroundwater'!K41+'Table 2 StormwaterGroundwater'!M41+'Table 2 StormwaterGroundwater'!O41</f>
        <v>106.95497461472601</v>
      </c>
      <c r="I38" s="289">
        <f>SUM('Table 2 StormwaterGroundwater'!Q41,'Table 2 StormwaterGroundwater'!U41,'Table 2 StormwaterGroundwater'!W41,'Table 2 StormwaterGroundwater'!Y41,('Table 2 StormwaterGroundwater'!S41*(59/193)))</f>
        <v>9.9206523140220693</v>
      </c>
      <c r="J38" s="289">
        <f>SUM('Table 2 StormwaterGroundwater'!AA41,'Table 2 StormwaterGroundwater'!AC41,'Table 2 StormwaterGroundwater'!AE41)</f>
        <v>24.953391837899542</v>
      </c>
      <c r="K38" s="159">
        <f t="shared" si="7"/>
        <v>905.23502184539916</v>
      </c>
      <c r="L38" s="289" t="s">
        <v>73</v>
      </c>
      <c r="M38" s="289">
        <f>'Table 2 StormwaterGroundwater'!E41</f>
        <v>525</v>
      </c>
      <c r="N38" s="347">
        <f>'Table 2 StormwaterGroundwater'!C41</f>
        <v>30.235021845399174</v>
      </c>
      <c r="R38" s="66">
        <f t="shared" si="2"/>
        <v>71040</v>
      </c>
      <c r="S38" s="66">
        <f t="shared" si="5"/>
        <v>408.0620213006564</v>
      </c>
      <c r="T38" s="46">
        <f t="shared" si="3"/>
        <v>5.5143516391980594</v>
      </c>
      <c r="U38" s="68">
        <f t="shared" si="6"/>
        <v>391739.54044863011</v>
      </c>
      <c r="W38" s="22" t="e">
        <f>W37*1440*365</f>
        <v>#REF!</v>
      </c>
    </row>
    <row r="39" spans="2:23" ht="14.25" x14ac:dyDescent="0.2">
      <c r="B39" s="345">
        <f t="shared" si="0"/>
        <v>34</v>
      </c>
      <c r="C39" s="159" t="s">
        <v>73</v>
      </c>
      <c r="D39" s="289" t="s">
        <v>73</v>
      </c>
      <c r="E39" s="159">
        <f>'Table 2 StormwaterGroundwater'!AM42+'Table 6 WTP Flow Balance'!H33+'Table 6 WTP Flow Balance'!$U$8</f>
        <v>271.84134753377094</v>
      </c>
      <c r="F39" s="159">
        <f t="shared" si="4"/>
        <v>5.5102975851440057</v>
      </c>
      <c r="G39" s="289">
        <f>'Table 2 StormwaterGroundwater'!F42</f>
        <v>350</v>
      </c>
      <c r="H39" s="289">
        <f>'Table 2 StormwaterGroundwater'!G42+'Table 2 StormwaterGroundwater'!H42+'Table 2 StormwaterGroundwater'!I42+'Table 2 StormwaterGroundwater'!K42+'Table 2 StormwaterGroundwater'!M42+'Table 2 StormwaterGroundwater'!O42</f>
        <v>106.95497461472601</v>
      </c>
      <c r="I39" s="289">
        <f>SUM('Table 2 StormwaterGroundwater'!Q42,'Table 2 StormwaterGroundwater'!U42,'Table 2 StormwaterGroundwater'!W42,'Table 2 StormwaterGroundwater'!Y42,('Table 2 StormwaterGroundwater'!S42*(59/193)))</f>
        <v>9.9206523140220693</v>
      </c>
      <c r="J39" s="289">
        <f>SUM('Table 2 StormwaterGroundwater'!AA42,'Table 2 StormwaterGroundwater'!AC42,'Table 2 StormwaterGroundwater'!AE42)</f>
        <v>24.953391837899542</v>
      </c>
      <c r="K39" s="159">
        <f t="shared" si="7"/>
        <v>904.21477854613067</v>
      </c>
      <c r="L39" s="289" t="s">
        <v>73</v>
      </c>
      <c r="M39" s="289">
        <f>'Table 2 StormwaterGroundwater'!E42</f>
        <v>525</v>
      </c>
      <c r="N39" s="347">
        <f>'Table 2 StormwaterGroundwater'!C42</f>
        <v>29.214778546130646</v>
      </c>
      <c r="R39" s="66">
        <f t="shared" si="2"/>
        <v>71040</v>
      </c>
      <c r="S39" s="66">
        <f t="shared" si="5"/>
        <v>407.76202130065644</v>
      </c>
      <c r="T39" s="46">
        <f t="shared" si="3"/>
        <v>5.5102975851440057</v>
      </c>
      <c r="U39" s="68">
        <f t="shared" si="6"/>
        <v>391451.54044863017</v>
      </c>
    </row>
    <row r="40" spans="2:23" ht="14.25" x14ac:dyDescent="0.2">
      <c r="B40" s="345">
        <f t="shared" si="0"/>
        <v>35</v>
      </c>
      <c r="C40" s="159" t="s">
        <v>73</v>
      </c>
      <c r="D40" s="289" t="s">
        <v>73</v>
      </c>
      <c r="E40" s="159">
        <f>'Table 2 StormwaterGroundwater'!AM43+'Table 6 WTP Flow Balance'!H34+'Table 6 WTP Flow Balance'!$U$8</f>
        <v>271.74134753377092</v>
      </c>
      <c r="F40" s="159">
        <f t="shared" si="4"/>
        <v>5.508270558116978</v>
      </c>
      <c r="G40" s="289">
        <f>'Table 2 StormwaterGroundwater'!F43</f>
        <v>350</v>
      </c>
      <c r="H40" s="289">
        <f>'Table 2 StormwaterGroundwater'!G43+'Table 2 StormwaterGroundwater'!H43+'Table 2 StormwaterGroundwater'!I43+'Table 2 StormwaterGroundwater'!K43+'Table 2 StormwaterGroundwater'!M43+'Table 2 StormwaterGroundwater'!O43</f>
        <v>106.95497461472601</v>
      </c>
      <c r="I40" s="289">
        <f>SUM('Table 2 StormwaterGroundwater'!Q43,'Table 2 StormwaterGroundwater'!U43,'Table 2 StormwaterGroundwater'!W43,'Table 2 StormwaterGroundwater'!Y43,('Table 2 StormwaterGroundwater'!S43*(59/193)))</f>
        <v>9.9206523140220693</v>
      </c>
      <c r="J40" s="289">
        <f>SUM('Table 2 StormwaterGroundwater'!AA43,'Table 2 StormwaterGroundwater'!AC43,'Table 2 StormwaterGroundwater'!AE43)</f>
        <v>24.953391837899542</v>
      </c>
      <c r="K40" s="159">
        <f t="shared" si="7"/>
        <v>903.22885261613249</v>
      </c>
      <c r="L40" s="289" t="s">
        <v>73</v>
      </c>
      <c r="M40" s="289">
        <f>'Table 2 StormwaterGroundwater'!E43</f>
        <v>525</v>
      </c>
      <c r="N40" s="347">
        <f>'Table 2 StormwaterGroundwater'!C43</f>
        <v>28.22885261613251</v>
      </c>
      <c r="R40" s="66">
        <f t="shared" si="2"/>
        <v>71040</v>
      </c>
      <c r="S40" s="66">
        <f t="shared" si="5"/>
        <v>407.61202130065635</v>
      </c>
      <c r="T40" s="46">
        <f t="shared" si="3"/>
        <v>5.508270558116978</v>
      </c>
      <c r="U40" s="68">
        <f t="shared" si="6"/>
        <v>391307.54044863011</v>
      </c>
    </row>
    <row r="41" spans="2:23" ht="14.25" x14ac:dyDescent="0.2">
      <c r="B41" s="345">
        <f t="shared" si="0"/>
        <v>36</v>
      </c>
      <c r="C41" s="159" t="s">
        <v>73</v>
      </c>
      <c r="D41" s="289" t="s">
        <v>73</v>
      </c>
      <c r="E41" s="159">
        <f>'Table 2 StormwaterGroundwater'!AM44+'Table 6 WTP Flow Balance'!H35+'Table 6 WTP Flow Balance'!$U$8</f>
        <v>271.54134753377093</v>
      </c>
      <c r="F41" s="159">
        <f t="shared" si="4"/>
        <v>5.5042165040629243</v>
      </c>
      <c r="G41" s="289">
        <f>'Table 2 StormwaterGroundwater'!F44</f>
        <v>350</v>
      </c>
      <c r="H41" s="289">
        <f>'Table 2 StormwaterGroundwater'!G44+'Table 2 StormwaterGroundwater'!H44+'Table 2 StormwaterGroundwater'!I44+'Table 2 StormwaterGroundwater'!K44+'Table 2 StormwaterGroundwater'!M44+'Table 2 StormwaterGroundwater'!O44</f>
        <v>106.95497461472601</v>
      </c>
      <c r="I41" s="289">
        <f>SUM('Table 2 StormwaterGroundwater'!Q44,'Table 2 StormwaterGroundwater'!U44,'Table 2 StormwaterGroundwater'!W44,'Table 2 StormwaterGroundwater'!Y44,('Table 2 StormwaterGroundwater'!S44*(59/193)))</f>
        <v>9.9206523140220693</v>
      </c>
      <c r="J41" s="289">
        <f>SUM('Table 2 StormwaterGroundwater'!AA44,'Table 2 StormwaterGroundwater'!AC44,'Table 2 StormwaterGroundwater'!AE44)</f>
        <v>24.953391837899542</v>
      </c>
      <c r="K41" s="159">
        <f t="shared" si="7"/>
        <v>902.25760532748552</v>
      </c>
      <c r="L41" s="289" t="s">
        <v>73</v>
      </c>
      <c r="M41" s="289">
        <f>'Table 2 StormwaterGroundwater'!E44</f>
        <v>525</v>
      </c>
      <c r="N41" s="347">
        <f>'Table 2 StormwaterGroundwater'!C44</f>
        <v>27.25760532748555</v>
      </c>
      <c r="R41" s="66">
        <f t="shared" si="2"/>
        <v>71040</v>
      </c>
      <c r="S41" s="66">
        <f t="shared" si="5"/>
        <v>407.3120213006564</v>
      </c>
      <c r="T41" s="46">
        <f t="shared" si="3"/>
        <v>5.5042165040629243</v>
      </c>
      <c r="U41" s="68">
        <f t="shared" si="6"/>
        <v>391019.54044863011</v>
      </c>
    </row>
    <row r="42" spans="2:23" ht="14.25" x14ac:dyDescent="0.2">
      <c r="B42" s="345">
        <f t="shared" si="0"/>
        <v>37</v>
      </c>
      <c r="C42" s="159" t="s">
        <v>73</v>
      </c>
      <c r="D42" s="289" t="s">
        <v>73</v>
      </c>
      <c r="E42" s="159">
        <f>'Table 2 StormwaterGroundwater'!AM45+'Table 6 WTP Flow Balance'!H36+'Table 6 WTP Flow Balance'!$U$8</f>
        <v>271.44134753377091</v>
      </c>
      <c r="F42" s="159">
        <f t="shared" si="4"/>
        <v>5.5021894770358966</v>
      </c>
      <c r="G42" s="289">
        <f>'Table 2 StormwaterGroundwater'!F45</f>
        <v>350</v>
      </c>
      <c r="H42" s="289">
        <f>'Table 2 StormwaterGroundwater'!G45+'Table 2 StormwaterGroundwater'!H45+'Table 2 StormwaterGroundwater'!I45+'Table 2 StormwaterGroundwater'!K45+'Table 2 StormwaterGroundwater'!M45+'Table 2 StormwaterGroundwater'!O45</f>
        <v>106.95497461472601</v>
      </c>
      <c r="I42" s="289">
        <f>SUM('Table 2 StormwaterGroundwater'!Q45,'Table 2 StormwaterGroundwater'!U45,'Table 2 StormwaterGroundwater'!W45,'Table 2 StormwaterGroundwater'!Y45,('Table 2 StormwaterGroundwater'!S45*(59/193)))</f>
        <v>9.9206523140220693</v>
      </c>
      <c r="J42" s="289">
        <f>SUM('Table 2 StormwaterGroundwater'!AA45,'Table 2 StormwaterGroundwater'!AC45,'Table 2 StormwaterGroundwater'!AE45)</f>
        <v>24.953391837899542</v>
      </c>
      <c r="K42" s="159">
        <f t="shared" si="7"/>
        <v>901.28612619817341</v>
      </c>
      <c r="L42" s="289" t="s">
        <v>73</v>
      </c>
      <c r="M42" s="289">
        <f>'Table 2 StormwaterGroundwater'!E45</f>
        <v>525</v>
      </c>
      <c r="N42" s="347">
        <f>'Table 2 StormwaterGroundwater'!C45</f>
        <v>26.286126198173449</v>
      </c>
      <c r="R42" s="66">
        <f t="shared" si="2"/>
        <v>71040</v>
      </c>
      <c r="S42" s="66">
        <f t="shared" si="5"/>
        <v>407.16202130065636</v>
      </c>
      <c r="T42" s="46">
        <f t="shared" si="3"/>
        <v>5.5021894770358966</v>
      </c>
      <c r="U42" s="68">
        <f t="shared" si="6"/>
        <v>390875.54044863011</v>
      </c>
    </row>
    <row r="43" spans="2:23" ht="14.25" x14ac:dyDescent="0.2">
      <c r="B43" s="345">
        <f t="shared" si="0"/>
        <v>38</v>
      </c>
      <c r="C43" s="159" t="s">
        <v>73</v>
      </c>
      <c r="D43" s="289" t="s">
        <v>73</v>
      </c>
      <c r="E43" s="159">
        <f>'Table 2 StormwaterGroundwater'!AM46+'Table 6 WTP Flow Balance'!H37+'Table 6 WTP Flow Balance'!$U$8</f>
        <v>271.34134753377094</v>
      </c>
      <c r="F43" s="159">
        <f t="shared" si="4"/>
        <v>5.5001624500088706</v>
      </c>
      <c r="G43" s="289">
        <f>'Table 2 StormwaterGroundwater'!F46</f>
        <v>350</v>
      </c>
      <c r="H43" s="289">
        <f>'Table 2 StormwaterGroundwater'!G46+'Table 2 StormwaterGroundwater'!H46+'Table 2 StormwaterGroundwater'!I46+'Table 2 StormwaterGroundwater'!K46+'Table 2 StormwaterGroundwater'!M46+'Table 2 StormwaterGroundwater'!O46</f>
        <v>106.95497461472601</v>
      </c>
      <c r="I43" s="289">
        <f>SUM('Table 2 StormwaterGroundwater'!Q46,'Table 2 StormwaterGroundwater'!U46,'Table 2 StormwaterGroundwater'!W46,'Table 2 StormwaterGroundwater'!Y46,('Table 2 StormwaterGroundwater'!S46*(59/193)))</f>
        <v>9.9206523140220693</v>
      </c>
      <c r="J43" s="289">
        <f>SUM('Table 2 StormwaterGroundwater'!AA46,'Table 2 StormwaterGroundwater'!AC46,'Table 2 StormwaterGroundwater'!AE46)</f>
        <v>24.953391837899542</v>
      </c>
      <c r="K43" s="159">
        <f t="shared" si="7"/>
        <v>900.3184429910882</v>
      </c>
      <c r="L43" s="289" t="s">
        <v>73</v>
      </c>
      <c r="M43" s="289">
        <f>'Table 2 StormwaterGroundwater'!E46</f>
        <v>525</v>
      </c>
      <c r="N43" s="347">
        <f>'Table 2 StormwaterGroundwater'!C46</f>
        <v>25.318442991088215</v>
      </c>
      <c r="R43" s="66">
        <f t="shared" ref="R43:R74" si="8">$R$8*60*16</f>
        <v>71040</v>
      </c>
      <c r="S43" s="66">
        <f t="shared" si="5"/>
        <v>407.01202130065644</v>
      </c>
      <c r="T43" s="46">
        <f t="shared" ref="T43:T74" si="9">U43/R43</f>
        <v>5.5001624500088706</v>
      </c>
      <c r="U43" s="68">
        <f t="shared" si="6"/>
        <v>390731.54044863017</v>
      </c>
    </row>
    <row r="44" spans="2:23" ht="14.25" x14ac:dyDescent="0.2">
      <c r="B44" s="345">
        <f t="shared" si="0"/>
        <v>39</v>
      </c>
      <c r="C44" s="159" t="s">
        <v>73</v>
      </c>
      <c r="D44" s="289" t="s">
        <v>73</v>
      </c>
      <c r="E44" s="159">
        <f>'Table 2 StormwaterGroundwater'!AM47+'Table 6 WTP Flow Balance'!H38+'Table 6 WTP Flow Balance'!$U$8</f>
        <v>271.1413475337709</v>
      </c>
      <c r="F44" s="159">
        <f t="shared" si="4"/>
        <v>5.496108395954816</v>
      </c>
      <c r="G44" s="289">
        <f>'Table 2 StormwaterGroundwater'!F47</f>
        <v>350</v>
      </c>
      <c r="H44" s="289">
        <f>'Table 2 StormwaterGroundwater'!G47+'Table 2 StormwaterGroundwater'!H47+'Table 2 StormwaterGroundwater'!I47+'Table 2 StormwaterGroundwater'!K47+'Table 2 StormwaterGroundwater'!M47+'Table 2 StormwaterGroundwater'!O47</f>
        <v>106.95497461472601</v>
      </c>
      <c r="I44" s="289">
        <f>SUM('Table 2 StormwaterGroundwater'!Q47,'Table 2 StormwaterGroundwater'!U47,'Table 2 StormwaterGroundwater'!W47,'Table 2 StormwaterGroundwater'!Y47,('Table 2 StormwaterGroundwater'!S47*(59/193)))</f>
        <v>9.9206523140220693</v>
      </c>
      <c r="J44" s="289">
        <f>SUM('Table 2 StormwaterGroundwater'!AA47,'Table 2 StormwaterGroundwater'!AC47,'Table 2 StormwaterGroundwater'!AE47)</f>
        <v>24.953391837899542</v>
      </c>
      <c r="K44" s="159">
        <f t="shared" si="7"/>
        <v>899.35642503706026</v>
      </c>
      <c r="L44" s="289" t="s">
        <v>73</v>
      </c>
      <c r="M44" s="289">
        <f>'Table 2 StormwaterGroundwater'!E47</f>
        <v>525</v>
      </c>
      <c r="N44" s="347">
        <f>'Table 2 StormwaterGroundwater'!C47</f>
        <v>24.356425037060319</v>
      </c>
      <c r="R44" s="66">
        <f t="shared" si="8"/>
        <v>71040</v>
      </c>
      <c r="S44" s="66">
        <f t="shared" si="5"/>
        <v>406.71202130065637</v>
      </c>
      <c r="T44" s="46">
        <f t="shared" si="9"/>
        <v>5.496108395954816</v>
      </c>
      <c r="U44" s="68">
        <f t="shared" si="6"/>
        <v>390443.54044863011</v>
      </c>
    </row>
    <row r="45" spans="2:23" ht="14.25" x14ac:dyDescent="0.2">
      <c r="B45" s="345">
        <f t="shared" si="0"/>
        <v>40</v>
      </c>
      <c r="C45" s="159" t="s">
        <v>73</v>
      </c>
      <c r="D45" s="289" t="s">
        <v>73</v>
      </c>
      <c r="E45" s="159">
        <f>'Table 2 StormwaterGroundwater'!AM48+'Table 6 WTP Flow Balance'!H39+'Table 6 WTP Flow Balance'!$U$8</f>
        <v>271.04134753377093</v>
      </c>
      <c r="F45" s="159">
        <f t="shared" si="4"/>
        <v>5.4940813689277883</v>
      </c>
      <c r="G45" s="289">
        <f>'Table 2 StormwaterGroundwater'!F48</f>
        <v>350</v>
      </c>
      <c r="H45" s="289">
        <f>'Table 2 StormwaterGroundwater'!G48+'Table 2 StormwaterGroundwater'!H48+'Table 2 StormwaterGroundwater'!I48+'Table 2 StormwaterGroundwater'!K48+'Table 2 StormwaterGroundwater'!M48+'Table 2 StormwaterGroundwater'!O48</f>
        <v>106.95497461472601</v>
      </c>
      <c r="I45" s="289">
        <f>SUM('Table 2 StormwaterGroundwater'!Q48,'Table 2 StormwaterGroundwater'!U48,'Table 2 StormwaterGroundwater'!W48,'Table 2 StormwaterGroundwater'!Y48,('Table 2 StormwaterGroundwater'!S48*(59/193)))</f>
        <v>9.9206523140220693</v>
      </c>
      <c r="J45" s="289">
        <f>SUM('Table 2 StormwaterGroundwater'!AA48,'Table 2 StormwaterGroundwater'!AC48,'Table 2 StormwaterGroundwater'!AE48)</f>
        <v>24.953391837899542</v>
      </c>
      <c r="K45" s="159">
        <f t="shared" si="7"/>
        <v>898.40172769618403</v>
      </c>
      <c r="L45" s="289" t="s">
        <v>73</v>
      </c>
      <c r="M45" s="289">
        <f>'Table 2 StormwaterGroundwater'!E48</f>
        <v>525</v>
      </c>
      <c r="N45" s="347">
        <f>'Table 2 StormwaterGroundwater'!C48</f>
        <v>23.401727696184011</v>
      </c>
      <c r="R45" s="66">
        <f t="shared" si="8"/>
        <v>71040</v>
      </c>
      <c r="S45" s="66">
        <f t="shared" si="5"/>
        <v>406.56202130065634</v>
      </c>
      <c r="T45" s="46">
        <f t="shared" si="9"/>
        <v>5.4940813689277883</v>
      </c>
      <c r="U45" s="68">
        <f t="shared" si="6"/>
        <v>390299.54044863011</v>
      </c>
    </row>
    <row r="46" spans="2:23" ht="14.25" x14ac:dyDescent="0.2">
      <c r="B46" s="345">
        <f t="shared" si="0"/>
        <v>41</v>
      </c>
      <c r="C46" s="159" t="s">
        <v>73</v>
      </c>
      <c r="D46" s="289" t="s">
        <v>73</v>
      </c>
      <c r="E46" s="159">
        <f>'Table 2 StormwaterGroundwater'!AM49+'Table 6 WTP Flow Balance'!H40+'Table 6 WTP Flow Balance'!$U$8</f>
        <v>270.94134753377091</v>
      </c>
      <c r="F46" s="159">
        <f t="shared" si="4"/>
        <v>5.4920543419007615</v>
      </c>
      <c r="G46" s="289">
        <f>'Table 2 StormwaterGroundwater'!F49</f>
        <v>350</v>
      </c>
      <c r="H46" s="289">
        <f>'Table 2 StormwaterGroundwater'!G49+'Table 2 StormwaterGroundwater'!H49+'Table 2 StormwaterGroundwater'!I49+'Table 2 StormwaterGroundwater'!K49+'Table 2 StormwaterGroundwater'!M49+'Table 2 StormwaterGroundwater'!O49</f>
        <v>106.95497461472601</v>
      </c>
      <c r="I46" s="289">
        <f>SUM('Table 2 StormwaterGroundwater'!Q49,'Table 2 StormwaterGroundwater'!U49,'Table 2 StormwaterGroundwater'!W49,'Table 2 StormwaterGroundwater'!Y49,('Table 2 StormwaterGroundwater'!S49*(59/193)))</f>
        <v>9.9206523140220693</v>
      </c>
      <c r="J46" s="289">
        <f>SUM('Table 2 StormwaterGroundwater'!AA49,'Table 2 StormwaterGroundwater'!AC49,'Table 2 StormwaterGroundwater'!AE49)</f>
        <v>24.953391837899542</v>
      </c>
      <c r="K46" s="159">
        <f t="shared" si="7"/>
        <v>897.45828083986316</v>
      </c>
      <c r="L46" s="289" t="s">
        <v>73</v>
      </c>
      <c r="M46" s="289">
        <f>'Table 2 StormwaterGroundwater'!E49</f>
        <v>525</v>
      </c>
      <c r="N46" s="347">
        <f>'Table 2 StormwaterGroundwater'!C49</f>
        <v>22.458280839863143</v>
      </c>
      <c r="R46" s="66">
        <f t="shared" si="8"/>
        <v>71040</v>
      </c>
      <c r="S46" s="66">
        <f t="shared" si="5"/>
        <v>406.41202130065636</v>
      </c>
      <c r="T46" s="46">
        <f t="shared" si="9"/>
        <v>5.4920543419007615</v>
      </c>
      <c r="U46" s="68">
        <f t="shared" si="6"/>
        <v>390155.54044863011</v>
      </c>
    </row>
    <row r="47" spans="2:23" ht="14.25" x14ac:dyDescent="0.2">
      <c r="B47" s="345">
        <f t="shared" si="0"/>
        <v>42</v>
      </c>
      <c r="C47" s="159" t="s">
        <v>73</v>
      </c>
      <c r="D47" s="289" t="s">
        <v>73</v>
      </c>
      <c r="E47" s="159">
        <f>'Table 2 StormwaterGroundwater'!AM50+'Table 6 WTP Flow Balance'!H41+'Table 6 WTP Flow Balance'!$U$8</f>
        <v>270.74134753377092</v>
      </c>
      <c r="F47" s="159">
        <f t="shared" si="4"/>
        <v>5.4880002878467078</v>
      </c>
      <c r="G47" s="289">
        <f>'Table 2 StormwaterGroundwater'!F50</f>
        <v>350</v>
      </c>
      <c r="H47" s="289">
        <f>'Table 2 StormwaterGroundwater'!G50+'Table 2 StormwaterGroundwater'!H50+'Table 2 StormwaterGroundwater'!I50+'Table 2 StormwaterGroundwater'!K50+'Table 2 StormwaterGroundwater'!M50+'Table 2 StormwaterGroundwater'!O50</f>
        <v>106.95497461472601</v>
      </c>
      <c r="I47" s="289">
        <f>SUM('Table 2 StormwaterGroundwater'!Q50,'Table 2 StormwaterGroundwater'!U50,'Table 2 StormwaterGroundwater'!W50,'Table 2 StormwaterGroundwater'!Y50,('Table 2 StormwaterGroundwater'!S50*(59/193)))</f>
        <v>9.9206523140220693</v>
      </c>
      <c r="J47" s="289">
        <f>SUM('Table 2 StormwaterGroundwater'!AA50,'Table 2 StormwaterGroundwater'!AC50,'Table 2 StormwaterGroundwater'!AE50)</f>
        <v>24.953391837899542</v>
      </c>
      <c r="K47" s="159">
        <f t="shared" si="7"/>
        <v>896.52954792414914</v>
      </c>
      <c r="L47" s="289" t="s">
        <v>73</v>
      </c>
      <c r="M47" s="289">
        <f>'Table 2 StormwaterGroundwater'!E50</f>
        <v>525</v>
      </c>
      <c r="N47" s="347">
        <f>'Table 2 StormwaterGroundwater'!C50</f>
        <v>21.529547924149171</v>
      </c>
      <c r="R47" s="66">
        <f t="shared" si="8"/>
        <v>71040</v>
      </c>
      <c r="S47" s="66">
        <f t="shared" si="5"/>
        <v>406.11202130065635</v>
      </c>
      <c r="T47" s="46">
        <f t="shared" si="9"/>
        <v>5.4880002878467078</v>
      </c>
      <c r="U47" s="68">
        <f t="shared" si="6"/>
        <v>389867.54044863011</v>
      </c>
    </row>
    <row r="48" spans="2:23" ht="14.25" x14ac:dyDescent="0.2">
      <c r="B48" s="345">
        <f t="shared" si="0"/>
        <v>43</v>
      </c>
      <c r="C48" s="159" t="s">
        <v>73</v>
      </c>
      <c r="D48" s="289" t="s">
        <v>73</v>
      </c>
      <c r="E48" s="159">
        <f>'Table 2 StormwaterGroundwater'!AM51+'Table 6 WTP Flow Balance'!H42+'Table 6 WTP Flow Balance'!$U$8</f>
        <v>270.6413475337709</v>
      </c>
      <c r="F48" s="159">
        <f t="shared" si="4"/>
        <v>5.485973260819681</v>
      </c>
      <c r="G48" s="289">
        <f>'Table 2 StormwaterGroundwater'!F51</f>
        <v>350</v>
      </c>
      <c r="H48" s="289">
        <f>'Table 2 StormwaterGroundwater'!G51+'Table 2 StormwaterGroundwater'!H51+'Table 2 StormwaterGroundwater'!I51+'Table 2 StormwaterGroundwater'!K51+'Table 2 StormwaterGroundwater'!M51+'Table 2 StormwaterGroundwater'!O51</f>
        <v>106.95497461472601</v>
      </c>
      <c r="I48" s="289">
        <f>SUM('Table 2 StormwaterGroundwater'!Q51,'Table 2 StormwaterGroundwater'!U51,'Table 2 StormwaterGroundwater'!W51,'Table 2 StormwaterGroundwater'!Y51,('Table 2 StormwaterGroundwater'!S51*(59/193)))</f>
        <v>9.9206523140220693</v>
      </c>
      <c r="J48" s="289">
        <f>SUM('Table 2 StormwaterGroundwater'!AA51,'Table 2 StormwaterGroundwater'!AC51,'Table 2 StormwaterGroundwater'!AE51)</f>
        <v>24.953391837899542</v>
      </c>
      <c r="K48" s="159">
        <f t="shared" si="7"/>
        <v>895.61595618483864</v>
      </c>
      <c r="L48" s="289" t="s">
        <v>73</v>
      </c>
      <c r="M48" s="289">
        <f>'Table 2 StormwaterGroundwater'!E51</f>
        <v>525</v>
      </c>
      <c r="N48" s="347">
        <f>'Table 2 StormwaterGroundwater'!C51</f>
        <v>20.61595618483868</v>
      </c>
      <c r="R48" s="66">
        <f t="shared" si="8"/>
        <v>71040</v>
      </c>
      <c r="S48" s="66">
        <f t="shared" si="5"/>
        <v>405.96202130065637</v>
      </c>
      <c r="T48" s="46">
        <f t="shared" si="9"/>
        <v>5.485973260819681</v>
      </c>
      <c r="U48" s="68">
        <f t="shared" si="6"/>
        <v>389723.54044863011</v>
      </c>
    </row>
    <row r="49" spans="2:21" ht="14.25" x14ac:dyDescent="0.2">
      <c r="B49" s="345">
        <f t="shared" si="0"/>
        <v>44</v>
      </c>
      <c r="C49" s="159" t="s">
        <v>73</v>
      </c>
      <c r="D49" s="289" t="s">
        <v>73</v>
      </c>
      <c r="E49" s="159">
        <f>'Table 2 StormwaterGroundwater'!AM52+'Table 6 WTP Flow Balance'!H43+'Table 6 WTP Flow Balance'!$U$8</f>
        <v>270.54134753377093</v>
      </c>
      <c r="F49" s="159">
        <f t="shared" si="4"/>
        <v>5.4839462337926532</v>
      </c>
      <c r="G49" s="289">
        <f>'Table 2 StormwaterGroundwater'!F52</f>
        <v>350</v>
      </c>
      <c r="H49" s="289">
        <f>'Table 2 StormwaterGroundwater'!G52+'Table 2 StormwaterGroundwater'!H52+'Table 2 StormwaterGroundwater'!I52+'Table 2 StormwaterGroundwater'!K52+'Table 2 StormwaterGroundwater'!M52+'Table 2 StormwaterGroundwater'!O52</f>
        <v>106.95497461472601</v>
      </c>
      <c r="I49" s="289">
        <f>SUM('Table 2 StormwaterGroundwater'!Q52,'Table 2 StormwaterGroundwater'!U52,'Table 2 StormwaterGroundwater'!W52,'Table 2 StormwaterGroundwater'!Y52,('Table 2 StormwaterGroundwater'!S52*(59/193)))</f>
        <v>9.9206523140220693</v>
      </c>
      <c r="J49" s="289">
        <f>SUM('Table 2 StormwaterGroundwater'!AA52,'Table 2 StormwaterGroundwater'!AC52,'Table 2 StormwaterGroundwater'!AE52)</f>
        <v>24.953391837899542</v>
      </c>
      <c r="K49" s="159">
        <f t="shared" si="7"/>
        <v>894.71755781674142</v>
      </c>
      <c r="L49" s="289" t="s">
        <v>73</v>
      </c>
      <c r="M49" s="289">
        <f>'Table 2 StormwaterGroundwater'!E52</f>
        <v>525</v>
      </c>
      <c r="N49" s="347">
        <f>'Table 2 StormwaterGroundwater'!C52</f>
        <v>19.717557816741458</v>
      </c>
      <c r="R49" s="66">
        <f t="shared" si="8"/>
        <v>71040</v>
      </c>
      <c r="S49" s="66">
        <f t="shared" si="5"/>
        <v>405.81202130065634</v>
      </c>
      <c r="T49" s="46">
        <f t="shared" si="9"/>
        <v>5.4839462337926532</v>
      </c>
      <c r="U49" s="68">
        <f t="shared" si="6"/>
        <v>389579.54044863011</v>
      </c>
    </row>
    <row r="50" spans="2:21" ht="14.25" x14ac:dyDescent="0.2">
      <c r="B50" s="345">
        <f t="shared" si="0"/>
        <v>45</v>
      </c>
      <c r="C50" s="159" t="s">
        <v>73</v>
      </c>
      <c r="D50" s="289" t="s">
        <v>73</v>
      </c>
      <c r="E50" s="159">
        <f>'Table 2 StormwaterGroundwater'!AM53+'Table 6 WTP Flow Balance'!H44+'Table 6 WTP Flow Balance'!$U$8</f>
        <v>270.34134753377094</v>
      </c>
      <c r="F50" s="159">
        <f t="shared" si="4"/>
        <v>5.4798921797386004</v>
      </c>
      <c r="G50" s="289">
        <f>'Table 2 StormwaterGroundwater'!F53</f>
        <v>350</v>
      </c>
      <c r="H50" s="289">
        <f>'Table 2 StormwaterGroundwater'!G53+'Table 2 StormwaterGroundwater'!H53+'Table 2 StormwaterGroundwater'!I53+'Table 2 StormwaterGroundwater'!K53+'Table 2 StormwaterGroundwater'!M53+'Table 2 StormwaterGroundwater'!O53</f>
        <v>106.95497461472601</v>
      </c>
      <c r="I50" s="289">
        <f>SUM('Table 2 StormwaterGroundwater'!Q53,'Table 2 StormwaterGroundwater'!U53,'Table 2 StormwaterGroundwater'!W53,'Table 2 StormwaterGroundwater'!Y53,('Table 2 StormwaterGroundwater'!S53*(59/193)))</f>
        <v>9.9206523140220693</v>
      </c>
      <c r="J50" s="289">
        <f>SUM('Table 2 StormwaterGroundwater'!AA53,'Table 2 StormwaterGroundwater'!AC53,'Table 2 StormwaterGroundwater'!AE53)</f>
        <v>24.953391837899542</v>
      </c>
      <c r="K50" s="159">
        <f t="shared" si="7"/>
        <v>893.83642380795754</v>
      </c>
      <c r="L50" s="289" t="s">
        <v>73</v>
      </c>
      <c r="M50" s="289">
        <f>'Table 2 StormwaterGroundwater'!E53</f>
        <v>525</v>
      </c>
      <c r="N50" s="347">
        <f>'Table 2 StormwaterGroundwater'!C53</f>
        <v>18.836423807957498</v>
      </c>
      <c r="R50" s="66">
        <f t="shared" si="8"/>
        <v>71040</v>
      </c>
      <c r="S50" s="66">
        <f t="shared" si="5"/>
        <v>405.51202130065644</v>
      </c>
      <c r="T50" s="46">
        <f t="shared" si="9"/>
        <v>5.4798921797386004</v>
      </c>
      <c r="U50" s="68">
        <f t="shared" si="6"/>
        <v>389291.54044863017</v>
      </c>
    </row>
    <row r="51" spans="2:21" ht="14.25" x14ac:dyDescent="0.2">
      <c r="B51" s="345">
        <f t="shared" si="0"/>
        <v>46</v>
      </c>
      <c r="C51" s="159" t="s">
        <v>73</v>
      </c>
      <c r="D51" s="289" t="s">
        <v>73</v>
      </c>
      <c r="E51" s="159">
        <f>'Table 2 StormwaterGroundwater'!AM54+'Table 6 WTP Flow Balance'!H45+'Table 6 WTP Flow Balance'!$U$8</f>
        <v>270.24134753377092</v>
      </c>
      <c r="F51" s="159">
        <f t="shared" si="4"/>
        <v>5.4778651527115727</v>
      </c>
      <c r="G51" s="289">
        <f>'Table 2 StormwaterGroundwater'!F54</f>
        <v>350</v>
      </c>
      <c r="H51" s="289">
        <f>'Table 2 StormwaterGroundwater'!G54+'Table 2 StormwaterGroundwater'!H54+'Table 2 StormwaterGroundwater'!I54+'Table 2 StormwaterGroundwater'!K54+'Table 2 StormwaterGroundwater'!M54+'Table 2 StormwaterGroundwater'!O54</f>
        <v>106.95497461472601</v>
      </c>
      <c r="I51" s="289">
        <f>SUM('Table 2 StormwaterGroundwater'!Q54,'Table 2 StormwaterGroundwater'!U54,'Table 2 StormwaterGroundwater'!W54,'Table 2 StormwaterGroundwater'!Y54,('Table 2 StormwaterGroundwater'!S54*(59/193)))</f>
        <v>9.9206523140220693</v>
      </c>
      <c r="J51" s="289">
        <f>SUM('Table 2 StormwaterGroundwater'!AA54,'Table 2 StormwaterGroundwater'!AC54,'Table 2 StormwaterGroundwater'!AE54)</f>
        <v>24.953391837899542</v>
      </c>
      <c r="K51" s="159">
        <f t="shared" si="7"/>
        <v>892.97414146529195</v>
      </c>
      <c r="L51" s="289" t="s">
        <v>73</v>
      </c>
      <c r="M51" s="289">
        <f>'Table 2 StormwaterGroundwater'!E54</f>
        <v>525</v>
      </c>
      <c r="N51" s="347">
        <f>'Table 2 StormwaterGroundwater'!C54</f>
        <v>17.974141465291908</v>
      </c>
      <c r="R51" s="66">
        <f t="shared" si="8"/>
        <v>71040</v>
      </c>
      <c r="S51" s="66">
        <f t="shared" si="5"/>
        <v>405.36202130065635</v>
      </c>
      <c r="T51" s="46">
        <f t="shared" si="9"/>
        <v>5.4778651527115727</v>
      </c>
      <c r="U51" s="68">
        <f t="shared" si="6"/>
        <v>389147.54044863011</v>
      </c>
    </row>
    <row r="52" spans="2:21" ht="14.25" x14ac:dyDescent="0.2">
      <c r="B52" s="345">
        <f t="shared" si="0"/>
        <v>47</v>
      </c>
      <c r="C52" s="159" t="s">
        <v>73</v>
      </c>
      <c r="D52" s="289" t="s">
        <v>73</v>
      </c>
      <c r="E52" s="159">
        <f>'Table 2 StormwaterGroundwater'!AM55+'Table 6 WTP Flow Balance'!H46+'Table 6 WTP Flow Balance'!$U$8</f>
        <v>270.1413475337709</v>
      </c>
      <c r="F52" s="159">
        <f t="shared" si="4"/>
        <v>5.4758381256845459</v>
      </c>
      <c r="G52" s="289">
        <f>'Table 2 StormwaterGroundwater'!F55</f>
        <v>350</v>
      </c>
      <c r="H52" s="289">
        <f>'Table 2 StormwaterGroundwater'!G55+'Table 2 StormwaterGroundwater'!H55+'Table 2 StormwaterGroundwater'!I55+'Table 2 StormwaterGroundwater'!K55+'Table 2 StormwaterGroundwater'!M55+'Table 2 StormwaterGroundwater'!O55</f>
        <v>106.95497461472601</v>
      </c>
      <c r="I52" s="289">
        <f>SUM('Table 2 StormwaterGroundwater'!Q55,'Table 2 StormwaterGroundwater'!U55,'Table 2 StormwaterGroundwater'!W55,'Table 2 StormwaterGroundwater'!Y55,('Table 2 StormwaterGroundwater'!S55*(59/193)))</f>
        <v>9.9206523140220693</v>
      </c>
      <c r="J52" s="289">
        <f>SUM('Table 2 StormwaterGroundwater'!AA55,'Table 2 StormwaterGroundwater'!AC55,'Table 2 StormwaterGroundwater'!AE55)</f>
        <v>24.953391837899542</v>
      </c>
      <c r="K52" s="159">
        <f t="shared" si="7"/>
        <v>892.12953454388071</v>
      </c>
      <c r="L52" s="289" t="s">
        <v>73</v>
      </c>
      <c r="M52" s="289">
        <f>'Table 2 StormwaterGroundwater'!E55</f>
        <v>525</v>
      </c>
      <c r="N52" s="347">
        <f>'Table 2 StormwaterGroundwater'!C55</f>
        <v>17.129534543880734</v>
      </c>
      <c r="R52" s="66">
        <f t="shared" si="8"/>
        <v>71040</v>
      </c>
      <c r="S52" s="66">
        <f t="shared" si="5"/>
        <v>405.21202130065637</v>
      </c>
      <c r="T52" s="46">
        <f t="shared" si="9"/>
        <v>5.4758381256845459</v>
      </c>
      <c r="U52" s="68">
        <f t="shared" si="6"/>
        <v>389003.54044863011</v>
      </c>
    </row>
    <row r="53" spans="2:21" ht="14.25" x14ac:dyDescent="0.2">
      <c r="B53" s="345">
        <f t="shared" si="0"/>
        <v>48</v>
      </c>
      <c r="C53" s="159" t="s">
        <v>73</v>
      </c>
      <c r="D53" s="289" t="s">
        <v>73</v>
      </c>
      <c r="E53" s="159">
        <f>'Table 2 StormwaterGroundwater'!AM56+'Table 6 WTP Flow Balance'!H47+'Table 6 WTP Flow Balance'!$U$8</f>
        <v>270.04134753377093</v>
      </c>
      <c r="F53" s="159">
        <f t="shared" si="4"/>
        <v>5.4738110986575181</v>
      </c>
      <c r="G53" s="289">
        <f>'Table 2 StormwaterGroundwater'!F56</f>
        <v>350</v>
      </c>
      <c r="H53" s="289">
        <f>'Table 2 StormwaterGroundwater'!G56+'Table 2 StormwaterGroundwater'!H56+'Table 2 StormwaterGroundwater'!I56+'Table 2 StormwaterGroundwater'!K56+'Table 2 StormwaterGroundwater'!M56+'Table 2 StormwaterGroundwater'!O56</f>
        <v>106.95497461472601</v>
      </c>
      <c r="I53" s="289">
        <f>SUM('Table 2 StormwaterGroundwater'!Q56,'Table 2 StormwaterGroundwater'!U56,'Table 2 StormwaterGroundwater'!W56,'Table 2 StormwaterGroundwater'!Y56,('Table 2 StormwaterGroundwater'!S56*(59/193)))</f>
        <v>9.9206523140220693</v>
      </c>
      <c r="J53" s="289">
        <f>SUM('Table 2 StormwaterGroundwater'!AA56,'Table 2 StormwaterGroundwater'!AC56,'Table 2 StormwaterGroundwater'!AE56)</f>
        <v>24.953391837899542</v>
      </c>
      <c r="K53" s="159">
        <f t="shared" si="7"/>
        <v>891.30123489375956</v>
      </c>
      <c r="L53" s="289" t="s">
        <v>73</v>
      </c>
      <c r="M53" s="289">
        <f>'Table 2 StormwaterGroundwater'!E56</f>
        <v>525</v>
      </c>
      <c r="N53" s="347">
        <f>'Table 2 StormwaterGroundwater'!C56</f>
        <v>16.301234893759528</v>
      </c>
      <c r="R53" s="66">
        <f t="shared" si="8"/>
        <v>71040</v>
      </c>
      <c r="S53" s="66">
        <f t="shared" si="5"/>
        <v>405.06202130065634</v>
      </c>
      <c r="T53" s="46">
        <f t="shared" si="9"/>
        <v>5.4738110986575181</v>
      </c>
      <c r="U53" s="68">
        <f t="shared" si="6"/>
        <v>388859.54044863011</v>
      </c>
    </row>
    <row r="54" spans="2:21" ht="14.25" x14ac:dyDescent="0.2">
      <c r="B54" s="345">
        <f t="shared" si="0"/>
        <v>49</v>
      </c>
      <c r="C54" s="159" t="s">
        <v>73</v>
      </c>
      <c r="D54" s="289" t="s">
        <v>73</v>
      </c>
      <c r="E54" s="159">
        <f>'Table 2 StormwaterGroundwater'!AM57+'Table 6 WTP Flow Balance'!H48+'Table 6 WTP Flow Balance'!$U$8</f>
        <v>269.94134753377091</v>
      </c>
      <c r="F54" s="159">
        <f t="shared" si="4"/>
        <v>5.4717840716304913</v>
      </c>
      <c r="G54" s="289">
        <f>'Table 2 StormwaterGroundwater'!F57</f>
        <v>350</v>
      </c>
      <c r="H54" s="289">
        <f>'Table 2 StormwaterGroundwater'!G57+'Table 2 StormwaterGroundwater'!H57+'Table 2 StormwaterGroundwater'!I57+'Table 2 StormwaterGroundwater'!K57+'Table 2 StormwaterGroundwater'!M57+'Table 2 StormwaterGroundwater'!O57</f>
        <v>106.95497461472601</v>
      </c>
      <c r="I54" s="289">
        <f>SUM('Table 2 StormwaterGroundwater'!Q57,'Table 2 StormwaterGroundwater'!U57,'Table 2 StormwaterGroundwater'!W57,'Table 2 StormwaterGroundwater'!Y57,('Table 2 StormwaterGroundwater'!S57*(59/193)))</f>
        <v>9.9206523140220693</v>
      </c>
      <c r="J54" s="289">
        <f>SUM('Table 2 StormwaterGroundwater'!AA57,'Table 2 StormwaterGroundwater'!AC57,'Table 2 StormwaterGroundwater'!AE57)</f>
        <v>24.953391837899542</v>
      </c>
      <c r="K54" s="159">
        <f t="shared" si="7"/>
        <v>890.48992186558633</v>
      </c>
      <c r="L54" s="289" t="s">
        <v>73</v>
      </c>
      <c r="M54" s="289">
        <f>'Table 2 StormwaterGroundwater'!E57</f>
        <v>525</v>
      </c>
      <c r="N54" s="347">
        <f>'Table 2 StormwaterGroundwater'!C57</f>
        <v>15.489921865586286</v>
      </c>
      <c r="R54" s="66">
        <f t="shared" si="8"/>
        <v>71040</v>
      </c>
      <c r="S54" s="66">
        <f t="shared" si="5"/>
        <v>404.91202130065636</v>
      </c>
      <c r="T54" s="46">
        <f t="shared" si="9"/>
        <v>5.4717840716304913</v>
      </c>
      <c r="U54" s="68">
        <f t="shared" si="6"/>
        <v>388715.54044863011</v>
      </c>
    </row>
    <row r="55" spans="2:21" ht="14.25" x14ac:dyDescent="0.2">
      <c r="B55" s="345">
        <f t="shared" si="0"/>
        <v>50</v>
      </c>
      <c r="C55" s="159" t="s">
        <v>73</v>
      </c>
      <c r="D55" s="289" t="s">
        <v>73</v>
      </c>
      <c r="E55" s="159">
        <f>'Table 2 StormwaterGroundwater'!AM58+'Table 6 WTP Flow Balance'!H49+'Table 6 WTP Flow Balance'!$U$8</f>
        <v>269.84134753377094</v>
      </c>
      <c r="F55" s="159">
        <f t="shared" si="4"/>
        <v>5.4697570446034653</v>
      </c>
      <c r="G55" s="289">
        <f>'Table 2 StormwaterGroundwater'!F58</f>
        <v>350</v>
      </c>
      <c r="H55" s="289">
        <f>'Table 2 StormwaterGroundwater'!G58+'Table 2 StormwaterGroundwater'!H58+'Table 2 StormwaterGroundwater'!I58+'Table 2 StormwaterGroundwater'!K58+'Table 2 StormwaterGroundwater'!M58+'Table 2 StormwaterGroundwater'!O58</f>
        <v>106.95497461472601</v>
      </c>
      <c r="I55" s="289">
        <f>SUM('Table 2 StormwaterGroundwater'!Q58,'Table 2 StormwaterGroundwater'!U58,'Table 2 StormwaterGroundwater'!W58,'Table 2 StormwaterGroundwater'!Y58,('Table 2 StormwaterGroundwater'!S58*(59/193)))</f>
        <v>9.9206523140220693</v>
      </c>
      <c r="J55" s="289">
        <f>SUM('Table 2 StormwaterGroundwater'!AA58,'Table 2 StormwaterGroundwater'!AC58,'Table 2 StormwaterGroundwater'!AE58)</f>
        <v>24.953391837899542</v>
      </c>
      <c r="K55" s="159">
        <f t="shared" si="7"/>
        <v>889.69605185156456</v>
      </c>
      <c r="L55" s="289" t="s">
        <v>73</v>
      </c>
      <c r="M55" s="289">
        <f>'Table 2 StormwaterGroundwater'!E58</f>
        <v>525</v>
      </c>
      <c r="N55" s="347">
        <f>'Table 2 StormwaterGroundwater'!C58</f>
        <v>14.696051851564574</v>
      </c>
      <c r="R55" s="66">
        <f t="shared" si="8"/>
        <v>71040</v>
      </c>
      <c r="S55" s="66">
        <f t="shared" si="5"/>
        <v>404.76202130065644</v>
      </c>
      <c r="T55" s="46">
        <f t="shared" si="9"/>
        <v>5.4697570446034653</v>
      </c>
      <c r="U55" s="68">
        <f t="shared" si="6"/>
        <v>388571.54044863017</v>
      </c>
    </row>
    <row r="56" spans="2:21" ht="14.25" x14ac:dyDescent="0.2">
      <c r="B56" s="345">
        <f t="shared" si="0"/>
        <v>51</v>
      </c>
      <c r="C56" s="159" t="s">
        <v>73</v>
      </c>
      <c r="D56" s="289" t="s">
        <v>73</v>
      </c>
      <c r="E56" s="159">
        <f>'Table 2 StormwaterGroundwater'!AM59+'Table 6 WTP Flow Balance'!H50+'Table 6 WTP Flow Balance'!$U$8</f>
        <v>269.74134753377092</v>
      </c>
      <c r="F56" s="159">
        <f t="shared" si="4"/>
        <v>5.4677300175764376</v>
      </c>
      <c r="G56" s="289">
        <f>'Table 2 StormwaterGroundwater'!F59</f>
        <v>350</v>
      </c>
      <c r="H56" s="289">
        <f>'Table 2 StormwaterGroundwater'!G59+'Table 2 StormwaterGroundwater'!H59+'Table 2 StormwaterGroundwater'!I59+'Table 2 StormwaterGroundwater'!K59+'Table 2 StormwaterGroundwater'!M59+'Table 2 StormwaterGroundwater'!O59</f>
        <v>106.95497461472601</v>
      </c>
      <c r="I56" s="289">
        <f>SUM('Table 2 StormwaterGroundwater'!Q59,'Table 2 StormwaterGroundwater'!U59,'Table 2 StormwaterGroundwater'!W59,'Table 2 StormwaterGroundwater'!Y59,('Table 2 StormwaterGroundwater'!S59*(59/193)))</f>
        <v>9.9206523140220693</v>
      </c>
      <c r="J56" s="289">
        <f>SUM('Table 2 StormwaterGroundwater'!AA59,'Table 2 StormwaterGroundwater'!AC59,'Table 2 StormwaterGroundwater'!AE59)</f>
        <v>24.953391837899542</v>
      </c>
      <c r="K56" s="159">
        <f t="shared" si="7"/>
        <v>888.91778793131346</v>
      </c>
      <c r="L56" s="289" t="s">
        <v>73</v>
      </c>
      <c r="M56" s="289">
        <f>'Table 2 StormwaterGroundwater'!E59</f>
        <v>525</v>
      </c>
      <c r="N56" s="347">
        <f>'Table 2 StormwaterGroundwater'!C59</f>
        <v>13.917787931313407</v>
      </c>
      <c r="R56" s="66">
        <f t="shared" si="8"/>
        <v>71040</v>
      </c>
      <c r="S56" s="66">
        <f t="shared" si="5"/>
        <v>404.61202130065641</v>
      </c>
      <c r="T56" s="46">
        <f t="shared" si="9"/>
        <v>5.4677300175764376</v>
      </c>
      <c r="U56" s="68">
        <f t="shared" si="6"/>
        <v>388427.54044863011</v>
      </c>
    </row>
    <row r="57" spans="2:21" ht="14.25" x14ac:dyDescent="0.2">
      <c r="B57" s="345">
        <f t="shared" si="0"/>
        <v>52</v>
      </c>
      <c r="C57" s="159" t="s">
        <v>73</v>
      </c>
      <c r="D57" s="289" t="s">
        <v>73</v>
      </c>
      <c r="E57" s="159">
        <f>'Table 2 StormwaterGroundwater'!AM60+'Table 6 WTP Flow Balance'!H51+'Table 6 WTP Flow Balance'!$U$8</f>
        <v>269.6413475337709</v>
      </c>
      <c r="F57" s="159">
        <f t="shared" si="4"/>
        <v>5.4657029905494108</v>
      </c>
      <c r="G57" s="289">
        <f>'Table 2 StormwaterGroundwater'!F60</f>
        <v>350</v>
      </c>
      <c r="H57" s="289">
        <f>'Table 2 StormwaterGroundwater'!G60+'Table 2 StormwaterGroundwater'!H60+'Table 2 StormwaterGroundwater'!I60+'Table 2 StormwaterGroundwater'!K60+'Table 2 StormwaterGroundwater'!M60+'Table 2 StormwaterGroundwater'!O60</f>
        <v>106.95497461472601</v>
      </c>
      <c r="I57" s="289">
        <f>SUM('Table 2 StormwaterGroundwater'!Q60,'Table 2 StormwaterGroundwater'!U60,'Table 2 StormwaterGroundwater'!W60,'Table 2 StormwaterGroundwater'!Y60,('Table 2 StormwaterGroundwater'!S60*(59/193)))</f>
        <v>9.9206523140220693</v>
      </c>
      <c r="J57" s="289">
        <f>SUM('Table 2 StormwaterGroundwater'!AA60,'Table 2 StormwaterGroundwater'!AC60,'Table 2 StormwaterGroundwater'!AE60)</f>
        <v>24.953391837899542</v>
      </c>
      <c r="K57" s="159">
        <f t="shared" si="7"/>
        <v>888.15336863399523</v>
      </c>
      <c r="L57" s="289" t="s">
        <v>73</v>
      </c>
      <c r="M57" s="289">
        <f>'Table 2 StormwaterGroundwater'!E60</f>
        <v>525</v>
      </c>
      <c r="N57" s="347">
        <f>'Table 2 StormwaterGroundwater'!C60</f>
        <v>13.153368633995207</v>
      </c>
      <c r="R57" s="66">
        <f t="shared" si="8"/>
        <v>71040</v>
      </c>
      <c r="S57" s="66">
        <f t="shared" si="5"/>
        <v>404.46202130065637</v>
      </c>
      <c r="T57" s="46">
        <f t="shared" si="9"/>
        <v>5.4657029905494108</v>
      </c>
      <c r="U57" s="68">
        <f t="shared" si="6"/>
        <v>388283.54044863011</v>
      </c>
    </row>
    <row r="58" spans="2:21" ht="14.25" x14ac:dyDescent="0.2">
      <c r="B58" s="345">
        <f t="shared" si="0"/>
        <v>53</v>
      </c>
      <c r="C58" s="159" t="s">
        <v>73</v>
      </c>
      <c r="D58" s="289" t="s">
        <v>73</v>
      </c>
      <c r="E58" s="159">
        <f>'Table 2 StormwaterGroundwater'!AM61+'Table 6 WTP Flow Balance'!H52+'Table 6 WTP Flow Balance'!$U$8</f>
        <v>269.44134753377091</v>
      </c>
      <c r="F58" s="159">
        <f t="shared" si="4"/>
        <v>5.4616489364953562</v>
      </c>
      <c r="G58" s="289">
        <f>'Table 2 StormwaterGroundwater'!F61</f>
        <v>350</v>
      </c>
      <c r="H58" s="289">
        <f>'Table 2 StormwaterGroundwater'!G61+'Table 2 StormwaterGroundwater'!H61+'Table 2 StormwaterGroundwater'!I61+'Table 2 StormwaterGroundwater'!K61+'Table 2 StormwaterGroundwater'!M61+'Table 2 StormwaterGroundwater'!O61</f>
        <v>106.95497461472601</v>
      </c>
      <c r="I58" s="289">
        <f>SUM('Table 2 StormwaterGroundwater'!Q61,'Table 2 StormwaterGroundwater'!U61,'Table 2 StormwaterGroundwater'!W61,'Table 2 StormwaterGroundwater'!Y61,('Table 2 StormwaterGroundwater'!S61*(59/193)))</f>
        <v>9.9206523140220693</v>
      </c>
      <c r="J58" s="289">
        <f>SUM('Table 2 StormwaterGroundwater'!AA61,'Table 2 StormwaterGroundwater'!AC61,'Table 2 StormwaterGroundwater'!AE61)</f>
        <v>24.953391837899542</v>
      </c>
      <c r="K58" s="159">
        <f t="shared" si="7"/>
        <v>887.40316897274067</v>
      </c>
      <c r="L58" s="289" t="s">
        <v>73</v>
      </c>
      <c r="M58" s="289">
        <f>'Table 2 StormwaterGroundwater'!E61</f>
        <v>525</v>
      </c>
      <c r="N58" s="347">
        <f>'Table 2 StormwaterGroundwater'!C61</f>
        <v>12.403168972740723</v>
      </c>
      <c r="R58" s="66">
        <f t="shared" si="8"/>
        <v>71040</v>
      </c>
      <c r="S58" s="66">
        <f t="shared" si="5"/>
        <v>404.16202130065636</v>
      </c>
      <c r="T58" s="46">
        <f t="shared" si="9"/>
        <v>5.4616489364953562</v>
      </c>
      <c r="U58" s="68">
        <f t="shared" si="6"/>
        <v>387995.54044863011</v>
      </c>
    </row>
    <row r="59" spans="2:21" ht="14.25" x14ac:dyDescent="0.2">
      <c r="B59" s="345">
        <f t="shared" si="0"/>
        <v>54</v>
      </c>
      <c r="C59" s="159" t="s">
        <v>73</v>
      </c>
      <c r="D59" s="289" t="s">
        <v>73</v>
      </c>
      <c r="E59" s="159">
        <f>'Table 2 StormwaterGroundwater'!AM62+'Table 6 WTP Flow Balance'!H53+'Table 6 WTP Flow Balance'!$U$8</f>
        <v>269.34134753377094</v>
      </c>
      <c r="F59" s="159">
        <f t="shared" si="4"/>
        <v>5.4596219094683303</v>
      </c>
      <c r="G59" s="289">
        <f>'Table 2 StormwaterGroundwater'!F62</f>
        <v>350</v>
      </c>
      <c r="H59" s="289">
        <f>'Table 2 StormwaterGroundwater'!G62+'Table 2 StormwaterGroundwater'!H62+'Table 2 StormwaterGroundwater'!I62+'Table 2 StormwaterGroundwater'!K62+'Table 2 StormwaterGroundwater'!M62+'Table 2 StormwaterGroundwater'!O62</f>
        <v>106.95497461472601</v>
      </c>
      <c r="I59" s="289">
        <f>SUM('Table 2 StormwaterGroundwater'!Q62,'Table 2 StormwaterGroundwater'!U62,'Table 2 StormwaterGroundwater'!W62,'Table 2 StormwaterGroundwater'!Y62,('Table 2 StormwaterGroundwater'!S62*(59/193)))</f>
        <v>9.9206523140220693</v>
      </c>
      <c r="J59" s="289">
        <f>SUM('Table 2 StormwaterGroundwater'!AA62,'Table 2 StormwaterGroundwater'!AC62,'Table 2 StormwaterGroundwater'!AE62)</f>
        <v>24.953391837899542</v>
      </c>
      <c r="K59" s="159">
        <f t="shared" si="7"/>
        <v>886.66759164918255</v>
      </c>
      <c r="L59" s="289" t="s">
        <v>73</v>
      </c>
      <c r="M59" s="289">
        <f>'Table 2 StormwaterGroundwater'!E62</f>
        <v>525</v>
      </c>
      <c r="N59" s="347">
        <f>'Table 2 StormwaterGroundwater'!C62</f>
        <v>11.667591649182517</v>
      </c>
      <c r="R59" s="66">
        <f t="shared" si="8"/>
        <v>71040</v>
      </c>
      <c r="S59" s="66">
        <f t="shared" si="5"/>
        <v>404.01202130065644</v>
      </c>
      <c r="T59" s="46">
        <f t="shared" si="9"/>
        <v>5.4596219094683303</v>
      </c>
      <c r="U59" s="68">
        <f t="shared" si="6"/>
        <v>387851.54044863017</v>
      </c>
    </row>
    <row r="60" spans="2:21" ht="14.25" x14ac:dyDescent="0.2">
      <c r="B60" s="345">
        <f t="shared" si="0"/>
        <v>55</v>
      </c>
      <c r="C60" s="159" t="s">
        <v>73</v>
      </c>
      <c r="D60" s="289" t="s">
        <v>73</v>
      </c>
      <c r="E60" s="159">
        <f>'Table 2 StormwaterGroundwater'!AM63+'Table 6 WTP Flow Balance'!H54+'Table 6 WTP Flow Balance'!$U$8</f>
        <v>269.24134753377092</v>
      </c>
      <c r="F60" s="159">
        <f t="shared" si="4"/>
        <v>5.4575948824413025</v>
      </c>
      <c r="G60" s="289">
        <f>'Table 2 StormwaterGroundwater'!F63</f>
        <v>350</v>
      </c>
      <c r="H60" s="289">
        <f>'Table 2 StormwaterGroundwater'!G63+'Table 2 StormwaterGroundwater'!H63+'Table 2 StormwaterGroundwater'!I63+'Table 2 StormwaterGroundwater'!K63+'Table 2 StormwaterGroundwater'!M63+'Table 2 StormwaterGroundwater'!O63</f>
        <v>106.95497461472601</v>
      </c>
      <c r="I60" s="289">
        <f>SUM('Table 2 StormwaterGroundwater'!Q63,'Table 2 StormwaterGroundwater'!U63,'Table 2 StormwaterGroundwater'!W63,'Table 2 StormwaterGroundwater'!Y63,('Table 2 StormwaterGroundwater'!S63*(59/193)))</f>
        <v>9.9206523140220693</v>
      </c>
      <c r="J60" s="289">
        <f>SUM('Table 2 StormwaterGroundwater'!AA63,'Table 2 StormwaterGroundwater'!AC63,'Table 2 StormwaterGroundwater'!AE63)</f>
        <v>24.953391837899542</v>
      </c>
      <c r="K60" s="159">
        <f t="shared" si="7"/>
        <v>885.94511368860378</v>
      </c>
      <c r="L60" s="289" t="s">
        <v>73</v>
      </c>
      <c r="M60" s="289">
        <f>'Table 2 StormwaterGroundwater'!E63</f>
        <v>525</v>
      </c>
      <c r="N60" s="347">
        <f>'Table 2 StormwaterGroundwater'!C63</f>
        <v>10.945113688603733</v>
      </c>
      <c r="R60" s="66">
        <f t="shared" si="8"/>
        <v>71040</v>
      </c>
      <c r="S60" s="66">
        <f t="shared" si="5"/>
        <v>403.86202130065641</v>
      </c>
      <c r="T60" s="46">
        <f t="shared" si="9"/>
        <v>5.4575948824413025</v>
      </c>
      <c r="U60" s="68">
        <f t="shared" si="6"/>
        <v>387707.54044863011</v>
      </c>
    </row>
    <row r="61" spans="2:21" ht="14.25" x14ac:dyDescent="0.2">
      <c r="B61" s="345">
        <f t="shared" si="0"/>
        <v>56</v>
      </c>
      <c r="C61" s="159" t="s">
        <v>73</v>
      </c>
      <c r="D61" s="289" t="s">
        <v>73</v>
      </c>
      <c r="E61" s="159">
        <f>'Table 2 StormwaterGroundwater'!AM64+'Table 6 WTP Flow Balance'!H55+'Table 6 WTP Flow Balance'!$U$8</f>
        <v>269.1413475337709</v>
      </c>
      <c r="F61" s="159">
        <f t="shared" si="4"/>
        <v>5.4555678554142748</v>
      </c>
      <c r="G61" s="289">
        <f>'Table 2 StormwaterGroundwater'!F64</f>
        <v>350</v>
      </c>
      <c r="H61" s="289">
        <f>'Table 2 StormwaterGroundwater'!G64+'Table 2 StormwaterGroundwater'!H64+'Table 2 StormwaterGroundwater'!I64+'Table 2 StormwaterGroundwater'!K64+'Table 2 StormwaterGroundwater'!M64+'Table 2 StormwaterGroundwater'!O64</f>
        <v>106.95497461472601</v>
      </c>
      <c r="I61" s="289">
        <f>SUM('Table 2 StormwaterGroundwater'!Q64,'Table 2 StormwaterGroundwater'!U64,'Table 2 StormwaterGroundwater'!W64,'Table 2 StormwaterGroundwater'!Y64,('Table 2 StormwaterGroundwater'!S64*(59/193)))</f>
        <v>9.9206523140220693</v>
      </c>
      <c r="J61" s="289">
        <f>SUM('Table 2 StormwaterGroundwater'!AA64,'Table 2 StormwaterGroundwater'!AC64,'Table 2 StormwaterGroundwater'!AE64)</f>
        <v>24.953391837899542</v>
      </c>
      <c r="K61" s="159">
        <f t="shared" si="7"/>
        <v>885.2344283256748</v>
      </c>
      <c r="L61" s="289" t="s">
        <v>73</v>
      </c>
      <c r="M61" s="289">
        <f>'Table 2 StormwaterGroundwater'!E64</f>
        <v>525</v>
      </c>
      <c r="N61" s="347">
        <f>'Table 2 StormwaterGroundwater'!C64</f>
        <v>10.234428325674816</v>
      </c>
      <c r="R61" s="66">
        <f t="shared" si="8"/>
        <v>71040</v>
      </c>
      <c r="S61" s="66">
        <f t="shared" si="5"/>
        <v>403.71202130065632</v>
      </c>
      <c r="T61" s="46">
        <f t="shared" si="9"/>
        <v>5.4555678554142748</v>
      </c>
      <c r="U61" s="68">
        <f t="shared" si="6"/>
        <v>387563.54044863011</v>
      </c>
    </row>
    <row r="62" spans="2:21" ht="14.25" x14ac:dyDescent="0.2">
      <c r="B62" s="345">
        <f t="shared" si="0"/>
        <v>57</v>
      </c>
      <c r="C62" s="159" t="s">
        <v>73</v>
      </c>
      <c r="D62" s="289" t="s">
        <v>73</v>
      </c>
      <c r="E62" s="159">
        <f>'Table 2 StormwaterGroundwater'!AM65+'Table 6 WTP Flow Balance'!H56+'Table 6 WTP Flow Balance'!$U$8</f>
        <v>269.04134753377093</v>
      </c>
      <c r="F62" s="159">
        <f t="shared" si="4"/>
        <v>5.453540828387248</v>
      </c>
      <c r="G62" s="289">
        <f>'Table 2 StormwaterGroundwater'!F65</f>
        <v>350</v>
      </c>
      <c r="H62" s="289">
        <f>'Table 2 StormwaterGroundwater'!G65+'Table 2 StormwaterGroundwater'!H65+'Table 2 StormwaterGroundwater'!I65+'Table 2 StormwaterGroundwater'!K65+'Table 2 StormwaterGroundwater'!M65+'Table 2 StormwaterGroundwater'!O65</f>
        <v>106.95497461472601</v>
      </c>
      <c r="I62" s="289">
        <f>SUM('Table 2 StormwaterGroundwater'!Q65,'Table 2 StormwaterGroundwater'!U65,'Table 2 StormwaterGroundwater'!W65,'Table 2 StormwaterGroundwater'!Y65,('Table 2 StormwaterGroundwater'!S65*(59/193)))</f>
        <v>9.9206523140220693</v>
      </c>
      <c r="J62" s="289">
        <f>SUM('Table 2 StormwaterGroundwater'!AA65,'Table 2 StormwaterGroundwater'!AC65,'Table 2 StormwaterGroundwater'!AE65)</f>
        <v>24.953391837899542</v>
      </c>
      <c r="K62" s="159">
        <f t="shared" si="7"/>
        <v>884.53631952372336</v>
      </c>
      <c r="L62" s="289" t="s">
        <v>73</v>
      </c>
      <c r="M62" s="289">
        <f>'Table 2 StormwaterGroundwater'!E65</f>
        <v>525</v>
      </c>
      <c r="N62" s="347">
        <f>'Table 2 StormwaterGroundwater'!C65</f>
        <v>9.5363195237234066</v>
      </c>
      <c r="R62" s="66">
        <f t="shared" si="8"/>
        <v>71040</v>
      </c>
      <c r="S62" s="66">
        <f t="shared" si="5"/>
        <v>403.56202130065634</v>
      </c>
      <c r="T62" s="46">
        <f t="shared" si="9"/>
        <v>5.453540828387248</v>
      </c>
      <c r="U62" s="68">
        <f t="shared" si="6"/>
        <v>387419.54044863011</v>
      </c>
    </row>
    <row r="63" spans="2:21" ht="14.25" x14ac:dyDescent="0.2">
      <c r="B63" s="345">
        <f t="shared" si="0"/>
        <v>58</v>
      </c>
      <c r="C63" s="159" t="s">
        <v>73</v>
      </c>
      <c r="D63" s="289" t="s">
        <v>73</v>
      </c>
      <c r="E63" s="159">
        <f>'Table 2 StormwaterGroundwater'!AM66+'Table 6 WTP Flow Balance'!H57+'Table 6 WTP Flow Balance'!$U$8</f>
        <v>268.94134753377091</v>
      </c>
      <c r="F63" s="159">
        <f t="shared" si="4"/>
        <v>5.4515138013602211</v>
      </c>
      <c r="G63" s="289">
        <f>'Table 2 StormwaterGroundwater'!F66</f>
        <v>350</v>
      </c>
      <c r="H63" s="289">
        <f>'Table 2 StormwaterGroundwater'!G66+'Table 2 StormwaterGroundwater'!H66+'Table 2 StormwaterGroundwater'!I66+'Table 2 StormwaterGroundwater'!K66+'Table 2 StormwaterGroundwater'!M66+'Table 2 StormwaterGroundwater'!O66</f>
        <v>106.95497461472601</v>
      </c>
      <c r="I63" s="289">
        <f>SUM('Table 2 StormwaterGroundwater'!Q66,'Table 2 StormwaterGroundwater'!U66,'Table 2 StormwaterGroundwater'!W66,'Table 2 StormwaterGroundwater'!Y66,('Table 2 StormwaterGroundwater'!S66*(59/193)))</f>
        <v>9.9206523140220693</v>
      </c>
      <c r="J63" s="289">
        <f>SUM('Table 2 StormwaterGroundwater'!AA66,'Table 2 StormwaterGroundwater'!AC66,'Table 2 StormwaterGroundwater'!AE66)</f>
        <v>24.953391837899542</v>
      </c>
      <c r="K63" s="159">
        <f t="shared" si="7"/>
        <v>883.85164658684675</v>
      </c>
      <c r="L63" s="289" t="s">
        <v>73</v>
      </c>
      <c r="M63" s="289">
        <f>'Table 2 StormwaterGroundwater'!E66</f>
        <v>525</v>
      </c>
      <c r="N63" s="347">
        <f>'Table 2 StormwaterGroundwater'!C66</f>
        <v>8.8516465868468099</v>
      </c>
      <c r="R63" s="66">
        <f t="shared" si="8"/>
        <v>71040</v>
      </c>
      <c r="S63" s="66">
        <f t="shared" si="5"/>
        <v>403.41202130065636</v>
      </c>
      <c r="T63" s="46">
        <f t="shared" si="9"/>
        <v>5.4515138013602211</v>
      </c>
      <c r="U63" s="68">
        <f t="shared" si="6"/>
        <v>387275.54044863011</v>
      </c>
    </row>
    <row r="64" spans="2:21" ht="14.25" x14ac:dyDescent="0.2">
      <c r="B64" s="345">
        <f t="shared" si="0"/>
        <v>59</v>
      </c>
      <c r="C64" s="159" t="s">
        <v>73</v>
      </c>
      <c r="D64" s="289" t="s">
        <v>73</v>
      </c>
      <c r="E64" s="159">
        <f>'Table 2 StormwaterGroundwater'!AM67+'Table 6 WTP Flow Balance'!H58+'Table 6 WTP Flow Balance'!$U$8</f>
        <v>268.84134753377094</v>
      </c>
      <c r="F64" s="159">
        <f t="shared" si="4"/>
        <v>5.4494867743331952</v>
      </c>
      <c r="G64" s="289">
        <f>'Table 2 StormwaterGroundwater'!F67</f>
        <v>350</v>
      </c>
      <c r="H64" s="289">
        <f>'Table 2 StormwaterGroundwater'!G67+'Table 2 StormwaterGroundwater'!H67+'Table 2 StormwaterGroundwater'!I67+'Table 2 StormwaterGroundwater'!K67+'Table 2 StormwaterGroundwater'!M67+'Table 2 StormwaterGroundwater'!O67</f>
        <v>106.95497461472601</v>
      </c>
      <c r="I64" s="289">
        <f>SUM('Table 2 StormwaterGroundwater'!Q67,'Table 2 StormwaterGroundwater'!U67,'Table 2 StormwaterGroundwater'!W67,'Table 2 StormwaterGroundwater'!Y67,('Table 2 StormwaterGroundwater'!S67*(59/193)))</f>
        <v>9.9206523140220693</v>
      </c>
      <c r="J64" s="289">
        <f>SUM('Table 2 StormwaterGroundwater'!AA67,'Table 2 StormwaterGroundwater'!AC67,'Table 2 StormwaterGroundwater'!AE67)</f>
        <v>24.953391837899542</v>
      </c>
      <c r="K64" s="159">
        <f t="shared" si="7"/>
        <v>883.17945912541347</v>
      </c>
      <c r="L64" s="289" t="s">
        <v>73</v>
      </c>
      <c r="M64" s="289">
        <f>'Table 2 StormwaterGroundwater'!E67</f>
        <v>525</v>
      </c>
      <c r="N64" s="347">
        <f>'Table 2 StormwaterGroundwater'!C67</f>
        <v>8.1794591254134215</v>
      </c>
      <c r="R64" s="66">
        <f t="shared" si="8"/>
        <v>71040</v>
      </c>
      <c r="S64" s="66">
        <f t="shared" si="5"/>
        <v>403.26202130065644</v>
      </c>
      <c r="T64" s="46">
        <f t="shared" si="9"/>
        <v>5.4494867743331952</v>
      </c>
      <c r="U64" s="68">
        <f t="shared" si="6"/>
        <v>387131.54044863017</v>
      </c>
    </row>
    <row r="65" spans="2:21" ht="14.25" x14ac:dyDescent="0.2">
      <c r="B65" s="345">
        <f t="shared" si="0"/>
        <v>60</v>
      </c>
      <c r="C65" s="159" t="s">
        <v>73</v>
      </c>
      <c r="D65" s="289" t="s">
        <v>73</v>
      </c>
      <c r="E65" s="159">
        <f>'Table 2 StormwaterGroundwater'!AM68+'Table 6 WTP Flow Balance'!H59+'Table 6 WTP Flow Balance'!$U$8</f>
        <v>268.74134753377092</v>
      </c>
      <c r="F65" s="159">
        <f t="shared" si="4"/>
        <v>5.4474597473061674</v>
      </c>
      <c r="G65" s="289">
        <f>'Table 2 StormwaterGroundwater'!F68</f>
        <v>350</v>
      </c>
      <c r="H65" s="289">
        <f>'Table 2 StormwaterGroundwater'!G68+'Table 2 StormwaterGroundwater'!H68+'Table 2 StormwaterGroundwater'!I68+'Table 2 StormwaterGroundwater'!K68+'Table 2 StormwaterGroundwater'!M68+'Table 2 StormwaterGroundwater'!O68</f>
        <v>106.95497461472601</v>
      </c>
      <c r="I65" s="289">
        <f>SUM('Table 2 StormwaterGroundwater'!Q68,'Table 2 StormwaterGroundwater'!U68,'Table 2 StormwaterGroundwater'!W68,'Table 2 StormwaterGroundwater'!Y68,('Table 2 StormwaterGroundwater'!S68*(59/193)))</f>
        <v>9.9206523140220693</v>
      </c>
      <c r="J65" s="289">
        <f>SUM('Table 2 StormwaterGroundwater'!AA68,'Table 2 StormwaterGroundwater'!AC68,'Table 2 StormwaterGroundwater'!AE68)</f>
        <v>24.953391837899542</v>
      </c>
      <c r="K65" s="159">
        <f t="shared" si="7"/>
        <v>882.51892261500825</v>
      </c>
      <c r="L65" s="289" t="s">
        <v>73</v>
      </c>
      <c r="M65" s="289">
        <f>'Table 2 StormwaterGroundwater'!E68</f>
        <v>525</v>
      </c>
      <c r="N65" s="347">
        <f>'Table 2 StormwaterGroundwater'!C68</f>
        <v>7.5189226150081998</v>
      </c>
      <c r="R65" s="66">
        <f t="shared" si="8"/>
        <v>71040</v>
      </c>
      <c r="S65" s="66">
        <f t="shared" si="5"/>
        <v>403.11202130065641</v>
      </c>
      <c r="T65" s="46">
        <f t="shared" si="9"/>
        <v>5.4474597473061674</v>
      </c>
      <c r="U65" s="68">
        <f t="shared" si="6"/>
        <v>386987.54044863011</v>
      </c>
    </row>
    <row r="66" spans="2:21" ht="14.25" x14ac:dyDescent="0.2">
      <c r="B66" s="345">
        <f t="shared" si="0"/>
        <v>61</v>
      </c>
      <c r="C66" s="159" t="s">
        <v>73</v>
      </c>
      <c r="D66" s="289" t="s">
        <v>73</v>
      </c>
      <c r="E66" s="159">
        <f>'Table 2 StormwaterGroundwater'!AM69+'Table 6 WTP Flow Balance'!H60+'Table 6 WTP Flow Balance'!$U$8</f>
        <v>268.6413475337709</v>
      </c>
      <c r="F66" s="159">
        <f t="shared" si="4"/>
        <v>5.4454327202791397</v>
      </c>
      <c r="G66" s="289">
        <f>'Table 2 StormwaterGroundwater'!F69</f>
        <v>350</v>
      </c>
      <c r="H66" s="289">
        <f>'Table 2 StormwaterGroundwater'!G69+'Table 2 StormwaterGroundwater'!H69+'Table 2 StormwaterGroundwater'!I69+'Table 2 StormwaterGroundwater'!K69+'Table 2 StormwaterGroundwater'!M69+'Table 2 StormwaterGroundwater'!O69</f>
        <v>106.95497461472601</v>
      </c>
      <c r="I66" s="289">
        <f>SUM('Table 2 StormwaterGroundwater'!Q69,'Table 2 StormwaterGroundwater'!U69,'Table 2 StormwaterGroundwater'!W69,'Table 2 StormwaterGroundwater'!Y69,('Table 2 StormwaterGroundwater'!S69*(59/193)))</f>
        <v>9.9206523140220693</v>
      </c>
      <c r="J66" s="289">
        <f>SUM('Table 2 StormwaterGroundwater'!AA69,'Table 2 StormwaterGroundwater'!AC69,'Table 2 StormwaterGroundwater'!AE69)</f>
        <v>24.953391837899542</v>
      </c>
      <c r="K66" s="159">
        <f t="shared" si="7"/>
        <v>881.87097991832638</v>
      </c>
      <c r="L66" s="289" t="s">
        <v>73</v>
      </c>
      <c r="M66" s="289">
        <f>'Table 2 StormwaterGroundwater'!E69</f>
        <v>525</v>
      </c>
      <c r="N66" s="347">
        <f>'Table 2 StormwaterGroundwater'!C69</f>
        <v>6.8709799183263973</v>
      </c>
      <c r="R66" s="66">
        <f t="shared" si="8"/>
        <v>71040</v>
      </c>
      <c r="S66" s="66">
        <f t="shared" si="5"/>
        <v>402.96202130065632</v>
      </c>
      <c r="T66" s="46">
        <f t="shared" si="9"/>
        <v>5.4454327202791397</v>
      </c>
      <c r="U66" s="68">
        <f t="shared" si="6"/>
        <v>386843.54044863011</v>
      </c>
    </row>
    <row r="67" spans="2:21" ht="14.25" x14ac:dyDescent="0.2">
      <c r="B67" s="345">
        <f t="shared" si="0"/>
        <v>62</v>
      </c>
      <c r="C67" s="159" t="s">
        <v>73</v>
      </c>
      <c r="D67" s="289" t="s">
        <v>73</v>
      </c>
      <c r="E67" s="159">
        <f>'Table 2 StormwaterGroundwater'!AM70+'Table 6 WTP Flow Balance'!H61+'Table 6 WTP Flow Balance'!$U$8</f>
        <v>268.04134753377093</v>
      </c>
      <c r="F67" s="159">
        <f t="shared" si="4"/>
        <v>5.4332705581169778</v>
      </c>
      <c r="G67" s="289">
        <f>'Table 2 StormwaterGroundwater'!F70</f>
        <v>350</v>
      </c>
      <c r="H67" s="289">
        <f>'Table 2 StormwaterGroundwater'!G70+'Table 2 StormwaterGroundwater'!H70+'Table 2 StormwaterGroundwater'!I70+'Table 2 StormwaterGroundwater'!K70+'Table 2 StormwaterGroundwater'!M70+'Table 2 StormwaterGroundwater'!O70</f>
        <v>106.95497461472601</v>
      </c>
      <c r="I67" s="289">
        <f>SUM('Table 2 StormwaterGroundwater'!Q70,'Table 2 StormwaterGroundwater'!U70,'Table 2 StormwaterGroundwater'!W70,'Table 2 StormwaterGroundwater'!Y70,('Table 2 StormwaterGroundwater'!S70*(59/193)))</f>
        <v>9.9206523140220693</v>
      </c>
      <c r="J67" s="289">
        <f>SUM('Table 2 StormwaterGroundwater'!AA70,'Table 2 StormwaterGroundwater'!AC70,'Table 2 StormwaterGroundwater'!AE70)</f>
        <v>24.953391837899542</v>
      </c>
      <c r="K67" s="159">
        <f t="shared" si="7"/>
        <v>877.39721061454259</v>
      </c>
      <c r="L67" s="289" t="s">
        <v>73</v>
      </c>
      <c r="M67" s="289">
        <f>'Table 2 StormwaterGroundwater'!E70</f>
        <v>525</v>
      </c>
      <c r="N67" s="347">
        <f>'Table 2 StormwaterGroundwater'!C70</f>
        <v>2.3972106145425309</v>
      </c>
      <c r="R67" s="66">
        <f t="shared" si="8"/>
        <v>71040</v>
      </c>
      <c r="S67" s="66">
        <f t="shared" si="5"/>
        <v>402.06202130065634</v>
      </c>
      <c r="T67" s="46">
        <f t="shared" si="9"/>
        <v>5.4332705581169778</v>
      </c>
      <c r="U67" s="68">
        <f t="shared" si="6"/>
        <v>385979.54044863011</v>
      </c>
    </row>
    <row r="68" spans="2:21" ht="15" thickBot="1" x14ac:dyDescent="0.25">
      <c r="B68" s="348" t="s">
        <v>75</v>
      </c>
      <c r="C68" s="180" t="s">
        <v>73</v>
      </c>
      <c r="D68" s="290" t="s">
        <v>73</v>
      </c>
      <c r="E68" s="290">
        <f>'Table 2 StormwaterGroundwater'!AM71+'Table 6 WTP Flow Balance'!H62+'Table 6 WTP Flow Balance'!$U$8</f>
        <v>267.74134753377092</v>
      </c>
      <c r="F68" s="180">
        <f t="shared" si="4"/>
        <v>5.4271894770358973</v>
      </c>
      <c r="G68" s="290">
        <f>'Table 2 StormwaterGroundwater'!F71</f>
        <v>350</v>
      </c>
      <c r="H68" s="290">
        <f>'Table 2 StormwaterGroundwater'!G71+'Table 2 StormwaterGroundwater'!H71+'Table 2 StormwaterGroundwater'!I71+'Table 2 StormwaterGroundwater'!K71+'Table 2 StormwaterGroundwater'!M71+'Table 2 StormwaterGroundwater'!O71</f>
        <v>106.95497461472601</v>
      </c>
      <c r="I68" s="290">
        <f>SUM('Table 2 StormwaterGroundwater'!Q71,'Table 2 StormwaterGroundwater'!U71,'Table 2 StormwaterGroundwater'!W71,'Table 2 StormwaterGroundwater'!Y71,('Table 2 StormwaterGroundwater'!S71*(59/193)))</f>
        <v>9.9206523140220693</v>
      </c>
      <c r="J68" s="290">
        <f>SUM('Table 2 StormwaterGroundwater'!AA71,'Table 2 StormwaterGroundwater'!AC71,'Table 2 StormwaterGroundwater'!AE71)</f>
        <v>24.953391837899542</v>
      </c>
      <c r="K68" s="180">
        <f t="shared" si="7"/>
        <v>875</v>
      </c>
      <c r="L68" s="290" t="s">
        <v>73</v>
      </c>
      <c r="M68" s="290">
        <f>'Table 2 StormwaterGroundwater'!E71</f>
        <v>525</v>
      </c>
      <c r="N68" s="349">
        <f>'Table 2 StormwaterGroundwater'!C71</f>
        <v>0</v>
      </c>
      <c r="R68" s="66">
        <f t="shared" si="8"/>
        <v>71040</v>
      </c>
      <c r="S68" s="66">
        <f t="shared" si="5"/>
        <v>401.61202130065641</v>
      </c>
      <c r="T68" s="46">
        <f t="shared" si="9"/>
        <v>5.4271894770358973</v>
      </c>
      <c r="U68" s="68">
        <f t="shared" si="6"/>
        <v>385547.54044863011</v>
      </c>
    </row>
    <row r="69" spans="2:21" ht="13.5" hidden="1" thickTop="1" x14ac:dyDescent="0.2">
      <c r="B69" s="106">
        <f>B67+2</f>
        <v>64</v>
      </c>
      <c r="C69" s="107" t="s">
        <v>73</v>
      </c>
      <c r="D69" s="108" t="s">
        <v>73</v>
      </c>
      <c r="E69" s="100">
        <f>'Table 2 StormwaterGroundwater'!AM72+'Table 6 WTP Flow Balance'!H63+'Table 6 WTP Flow Balance'!$U$8</f>
        <v>267.74134753377092</v>
      </c>
      <c r="F69" s="107">
        <f t="shared" si="4"/>
        <v>5.4271894770358973</v>
      </c>
      <c r="G69" s="108">
        <f>'Table 2 StormwaterGroundwater'!F72</f>
        <v>350</v>
      </c>
      <c r="H69" s="108">
        <f>'Table 2 StormwaterGroundwater'!G72+'Table 2 StormwaterGroundwater'!H72+'Table 2 StormwaterGroundwater'!I72+'Table 2 StormwaterGroundwater'!K72+'Table 2 StormwaterGroundwater'!M72+'Table 2 StormwaterGroundwater'!O72</f>
        <v>106.95497461472601</v>
      </c>
      <c r="I69" s="101">
        <f>SUM('Table 2 StormwaterGroundwater'!Q72,'Table 2 StormwaterGroundwater'!U72,'Table 2 StormwaterGroundwater'!W72,'Table 2 StormwaterGroundwater'!Y72,('Table 2 StormwaterGroundwater'!S72*(59/193)))</f>
        <v>9.9206523140220693</v>
      </c>
      <c r="J69" s="108">
        <f>SUM('Table 2 StormwaterGroundwater'!AA72,'Table 2 StormwaterGroundwater'!AC72,'Table 2 StormwaterGroundwater'!AE72)</f>
        <v>24.953391837899542</v>
      </c>
      <c r="K69" s="107">
        <f t="shared" si="7"/>
        <v>875</v>
      </c>
      <c r="L69" s="108" t="s">
        <v>73</v>
      </c>
      <c r="M69" s="108">
        <f>'Table 2 StormwaterGroundwater'!E72</f>
        <v>525</v>
      </c>
      <c r="N69" s="109">
        <f>'Table 2 StormwaterGroundwater'!C72</f>
        <v>0</v>
      </c>
      <c r="R69" s="66">
        <f t="shared" si="8"/>
        <v>71040</v>
      </c>
      <c r="S69" s="66">
        <f t="shared" si="5"/>
        <v>401.61202130065641</v>
      </c>
      <c r="T69" s="46">
        <f t="shared" si="9"/>
        <v>5.4271894770358973</v>
      </c>
      <c r="U69" s="68">
        <f t="shared" si="6"/>
        <v>385547.54044863011</v>
      </c>
    </row>
    <row r="70" spans="2:21" ht="13.5" hidden="1" thickTop="1" x14ac:dyDescent="0.2">
      <c r="B70" s="92">
        <f t="shared" si="0"/>
        <v>65</v>
      </c>
      <c r="C70" s="100" t="s">
        <v>73</v>
      </c>
      <c r="D70" s="101" t="s">
        <v>73</v>
      </c>
      <c r="E70" s="100">
        <f>'Table 2 StormwaterGroundwater'!AM73+'Table 6 WTP Flow Balance'!H64+'Table 6 WTP Flow Balance'!$U$8</f>
        <v>267.74134753377092</v>
      </c>
      <c r="F70" s="100">
        <f t="shared" si="4"/>
        <v>5.4271894770358973</v>
      </c>
      <c r="G70" s="101">
        <f>'Table 2 StormwaterGroundwater'!F73</f>
        <v>350</v>
      </c>
      <c r="H70" s="101">
        <f>'Table 2 StormwaterGroundwater'!G73+'Table 2 StormwaterGroundwater'!H73+'Table 2 StormwaterGroundwater'!I73+'Table 2 StormwaterGroundwater'!K73+'Table 2 StormwaterGroundwater'!M73+'Table 2 StormwaterGroundwater'!O73</f>
        <v>106.95497461472601</v>
      </c>
      <c r="I70" s="101">
        <f>SUM('Table 2 StormwaterGroundwater'!Q73,'Table 2 StormwaterGroundwater'!U73,'Table 2 StormwaterGroundwater'!W73,'Table 2 StormwaterGroundwater'!Y73,('Table 2 StormwaterGroundwater'!S73*(59/193)))</f>
        <v>9.9206523140220693</v>
      </c>
      <c r="J70" s="101">
        <f>SUM('Table 2 StormwaterGroundwater'!AA73,'Table 2 StormwaterGroundwater'!AC73,'Table 2 StormwaterGroundwater'!AE73)</f>
        <v>24.953391837899542</v>
      </c>
      <c r="K70" s="100">
        <f t="shared" si="7"/>
        <v>875</v>
      </c>
      <c r="L70" s="101" t="s">
        <v>73</v>
      </c>
      <c r="M70" s="101">
        <f>'Table 2 StormwaterGroundwater'!E73</f>
        <v>525</v>
      </c>
      <c r="N70" s="102">
        <f>'Table 2 StormwaterGroundwater'!C73</f>
        <v>0</v>
      </c>
      <c r="R70" s="66">
        <f t="shared" si="8"/>
        <v>71040</v>
      </c>
      <c r="S70" s="66">
        <f t="shared" si="5"/>
        <v>401.61202130065641</v>
      </c>
      <c r="T70" s="46">
        <f t="shared" si="9"/>
        <v>5.4271894770358973</v>
      </c>
      <c r="U70" s="68">
        <f t="shared" si="6"/>
        <v>385547.54044863011</v>
      </c>
    </row>
    <row r="71" spans="2:21" ht="13.5" hidden="1" thickTop="1" x14ac:dyDescent="0.2">
      <c r="B71" s="92">
        <f t="shared" ref="B71:B104" si="10">B70+1</f>
        <v>66</v>
      </c>
      <c r="C71" s="100" t="s">
        <v>73</v>
      </c>
      <c r="D71" s="101" t="s">
        <v>73</v>
      </c>
      <c r="E71" s="100">
        <f>'Table 2 StormwaterGroundwater'!AM74+'Table 6 WTP Flow Balance'!H65+'Table 6 WTP Flow Balance'!$U$8</f>
        <v>267.74134753377092</v>
      </c>
      <c r="F71" s="100">
        <f t="shared" si="4"/>
        <v>5.4271894770358973</v>
      </c>
      <c r="G71" s="101">
        <f>'Table 2 StormwaterGroundwater'!F74</f>
        <v>350</v>
      </c>
      <c r="H71" s="101">
        <f>'Table 2 StormwaterGroundwater'!G74+'Table 2 StormwaterGroundwater'!H74+'Table 2 StormwaterGroundwater'!I74+'Table 2 StormwaterGroundwater'!K74+'Table 2 StormwaterGroundwater'!M74+'Table 2 StormwaterGroundwater'!O74</f>
        <v>106.95497461472601</v>
      </c>
      <c r="I71" s="101">
        <f>SUM('Table 2 StormwaterGroundwater'!Q74,'Table 2 StormwaterGroundwater'!U74,'Table 2 StormwaterGroundwater'!W74,'Table 2 StormwaterGroundwater'!Y74,('Table 2 StormwaterGroundwater'!S74*(59/193)))</f>
        <v>9.9206523140220693</v>
      </c>
      <c r="J71" s="101">
        <f>SUM('Table 2 StormwaterGroundwater'!AA74,'Table 2 StormwaterGroundwater'!AC74,'Table 2 StormwaterGroundwater'!AE74)</f>
        <v>24.953391837899542</v>
      </c>
      <c r="K71" s="100">
        <f t="shared" si="7"/>
        <v>875</v>
      </c>
      <c r="L71" s="101" t="s">
        <v>73</v>
      </c>
      <c r="M71" s="101">
        <f>'Table 2 StormwaterGroundwater'!E74</f>
        <v>525</v>
      </c>
      <c r="N71" s="102">
        <f>'Table 2 StormwaterGroundwater'!C74</f>
        <v>0</v>
      </c>
      <c r="R71" s="66">
        <f t="shared" si="8"/>
        <v>71040</v>
      </c>
      <c r="S71" s="66">
        <f t="shared" si="5"/>
        <v>401.61202130065641</v>
      </c>
      <c r="T71" s="46">
        <f t="shared" si="9"/>
        <v>5.4271894770358973</v>
      </c>
      <c r="U71" s="68">
        <f t="shared" si="6"/>
        <v>385547.54044863011</v>
      </c>
    </row>
    <row r="72" spans="2:21" ht="13.5" hidden="1" thickTop="1" x14ac:dyDescent="0.2">
      <c r="B72" s="92">
        <f t="shared" si="10"/>
        <v>67</v>
      </c>
      <c r="C72" s="100" t="s">
        <v>73</v>
      </c>
      <c r="D72" s="101" t="s">
        <v>73</v>
      </c>
      <c r="E72" s="100">
        <f>'Table 2 StormwaterGroundwater'!AM75+'Table 6 WTP Flow Balance'!H66+'Table 6 WTP Flow Balance'!$U$8</f>
        <v>267.74134753377092</v>
      </c>
      <c r="F72" s="100">
        <f t="shared" si="4"/>
        <v>5.4271894770358973</v>
      </c>
      <c r="G72" s="101">
        <f>'Table 2 StormwaterGroundwater'!F75</f>
        <v>350</v>
      </c>
      <c r="H72" s="101">
        <f>'Table 2 StormwaterGroundwater'!G75+'Table 2 StormwaterGroundwater'!H75+'Table 2 StormwaterGroundwater'!I75+'Table 2 StormwaterGroundwater'!K75+'Table 2 StormwaterGroundwater'!M75+'Table 2 StormwaterGroundwater'!O75</f>
        <v>106.95497461472601</v>
      </c>
      <c r="I72" s="101">
        <f>SUM('Table 2 StormwaterGroundwater'!Q75,'Table 2 StormwaterGroundwater'!U75,'Table 2 StormwaterGroundwater'!W75,'Table 2 StormwaterGroundwater'!Y75,('Table 2 StormwaterGroundwater'!S75*(59/193)))</f>
        <v>9.9206523140220693</v>
      </c>
      <c r="J72" s="101">
        <f>SUM('Table 2 StormwaterGroundwater'!AA75,'Table 2 StormwaterGroundwater'!AC75,'Table 2 StormwaterGroundwater'!AE75)</f>
        <v>24.953391837899542</v>
      </c>
      <c r="K72" s="100">
        <f t="shared" si="7"/>
        <v>875</v>
      </c>
      <c r="L72" s="101" t="s">
        <v>73</v>
      </c>
      <c r="M72" s="101">
        <f>'Table 2 StormwaterGroundwater'!E75</f>
        <v>525</v>
      </c>
      <c r="N72" s="102">
        <f>'Table 2 StormwaterGroundwater'!C75</f>
        <v>0</v>
      </c>
      <c r="R72" s="66">
        <f t="shared" si="8"/>
        <v>71040</v>
      </c>
      <c r="S72" s="66">
        <f t="shared" si="5"/>
        <v>401.61202130065641</v>
      </c>
      <c r="T72" s="46">
        <f t="shared" si="9"/>
        <v>5.4271894770358973</v>
      </c>
      <c r="U72" s="68">
        <f t="shared" si="6"/>
        <v>385547.54044863011</v>
      </c>
    </row>
    <row r="73" spans="2:21" ht="13.5" hidden="1" thickTop="1" x14ac:dyDescent="0.2">
      <c r="B73" s="92">
        <f t="shared" si="10"/>
        <v>68</v>
      </c>
      <c r="C73" s="100" t="s">
        <v>73</v>
      </c>
      <c r="D73" s="101" t="s">
        <v>73</v>
      </c>
      <c r="E73" s="100">
        <f>'Table 2 StormwaterGroundwater'!AM76+'Table 6 WTP Flow Balance'!H67+'Table 6 WTP Flow Balance'!$U$8</f>
        <v>267.74134753377092</v>
      </c>
      <c r="F73" s="100">
        <f t="shared" si="4"/>
        <v>5.4271894770358973</v>
      </c>
      <c r="G73" s="101">
        <f>'Table 2 StormwaterGroundwater'!F76</f>
        <v>350</v>
      </c>
      <c r="H73" s="101">
        <f>'Table 2 StormwaterGroundwater'!G76+'Table 2 StormwaterGroundwater'!H76+'Table 2 StormwaterGroundwater'!I76+'Table 2 StormwaterGroundwater'!K76+'Table 2 StormwaterGroundwater'!M76+'Table 2 StormwaterGroundwater'!O76</f>
        <v>106.95497461472601</v>
      </c>
      <c r="I73" s="101">
        <f>SUM('Table 2 StormwaterGroundwater'!Q76,'Table 2 StormwaterGroundwater'!U76,'Table 2 StormwaterGroundwater'!W76,'Table 2 StormwaterGroundwater'!Y76,('Table 2 StormwaterGroundwater'!S76*(59/193)))</f>
        <v>9.9206523140220693</v>
      </c>
      <c r="J73" s="101">
        <f>SUM('Table 2 StormwaterGroundwater'!AA76,'Table 2 StormwaterGroundwater'!AC76,'Table 2 StormwaterGroundwater'!AE76)</f>
        <v>24.953391837899542</v>
      </c>
      <c r="K73" s="100">
        <f t="shared" si="7"/>
        <v>875</v>
      </c>
      <c r="L73" s="101" t="s">
        <v>73</v>
      </c>
      <c r="M73" s="101">
        <f>'Table 2 StormwaterGroundwater'!E76</f>
        <v>525</v>
      </c>
      <c r="N73" s="102">
        <f>'Table 2 StormwaterGroundwater'!C76</f>
        <v>0</v>
      </c>
      <c r="R73" s="66">
        <f t="shared" si="8"/>
        <v>71040</v>
      </c>
      <c r="S73" s="66">
        <f t="shared" si="5"/>
        <v>401.61202130065641</v>
      </c>
      <c r="T73" s="46">
        <f t="shared" si="9"/>
        <v>5.4271894770358973</v>
      </c>
      <c r="U73" s="68">
        <f t="shared" si="6"/>
        <v>385547.54044863011</v>
      </c>
    </row>
    <row r="74" spans="2:21" ht="13.5" hidden="1" thickTop="1" x14ac:dyDescent="0.2">
      <c r="B74" s="92">
        <f t="shared" si="10"/>
        <v>69</v>
      </c>
      <c r="C74" s="100" t="s">
        <v>73</v>
      </c>
      <c r="D74" s="101" t="s">
        <v>73</v>
      </c>
      <c r="E74" s="100">
        <f>'Table 2 StormwaterGroundwater'!AM77+'Table 6 WTP Flow Balance'!H68+'Table 6 WTP Flow Balance'!$U$8</f>
        <v>267.74134753377092</v>
      </c>
      <c r="F74" s="100">
        <f t="shared" si="4"/>
        <v>5.4271894770358973</v>
      </c>
      <c r="G74" s="101">
        <f>'Table 2 StormwaterGroundwater'!F77</f>
        <v>350</v>
      </c>
      <c r="H74" s="101">
        <f>'Table 2 StormwaterGroundwater'!G77+'Table 2 StormwaterGroundwater'!H77+'Table 2 StormwaterGroundwater'!I77+'Table 2 StormwaterGroundwater'!K77+'Table 2 StormwaterGroundwater'!M77+'Table 2 StormwaterGroundwater'!O77</f>
        <v>106.95497461472601</v>
      </c>
      <c r="I74" s="101">
        <f>SUM('Table 2 StormwaterGroundwater'!Q77,'Table 2 StormwaterGroundwater'!U77,'Table 2 StormwaterGroundwater'!W77,'Table 2 StormwaterGroundwater'!Y77,('Table 2 StormwaterGroundwater'!S77*(59/193)))</f>
        <v>9.9206523140220693</v>
      </c>
      <c r="J74" s="101">
        <f>SUM('Table 2 StormwaterGroundwater'!AA77,'Table 2 StormwaterGroundwater'!AC77,'Table 2 StormwaterGroundwater'!AE77)</f>
        <v>24.953391837899542</v>
      </c>
      <c r="K74" s="100">
        <f t="shared" si="7"/>
        <v>875</v>
      </c>
      <c r="L74" s="101" t="s">
        <v>73</v>
      </c>
      <c r="M74" s="101">
        <f>'Table 2 StormwaterGroundwater'!E77</f>
        <v>525</v>
      </c>
      <c r="N74" s="102">
        <f>'Table 2 StormwaterGroundwater'!C77</f>
        <v>0</v>
      </c>
      <c r="R74" s="66">
        <f t="shared" si="8"/>
        <v>71040</v>
      </c>
      <c r="S74" s="66">
        <f t="shared" si="5"/>
        <v>401.61202130065641</v>
      </c>
      <c r="T74" s="46">
        <f t="shared" si="9"/>
        <v>5.4271894770358973</v>
      </c>
      <c r="U74" s="68">
        <f t="shared" si="6"/>
        <v>385547.54044863011</v>
      </c>
    </row>
    <row r="75" spans="2:21" ht="13.5" hidden="1" thickTop="1" x14ac:dyDescent="0.2">
      <c r="B75" s="92">
        <f t="shared" si="10"/>
        <v>70</v>
      </c>
      <c r="C75" s="100" t="s">
        <v>73</v>
      </c>
      <c r="D75" s="101" t="s">
        <v>73</v>
      </c>
      <c r="E75" s="100">
        <f>'Table 2 StormwaterGroundwater'!AM78+'Table 6 WTP Flow Balance'!H69+'Table 6 WTP Flow Balance'!$U$8</f>
        <v>267.74134753377092</v>
      </c>
      <c r="F75" s="100">
        <f t="shared" si="4"/>
        <v>5.4271894770358973</v>
      </c>
      <c r="G75" s="101">
        <f>'Table 2 StormwaterGroundwater'!F78</f>
        <v>350</v>
      </c>
      <c r="H75" s="101">
        <f>'Table 2 StormwaterGroundwater'!G78+'Table 2 StormwaterGroundwater'!H78+'Table 2 StormwaterGroundwater'!I78+'Table 2 StormwaterGroundwater'!K78+'Table 2 StormwaterGroundwater'!M78+'Table 2 StormwaterGroundwater'!O78</f>
        <v>106.95497461472601</v>
      </c>
      <c r="I75" s="101">
        <f>SUM('Table 2 StormwaterGroundwater'!Q78,'Table 2 StormwaterGroundwater'!U78,'Table 2 StormwaterGroundwater'!W78,'Table 2 StormwaterGroundwater'!Y78,('Table 2 StormwaterGroundwater'!S78*(59/193)))</f>
        <v>9.9206523140220693</v>
      </c>
      <c r="J75" s="101">
        <f>SUM('Table 2 StormwaterGroundwater'!AA78,'Table 2 StormwaterGroundwater'!AC78,'Table 2 StormwaterGroundwater'!AE78)</f>
        <v>24.953391837899542</v>
      </c>
      <c r="K75" s="100">
        <f t="shared" si="7"/>
        <v>875</v>
      </c>
      <c r="L75" s="101" t="s">
        <v>73</v>
      </c>
      <c r="M75" s="101">
        <f>'Table 2 StormwaterGroundwater'!E78</f>
        <v>525</v>
      </c>
      <c r="N75" s="102">
        <f>'Table 2 StormwaterGroundwater'!C78</f>
        <v>0</v>
      </c>
      <c r="R75" s="66">
        <f t="shared" ref="R75:R105" si="11">$R$8*60*16</f>
        <v>71040</v>
      </c>
      <c r="S75" s="66">
        <f t="shared" si="5"/>
        <v>401.61202130065641</v>
      </c>
      <c r="T75" s="46">
        <f t="shared" ref="T75:T105" si="12">U75/R75</f>
        <v>5.4271894770358973</v>
      </c>
      <c r="U75" s="68">
        <f t="shared" si="6"/>
        <v>385547.54044863011</v>
      </c>
    </row>
    <row r="76" spans="2:21" ht="13.5" hidden="1" thickTop="1" x14ac:dyDescent="0.2">
      <c r="B76" s="92">
        <f t="shared" si="10"/>
        <v>71</v>
      </c>
      <c r="C76" s="100" t="s">
        <v>73</v>
      </c>
      <c r="D76" s="101" t="s">
        <v>73</v>
      </c>
      <c r="E76" s="100">
        <f>'Table 2 StormwaterGroundwater'!AM79+'Table 6 WTP Flow Balance'!H70+'Table 6 WTP Flow Balance'!$U$8</f>
        <v>267.74134753377092</v>
      </c>
      <c r="F76" s="100">
        <f t="shared" ref="F76:F105" si="13">(E76*1440)/(74*60*16)</f>
        <v>5.4271894770358973</v>
      </c>
      <c r="G76" s="101">
        <f>'Table 2 StormwaterGroundwater'!F79</f>
        <v>350</v>
      </c>
      <c r="H76" s="101">
        <f>'Table 2 StormwaterGroundwater'!G79+'Table 2 StormwaterGroundwater'!H79+'Table 2 StormwaterGroundwater'!I79+'Table 2 StormwaterGroundwater'!K79+'Table 2 StormwaterGroundwater'!M79+'Table 2 StormwaterGroundwater'!O79</f>
        <v>106.95497461472601</v>
      </c>
      <c r="I76" s="101">
        <f>SUM('Table 2 StormwaterGroundwater'!Q79,'Table 2 StormwaterGroundwater'!U79,'Table 2 StormwaterGroundwater'!W79,'Table 2 StormwaterGroundwater'!Y79,('Table 2 StormwaterGroundwater'!S79*(59/193)))</f>
        <v>9.9206523140220693</v>
      </c>
      <c r="J76" s="101">
        <f>SUM('Table 2 StormwaterGroundwater'!AA79,'Table 2 StormwaterGroundwater'!AC79,'Table 2 StormwaterGroundwater'!AE79)</f>
        <v>24.953391837899542</v>
      </c>
      <c r="K76" s="100">
        <f t="shared" ref="K76:K105" si="14">G76+M76+N76</f>
        <v>875</v>
      </c>
      <c r="L76" s="101" t="s">
        <v>73</v>
      </c>
      <c r="M76" s="101">
        <f>'Table 2 StormwaterGroundwater'!E79</f>
        <v>525</v>
      </c>
      <c r="N76" s="102">
        <f>'Table 2 StormwaterGroundwater'!C79</f>
        <v>0</v>
      </c>
      <c r="R76" s="66">
        <f t="shared" si="11"/>
        <v>71040</v>
      </c>
      <c r="S76" s="66">
        <f t="shared" ref="S76:S105" si="15">T76*74</f>
        <v>401.61202130065641</v>
      </c>
      <c r="T76" s="46">
        <f t="shared" si="12"/>
        <v>5.4271894770358973</v>
      </c>
      <c r="U76" s="68">
        <f t="shared" ref="U76:U105" si="16">E76*1440</f>
        <v>385547.54044863011</v>
      </c>
    </row>
    <row r="77" spans="2:21" ht="13.5" hidden="1" thickTop="1" x14ac:dyDescent="0.2">
      <c r="B77" s="92">
        <f t="shared" si="10"/>
        <v>72</v>
      </c>
      <c r="C77" s="100" t="s">
        <v>73</v>
      </c>
      <c r="D77" s="101" t="s">
        <v>73</v>
      </c>
      <c r="E77" s="100">
        <f>'Table 2 StormwaterGroundwater'!AM80+'Table 6 WTP Flow Balance'!H71+'Table 6 WTP Flow Balance'!$U$8</f>
        <v>267.74134753377092</v>
      </c>
      <c r="F77" s="100">
        <f t="shared" si="13"/>
        <v>5.4271894770358973</v>
      </c>
      <c r="G77" s="101">
        <f>'Table 2 StormwaterGroundwater'!F80</f>
        <v>350</v>
      </c>
      <c r="H77" s="101">
        <f>'Table 2 StormwaterGroundwater'!G80+'Table 2 StormwaterGroundwater'!H80+'Table 2 StormwaterGroundwater'!I80+'Table 2 StormwaterGroundwater'!K80+'Table 2 StormwaterGroundwater'!M80+'Table 2 StormwaterGroundwater'!O80</f>
        <v>106.95497461472601</v>
      </c>
      <c r="I77" s="101">
        <f>SUM('Table 2 StormwaterGroundwater'!Q80,'Table 2 StormwaterGroundwater'!U80,'Table 2 StormwaterGroundwater'!W80,'Table 2 StormwaterGroundwater'!Y80,('Table 2 StormwaterGroundwater'!S80*(59/193)))</f>
        <v>9.9206523140220693</v>
      </c>
      <c r="J77" s="101">
        <f>SUM('Table 2 StormwaterGroundwater'!AA80,'Table 2 StormwaterGroundwater'!AC80,'Table 2 StormwaterGroundwater'!AE80)</f>
        <v>24.953391837899542</v>
      </c>
      <c r="K77" s="100">
        <f t="shared" si="14"/>
        <v>875</v>
      </c>
      <c r="L77" s="101" t="s">
        <v>73</v>
      </c>
      <c r="M77" s="101">
        <f>'Table 2 StormwaterGroundwater'!E80</f>
        <v>525</v>
      </c>
      <c r="N77" s="102">
        <f>'Table 2 StormwaterGroundwater'!C80</f>
        <v>0</v>
      </c>
      <c r="R77" s="66">
        <f t="shared" si="11"/>
        <v>71040</v>
      </c>
      <c r="S77" s="66">
        <f t="shared" si="15"/>
        <v>401.61202130065641</v>
      </c>
      <c r="T77" s="46">
        <f t="shared" si="12"/>
        <v>5.4271894770358973</v>
      </c>
      <c r="U77" s="68">
        <f t="shared" si="16"/>
        <v>385547.54044863011</v>
      </c>
    </row>
    <row r="78" spans="2:21" ht="13.5" hidden="1" thickTop="1" x14ac:dyDescent="0.2">
      <c r="B78" s="92">
        <f t="shared" si="10"/>
        <v>73</v>
      </c>
      <c r="C78" s="100" t="s">
        <v>73</v>
      </c>
      <c r="D78" s="101" t="s">
        <v>73</v>
      </c>
      <c r="E78" s="100">
        <f>'Table 2 StormwaterGroundwater'!AM81+'Table 6 WTP Flow Balance'!H72+'Table 6 WTP Flow Balance'!$U$8</f>
        <v>267.74134753377092</v>
      </c>
      <c r="F78" s="100">
        <f t="shared" si="13"/>
        <v>5.4271894770358973</v>
      </c>
      <c r="G78" s="101">
        <f>'Table 2 StormwaterGroundwater'!F81</f>
        <v>350</v>
      </c>
      <c r="H78" s="101">
        <f>'Table 2 StormwaterGroundwater'!G81+'Table 2 StormwaterGroundwater'!H81+'Table 2 StormwaterGroundwater'!I81+'Table 2 StormwaterGroundwater'!K81+'Table 2 StormwaterGroundwater'!M81+'Table 2 StormwaterGroundwater'!O81</f>
        <v>106.95497461472601</v>
      </c>
      <c r="I78" s="101">
        <f>SUM('Table 2 StormwaterGroundwater'!Q81,'Table 2 StormwaterGroundwater'!U81,'Table 2 StormwaterGroundwater'!W81,'Table 2 StormwaterGroundwater'!Y81,('Table 2 StormwaterGroundwater'!S81*(59/193)))</f>
        <v>9.9206523140220693</v>
      </c>
      <c r="J78" s="101">
        <f>SUM('Table 2 StormwaterGroundwater'!AA81,'Table 2 StormwaterGroundwater'!AC81,'Table 2 StormwaterGroundwater'!AE81)</f>
        <v>24.953391837899542</v>
      </c>
      <c r="K78" s="100">
        <f t="shared" si="14"/>
        <v>875</v>
      </c>
      <c r="L78" s="101" t="s">
        <v>73</v>
      </c>
      <c r="M78" s="101">
        <f>'Table 2 StormwaterGroundwater'!E81</f>
        <v>525</v>
      </c>
      <c r="N78" s="102">
        <f>'Table 2 StormwaterGroundwater'!C81</f>
        <v>0</v>
      </c>
      <c r="R78" s="66">
        <f t="shared" si="11"/>
        <v>71040</v>
      </c>
      <c r="S78" s="66">
        <f t="shared" si="15"/>
        <v>401.61202130065641</v>
      </c>
      <c r="T78" s="46">
        <f t="shared" si="12"/>
        <v>5.4271894770358973</v>
      </c>
      <c r="U78" s="68">
        <f t="shared" si="16"/>
        <v>385547.54044863011</v>
      </c>
    </row>
    <row r="79" spans="2:21" ht="13.5" hidden="1" thickTop="1" x14ac:dyDescent="0.2">
      <c r="B79" s="92">
        <f t="shared" si="10"/>
        <v>74</v>
      </c>
      <c r="C79" s="100" t="s">
        <v>73</v>
      </c>
      <c r="D79" s="101" t="s">
        <v>73</v>
      </c>
      <c r="E79" s="100">
        <f>'Table 2 StormwaterGroundwater'!AM82+'Table 6 WTP Flow Balance'!H73+'Table 6 WTP Flow Balance'!$U$8</f>
        <v>267.74134753377092</v>
      </c>
      <c r="F79" s="100">
        <f t="shared" si="13"/>
        <v>5.4271894770358973</v>
      </c>
      <c r="G79" s="101">
        <f>'Table 2 StormwaterGroundwater'!F82</f>
        <v>350</v>
      </c>
      <c r="H79" s="101">
        <f>'Table 2 StormwaterGroundwater'!G82+'Table 2 StormwaterGroundwater'!H82+'Table 2 StormwaterGroundwater'!I82+'Table 2 StormwaterGroundwater'!K82+'Table 2 StormwaterGroundwater'!M82+'Table 2 StormwaterGroundwater'!O82</f>
        <v>106.95497461472601</v>
      </c>
      <c r="I79" s="101">
        <f>SUM('Table 2 StormwaterGroundwater'!Q82,'Table 2 StormwaterGroundwater'!U82,'Table 2 StormwaterGroundwater'!W82,'Table 2 StormwaterGroundwater'!Y82,('Table 2 StormwaterGroundwater'!S82*(59/193)))</f>
        <v>9.9206523140220693</v>
      </c>
      <c r="J79" s="101">
        <f>SUM('Table 2 StormwaterGroundwater'!AA82,'Table 2 StormwaterGroundwater'!AC82,'Table 2 StormwaterGroundwater'!AE82)</f>
        <v>24.953391837899542</v>
      </c>
      <c r="K79" s="100">
        <f t="shared" si="14"/>
        <v>875</v>
      </c>
      <c r="L79" s="101" t="s">
        <v>73</v>
      </c>
      <c r="M79" s="101">
        <f>'Table 2 StormwaterGroundwater'!E82</f>
        <v>525</v>
      </c>
      <c r="N79" s="102">
        <f>'Table 2 StormwaterGroundwater'!C82</f>
        <v>0</v>
      </c>
      <c r="R79" s="66">
        <f t="shared" si="11"/>
        <v>71040</v>
      </c>
      <c r="S79" s="66">
        <f t="shared" si="15"/>
        <v>401.61202130065641</v>
      </c>
      <c r="T79" s="46">
        <f t="shared" si="12"/>
        <v>5.4271894770358973</v>
      </c>
      <c r="U79" s="68">
        <f t="shared" si="16"/>
        <v>385547.54044863011</v>
      </c>
    </row>
    <row r="80" spans="2:21" ht="13.5" hidden="1" thickTop="1" x14ac:dyDescent="0.2">
      <c r="B80" s="92">
        <f t="shared" si="10"/>
        <v>75</v>
      </c>
      <c r="C80" s="100" t="s">
        <v>73</v>
      </c>
      <c r="D80" s="101" t="s">
        <v>73</v>
      </c>
      <c r="E80" s="100">
        <f>'Table 2 StormwaterGroundwater'!AM83+'Table 6 WTP Flow Balance'!H74+'Table 6 WTP Flow Balance'!$U$8</f>
        <v>267.74134753377092</v>
      </c>
      <c r="F80" s="100">
        <f t="shared" si="13"/>
        <v>5.4271894770358973</v>
      </c>
      <c r="G80" s="101">
        <f>'Table 2 StormwaterGroundwater'!F83</f>
        <v>350</v>
      </c>
      <c r="H80" s="101">
        <f>'Table 2 StormwaterGroundwater'!G83+'Table 2 StormwaterGroundwater'!H83+'Table 2 StormwaterGroundwater'!I83+'Table 2 StormwaterGroundwater'!K83+'Table 2 StormwaterGroundwater'!M83+'Table 2 StormwaterGroundwater'!O83</f>
        <v>106.95497461472601</v>
      </c>
      <c r="I80" s="101">
        <f>SUM('Table 2 StormwaterGroundwater'!Q83,'Table 2 StormwaterGroundwater'!U83,'Table 2 StormwaterGroundwater'!W83,'Table 2 StormwaterGroundwater'!Y83,('Table 2 StormwaterGroundwater'!S83*(59/193)))</f>
        <v>9.9206523140220693</v>
      </c>
      <c r="J80" s="101">
        <f>SUM('Table 2 StormwaterGroundwater'!AA83,'Table 2 StormwaterGroundwater'!AC83,'Table 2 StormwaterGroundwater'!AE83)</f>
        <v>24.953391837899542</v>
      </c>
      <c r="K80" s="100">
        <f t="shared" si="14"/>
        <v>875</v>
      </c>
      <c r="L80" s="101" t="s">
        <v>73</v>
      </c>
      <c r="M80" s="101">
        <f>'Table 2 StormwaterGroundwater'!E83</f>
        <v>525</v>
      </c>
      <c r="N80" s="102">
        <f>'Table 2 StormwaterGroundwater'!C83</f>
        <v>0</v>
      </c>
      <c r="R80" s="66">
        <f t="shared" si="11"/>
        <v>71040</v>
      </c>
      <c r="S80" s="66">
        <f t="shared" si="15"/>
        <v>401.61202130065641</v>
      </c>
      <c r="T80" s="46">
        <f t="shared" si="12"/>
        <v>5.4271894770358973</v>
      </c>
      <c r="U80" s="68">
        <f t="shared" si="16"/>
        <v>385547.54044863011</v>
      </c>
    </row>
    <row r="81" spans="2:21" ht="13.5" hidden="1" thickTop="1" x14ac:dyDescent="0.2">
      <c r="B81" s="92">
        <f t="shared" si="10"/>
        <v>76</v>
      </c>
      <c r="C81" s="100" t="s">
        <v>73</v>
      </c>
      <c r="D81" s="101" t="s">
        <v>73</v>
      </c>
      <c r="E81" s="100">
        <f>'Table 2 StormwaterGroundwater'!AM84+'Table 6 WTP Flow Balance'!H75+'Table 6 WTP Flow Balance'!$U$8</f>
        <v>267.74134753377092</v>
      </c>
      <c r="F81" s="100">
        <f t="shared" si="13"/>
        <v>5.4271894770358973</v>
      </c>
      <c r="G81" s="101">
        <f>'Table 2 StormwaterGroundwater'!F84</f>
        <v>350</v>
      </c>
      <c r="H81" s="101">
        <f>'Table 2 StormwaterGroundwater'!G84+'Table 2 StormwaterGroundwater'!H84+'Table 2 StormwaterGroundwater'!I84+'Table 2 StormwaterGroundwater'!K84+'Table 2 StormwaterGroundwater'!M84+'Table 2 StormwaterGroundwater'!O84</f>
        <v>106.95497461472601</v>
      </c>
      <c r="I81" s="101">
        <f>SUM('Table 2 StormwaterGroundwater'!Q84,'Table 2 StormwaterGroundwater'!U84,'Table 2 StormwaterGroundwater'!W84,'Table 2 StormwaterGroundwater'!Y84,('Table 2 StormwaterGroundwater'!S84*(59/193)))</f>
        <v>9.9206523140220693</v>
      </c>
      <c r="J81" s="101">
        <f>SUM('Table 2 StormwaterGroundwater'!AA84,'Table 2 StormwaterGroundwater'!AC84,'Table 2 StormwaterGroundwater'!AE84)</f>
        <v>24.953391837899542</v>
      </c>
      <c r="K81" s="100">
        <f t="shared" si="14"/>
        <v>875</v>
      </c>
      <c r="L81" s="101" t="s">
        <v>73</v>
      </c>
      <c r="M81" s="101">
        <f>'Table 2 StormwaterGroundwater'!E84</f>
        <v>525</v>
      </c>
      <c r="N81" s="102">
        <f>'Table 2 StormwaterGroundwater'!C84</f>
        <v>0</v>
      </c>
      <c r="R81" s="66">
        <f t="shared" si="11"/>
        <v>71040</v>
      </c>
      <c r="S81" s="66">
        <f t="shared" si="15"/>
        <v>401.61202130065641</v>
      </c>
      <c r="T81" s="46">
        <f t="shared" si="12"/>
        <v>5.4271894770358973</v>
      </c>
      <c r="U81" s="68">
        <f t="shared" si="16"/>
        <v>385547.54044863011</v>
      </c>
    </row>
    <row r="82" spans="2:21" ht="13.5" hidden="1" thickTop="1" x14ac:dyDescent="0.2">
      <c r="B82" s="92">
        <f t="shared" si="10"/>
        <v>77</v>
      </c>
      <c r="C82" s="100" t="s">
        <v>73</v>
      </c>
      <c r="D82" s="101" t="s">
        <v>73</v>
      </c>
      <c r="E82" s="100">
        <f>'Table 2 StormwaterGroundwater'!AM85+'Table 6 WTP Flow Balance'!H76+'Table 6 WTP Flow Balance'!$U$8</f>
        <v>267.74134753377092</v>
      </c>
      <c r="F82" s="100">
        <f t="shared" si="13"/>
        <v>5.4271894770358973</v>
      </c>
      <c r="G82" s="101">
        <f>'Table 2 StormwaterGroundwater'!F85</f>
        <v>350</v>
      </c>
      <c r="H82" s="101">
        <f>'Table 2 StormwaterGroundwater'!G85+'Table 2 StormwaterGroundwater'!H85+'Table 2 StormwaterGroundwater'!I85+'Table 2 StormwaterGroundwater'!K85+'Table 2 StormwaterGroundwater'!M85+'Table 2 StormwaterGroundwater'!O85</f>
        <v>106.95497461472601</v>
      </c>
      <c r="I82" s="101">
        <f>SUM('Table 2 StormwaterGroundwater'!Q85,'Table 2 StormwaterGroundwater'!U85,'Table 2 StormwaterGroundwater'!W85,'Table 2 StormwaterGroundwater'!Y85,('Table 2 StormwaterGroundwater'!S85*(59/193)))</f>
        <v>9.9206523140220693</v>
      </c>
      <c r="J82" s="101">
        <f>SUM('Table 2 StormwaterGroundwater'!AA85,'Table 2 StormwaterGroundwater'!AC85,'Table 2 StormwaterGroundwater'!AE85)</f>
        <v>24.953391837899542</v>
      </c>
      <c r="K82" s="100">
        <f t="shared" si="14"/>
        <v>875</v>
      </c>
      <c r="L82" s="101" t="s">
        <v>73</v>
      </c>
      <c r="M82" s="101">
        <f>'Table 2 StormwaterGroundwater'!E85</f>
        <v>525</v>
      </c>
      <c r="N82" s="102">
        <f>'Table 2 StormwaterGroundwater'!C85</f>
        <v>0</v>
      </c>
      <c r="R82" s="66">
        <f t="shared" si="11"/>
        <v>71040</v>
      </c>
      <c r="S82" s="66">
        <f t="shared" si="15"/>
        <v>401.61202130065641</v>
      </c>
      <c r="T82" s="46">
        <f t="shared" si="12"/>
        <v>5.4271894770358973</v>
      </c>
      <c r="U82" s="68">
        <f t="shared" si="16"/>
        <v>385547.54044863011</v>
      </c>
    </row>
    <row r="83" spans="2:21" ht="13.5" hidden="1" thickTop="1" x14ac:dyDescent="0.2">
      <c r="B83" s="92">
        <f t="shared" si="10"/>
        <v>78</v>
      </c>
      <c r="C83" s="100" t="s">
        <v>73</v>
      </c>
      <c r="D83" s="101" t="s">
        <v>73</v>
      </c>
      <c r="E83" s="100">
        <f>'Table 2 StormwaterGroundwater'!AM86+'Table 6 WTP Flow Balance'!H77+'Table 6 WTP Flow Balance'!$U$8</f>
        <v>267.74134753377092</v>
      </c>
      <c r="F83" s="100">
        <f t="shared" si="13"/>
        <v>5.4271894770358973</v>
      </c>
      <c r="G83" s="101">
        <f>'Table 2 StormwaterGroundwater'!F86</f>
        <v>350</v>
      </c>
      <c r="H83" s="101">
        <f>'Table 2 StormwaterGroundwater'!G86+'Table 2 StormwaterGroundwater'!H86+'Table 2 StormwaterGroundwater'!I86+'Table 2 StormwaterGroundwater'!K86+'Table 2 StormwaterGroundwater'!M86+'Table 2 StormwaterGroundwater'!O86</f>
        <v>106.95497461472601</v>
      </c>
      <c r="I83" s="101">
        <f>SUM('Table 2 StormwaterGroundwater'!Q86,'Table 2 StormwaterGroundwater'!U86,'Table 2 StormwaterGroundwater'!W86,'Table 2 StormwaterGroundwater'!Y86,('Table 2 StormwaterGroundwater'!S86*(59/193)))</f>
        <v>9.9206523140220693</v>
      </c>
      <c r="J83" s="101">
        <f>SUM('Table 2 StormwaterGroundwater'!AA86,'Table 2 StormwaterGroundwater'!AC86,'Table 2 StormwaterGroundwater'!AE86)</f>
        <v>24.953391837899542</v>
      </c>
      <c r="K83" s="100">
        <f t="shared" si="14"/>
        <v>875</v>
      </c>
      <c r="L83" s="101" t="s">
        <v>73</v>
      </c>
      <c r="M83" s="101">
        <f>'Table 2 StormwaterGroundwater'!E86</f>
        <v>525</v>
      </c>
      <c r="N83" s="102">
        <f>'Table 2 StormwaterGroundwater'!C86</f>
        <v>0</v>
      </c>
      <c r="R83" s="66">
        <f t="shared" si="11"/>
        <v>71040</v>
      </c>
      <c r="S83" s="66">
        <f t="shared" si="15"/>
        <v>401.61202130065641</v>
      </c>
      <c r="T83" s="46">
        <f t="shared" si="12"/>
        <v>5.4271894770358973</v>
      </c>
      <c r="U83" s="68">
        <f t="shared" si="16"/>
        <v>385547.54044863011</v>
      </c>
    </row>
    <row r="84" spans="2:21" ht="13.5" hidden="1" thickTop="1" x14ac:dyDescent="0.2">
      <c r="B84" s="92">
        <f t="shared" si="10"/>
        <v>79</v>
      </c>
      <c r="C84" s="100" t="s">
        <v>73</v>
      </c>
      <c r="D84" s="101" t="s">
        <v>73</v>
      </c>
      <c r="E84" s="100">
        <f>'Table 2 StormwaterGroundwater'!AM87+'Table 6 WTP Flow Balance'!H78+'Table 6 WTP Flow Balance'!$U$8</f>
        <v>267.74134753377092</v>
      </c>
      <c r="F84" s="100">
        <f t="shared" si="13"/>
        <v>5.4271894770358973</v>
      </c>
      <c r="G84" s="101">
        <f>'Table 2 StormwaterGroundwater'!F87</f>
        <v>350</v>
      </c>
      <c r="H84" s="101">
        <f>'Table 2 StormwaterGroundwater'!G87+'Table 2 StormwaterGroundwater'!H87+'Table 2 StormwaterGroundwater'!I87+'Table 2 StormwaterGroundwater'!K87+'Table 2 StormwaterGroundwater'!M87+'Table 2 StormwaterGroundwater'!O87</f>
        <v>106.95497461472601</v>
      </c>
      <c r="I84" s="101">
        <f>SUM('Table 2 StormwaterGroundwater'!Q87,'Table 2 StormwaterGroundwater'!U87,'Table 2 StormwaterGroundwater'!W87,'Table 2 StormwaterGroundwater'!Y87,('Table 2 StormwaterGroundwater'!S87*(59/193)))</f>
        <v>9.9206523140220693</v>
      </c>
      <c r="J84" s="101">
        <f>SUM('Table 2 StormwaterGroundwater'!AA87,'Table 2 StormwaterGroundwater'!AC87,'Table 2 StormwaterGroundwater'!AE87)</f>
        <v>24.953391837899542</v>
      </c>
      <c r="K84" s="100">
        <f t="shared" si="14"/>
        <v>875</v>
      </c>
      <c r="L84" s="101" t="s">
        <v>73</v>
      </c>
      <c r="M84" s="101">
        <f>'Table 2 StormwaterGroundwater'!E87</f>
        <v>525</v>
      </c>
      <c r="N84" s="102">
        <f>'Table 2 StormwaterGroundwater'!C87</f>
        <v>0</v>
      </c>
      <c r="R84" s="66">
        <f t="shared" si="11"/>
        <v>71040</v>
      </c>
      <c r="S84" s="66">
        <f t="shared" si="15"/>
        <v>401.61202130065641</v>
      </c>
      <c r="T84" s="46">
        <f t="shared" si="12"/>
        <v>5.4271894770358973</v>
      </c>
      <c r="U84" s="68">
        <f t="shared" si="16"/>
        <v>385547.54044863011</v>
      </c>
    </row>
    <row r="85" spans="2:21" ht="13.5" hidden="1" thickTop="1" x14ac:dyDescent="0.2">
      <c r="B85" s="92">
        <f t="shared" si="10"/>
        <v>80</v>
      </c>
      <c r="C85" s="100" t="s">
        <v>73</v>
      </c>
      <c r="D85" s="101" t="s">
        <v>73</v>
      </c>
      <c r="E85" s="100">
        <f>'Table 2 StormwaterGroundwater'!AM88+'Table 6 WTP Flow Balance'!H79+'Table 6 WTP Flow Balance'!$U$8</f>
        <v>267.74134753377092</v>
      </c>
      <c r="F85" s="100">
        <f t="shared" si="13"/>
        <v>5.4271894770358973</v>
      </c>
      <c r="G85" s="101">
        <f>'Table 2 StormwaterGroundwater'!F88</f>
        <v>350</v>
      </c>
      <c r="H85" s="101">
        <f>'Table 2 StormwaterGroundwater'!G88+'Table 2 StormwaterGroundwater'!H88+'Table 2 StormwaterGroundwater'!I88+'Table 2 StormwaterGroundwater'!K88+'Table 2 StormwaterGroundwater'!M88+'Table 2 StormwaterGroundwater'!O88</f>
        <v>106.95497461472601</v>
      </c>
      <c r="I85" s="101">
        <f>SUM('Table 2 StormwaterGroundwater'!Q88,'Table 2 StormwaterGroundwater'!U88,'Table 2 StormwaterGroundwater'!W88,'Table 2 StormwaterGroundwater'!Y88,('Table 2 StormwaterGroundwater'!S88*(59/193)))</f>
        <v>9.9206523140220693</v>
      </c>
      <c r="J85" s="101">
        <f>SUM('Table 2 StormwaterGroundwater'!AA88,'Table 2 StormwaterGroundwater'!AC88,'Table 2 StormwaterGroundwater'!AE88)</f>
        <v>24.953391837899542</v>
      </c>
      <c r="K85" s="100">
        <f t="shared" si="14"/>
        <v>875</v>
      </c>
      <c r="L85" s="101" t="s">
        <v>73</v>
      </c>
      <c r="M85" s="101">
        <f>'Table 2 StormwaterGroundwater'!E88</f>
        <v>525</v>
      </c>
      <c r="N85" s="102">
        <f>'Table 2 StormwaterGroundwater'!C88</f>
        <v>0</v>
      </c>
      <c r="R85" s="66">
        <f t="shared" si="11"/>
        <v>71040</v>
      </c>
      <c r="S85" s="66">
        <f t="shared" si="15"/>
        <v>401.61202130065641</v>
      </c>
      <c r="T85" s="46">
        <f t="shared" si="12"/>
        <v>5.4271894770358973</v>
      </c>
      <c r="U85" s="68">
        <f t="shared" si="16"/>
        <v>385547.54044863011</v>
      </c>
    </row>
    <row r="86" spans="2:21" ht="13.5" hidden="1" thickTop="1" x14ac:dyDescent="0.2">
      <c r="B86" s="92">
        <f t="shared" si="10"/>
        <v>81</v>
      </c>
      <c r="C86" s="100" t="s">
        <v>73</v>
      </c>
      <c r="D86" s="101" t="s">
        <v>73</v>
      </c>
      <c r="E86" s="100">
        <f>'Table 2 StormwaterGroundwater'!AM89+'Table 6 WTP Flow Balance'!H80+'Table 6 WTP Flow Balance'!$U$8</f>
        <v>267.74134753377092</v>
      </c>
      <c r="F86" s="100">
        <f t="shared" si="13"/>
        <v>5.4271894770358973</v>
      </c>
      <c r="G86" s="101">
        <f>'Table 2 StormwaterGroundwater'!F89</f>
        <v>350</v>
      </c>
      <c r="H86" s="101">
        <f>'Table 2 StormwaterGroundwater'!G89+'Table 2 StormwaterGroundwater'!H89+'Table 2 StormwaterGroundwater'!I89+'Table 2 StormwaterGroundwater'!K89+'Table 2 StormwaterGroundwater'!M89+'Table 2 StormwaterGroundwater'!O89</f>
        <v>106.95497461472601</v>
      </c>
      <c r="I86" s="101">
        <f>SUM('Table 2 StormwaterGroundwater'!Q89,'Table 2 StormwaterGroundwater'!U89,'Table 2 StormwaterGroundwater'!W89,'Table 2 StormwaterGroundwater'!Y89,('Table 2 StormwaterGroundwater'!S89*(59/193)))</f>
        <v>9.9206523140220693</v>
      </c>
      <c r="J86" s="101">
        <f>SUM('Table 2 StormwaterGroundwater'!AA89,'Table 2 StormwaterGroundwater'!AC89,'Table 2 StormwaterGroundwater'!AE89)</f>
        <v>24.953391837899542</v>
      </c>
      <c r="K86" s="100">
        <f t="shared" si="14"/>
        <v>875</v>
      </c>
      <c r="L86" s="101" t="s">
        <v>73</v>
      </c>
      <c r="M86" s="101">
        <f>'Table 2 StormwaterGroundwater'!E89</f>
        <v>525</v>
      </c>
      <c r="N86" s="102">
        <f>'Table 2 StormwaterGroundwater'!C89</f>
        <v>0</v>
      </c>
      <c r="R86" s="66">
        <f t="shared" si="11"/>
        <v>71040</v>
      </c>
      <c r="S86" s="66">
        <f t="shared" si="15"/>
        <v>401.61202130065641</v>
      </c>
      <c r="T86" s="46">
        <f t="shared" si="12"/>
        <v>5.4271894770358973</v>
      </c>
      <c r="U86" s="68">
        <f t="shared" si="16"/>
        <v>385547.54044863011</v>
      </c>
    </row>
    <row r="87" spans="2:21" ht="13.5" hidden="1" thickTop="1" x14ac:dyDescent="0.2">
      <c r="B87" s="92">
        <f t="shared" si="10"/>
        <v>82</v>
      </c>
      <c r="C87" s="100" t="s">
        <v>73</v>
      </c>
      <c r="D87" s="101" t="s">
        <v>73</v>
      </c>
      <c r="E87" s="100">
        <f>'Table 2 StormwaterGroundwater'!AM90+'Table 6 WTP Flow Balance'!H81+'Table 6 WTP Flow Balance'!$U$8</f>
        <v>267.74134753377092</v>
      </c>
      <c r="F87" s="100">
        <f t="shared" si="13"/>
        <v>5.4271894770358973</v>
      </c>
      <c r="G87" s="101">
        <f>'Table 2 StormwaterGroundwater'!F90</f>
        <v>350</v>
      </c>
      <c r="H87" s="101">
        <f>'Table 2 StormwaterGroundwater'!G90+'Table 2 StormwaterGroundwater'!H90+'Table 2 StormwaterGroundwater'!I90+'Table 2 StormwaterGroundwater'!K90+'Table 2 StormwaterGroundwater'!M90+'Table 2 StormwaterGroundwater'!O90</f>
        <v>106.95497461472601</v>
      </c>
      <c r="I87" s="101">
        <f>SUM('Table 2 StormwaterGroundwater'!Q90,'Table 2 StormwaterGroundwater'!U90,'Table 2 StormwaterGroundwater'!W90,'Table 2 StormwaterGroundwater'!Y90,('Table 2 StormwaterGroundwater'!S90*(59/193)))</f>
        <v>9.9206523140220693</v>
      </c>
      <c r="J87" s="101">
        <f>SUM('Table 2 StormwaterGroundwater'!AA90,'Table 2 StormwaterGroundwater'!AC90,'Table 2 StormwaterGroundwater'!AE90)</f>
        <v>24.953391837899542</v>
      </c>
      <c r="K87" s="100">
        <f t="shared" si="14"/>
        <v>875</v>
      </c>
      <c r="L87" s="101" t="s">
        <v>73</v>
      </c>
      <c r="M87" s="101">
        <f>'Table 2 StormwaterGroundwater'!E90</f>
        <v>525</v>
      </c>
      <c r="N87" s="102">
        <f>'Table 2 StormwaterGroundwater'!C90</f>
        <v>0</v>
      </c>
      <c r="R87" s="66">
        <f t="shared" si="11"/>
        <v>71040</v>
      </c>
      <c r="S87" s="66">
        <f t="shared" si="15"/>
        <v>401.61202130065641</v>
      </c>
      <c r="T87" s="46">
        <f t="shared" si="12"/>
        <v>5.4271894770358973</v>
      </c>
      <c r="U87" s="68">
        <f t="shared" si="16"/>
        <v>385547.54044863011</v>
      </c>
    </row>
    <row r="88" spans="2:21" ht="13.5" hidden="1" thickTop="1" x14ac:dyDescent="0.2">
      <c r="B88" s="92">
        <f t="shared" si="10"/>
        <v>83</v>
      </c>
      <c r="C88" s="100" t="s">
        <v>73</v>
      </c>
      <c r="D88" s="101" t="s">
        <v>73</v>
      </c>
      <c r="E88" s="100">
        <f>'Table 2 StormwaterGroundwater'!AM91+'Table 6 WTP Flow Balance'!H82+'Table 6 WTP Flow Balance'!$U$8</f>
        <v>267.74134753377092</v>
      </c>
      <c r="F88" s="100">
        <f t="shared" si="13"/>
        <v>5.4271894770358973</v>
      </c>
      <c r="G88" s="101">
        <f>'Table 2 StormwaterGroundwater'!F91</f>
        <v>350</v>
      </c>
      <c r="H88" s="101">
        <f>'Table 2 StormwaterGroundwater'!G91+'Table 2 StormwaterGroundwater'!H91+'Table 2 StormwaterGroundwater'!I91+'Table 2 StormwaterGroundwater'!K91+'Table 2 StormwaterGroundwater'!M91+'Table 2 StormwaterGroundwater'!O91</f>
        <v>106.95497461472601</v>
      </c>
      <c r="I88" s="101">
        <f>SUM('Table 2 StormwaterGroundwater'!Q91,'Table 2 StormwaterGroundwater'!U91,'Table 2 StormwaterGroundwater'!W91,'Table 2 StormwaterGroundwater'!Y91,('Table 2 StormwaterGroundwater'!S91*(59/193)))</f>
        <v>9.9206523140220693</v>
      </c>
      <c r="J88" s="101">
        <f>SUM('Table 2 StormwaterGroundwater'!AA91,'Table 2 StormwaterGroundwater'!AC91,'Table 2 StormwaterGroundwater'!AE91)</f>
        <v>24.953391837899542</v>
      </c>
      <c r="K88" s="100">
        <f t="shared" si="14"/>
        <v>875</v>
      </c>
      <c r="L88" s="101" t="s">
        <v>73</v>
      </c>
      <c r="M88" s="101">
        <f>'Table 2 StormwaterGroundwater'!E91</f>
        <v>525</v>
      </c>
      <c r="N88" s="102">
        <f>'Table 2 StormwaterGroundwater'!C91</f>
        <v>0</v>
      </c>
      <c r="R88" s="66">
        <f t="shared" si="11"/>
        <v>71040</v>
      </c>
      <c r="S88" s="66">
        <f t="shared" si="15"/>
        <v>401.61202130065641</v>
      </c>
      <c r="T88" s="46">
        <f t="shared" si="12"/>
        <v>5.4271894770358973</v>
      </c>
      <c r="U88" s="68">
        <f t="shared" si="16"/>
        <v>385547.54044863011</v>
      </c>
    </row>
    <row r="89" spans="2:21" ht="13.5" hidden="1" thickTop="1" x14ac:dyDescent="0.2">
      <c r="B89" s="92">
        <f t="shared" si="10"/>
        <v>84</v>
      </c>
      <c r="C89" s="100" t="s">
        <v>73</v>
      </c>
      <c r="D89" s="101" t="s">
        <v>73</v>
      </c>
      <c r="E89" s="100">
        <f>'Table 2 StormwaterGroundwater'!AM92+'Table 6 WTP Flow Balance'!H83+'Table 6 WTP Flow Balance'!$U$8</f>
        <v>267.74134753377092</v>
      </c>
      <c r="F89" s="100">
        <f t="shared" si="13"/>
        <v>5.4271894770358973</v>
      </c>
      <c r="G89" s="101">
        <f>'Table 2 StormwaterGroundwater'!F92</f>
        <v>350</v>
      </c>
      <c r="H89" s="101">
        <f>'Table 2 StormwaterGroundwater'!G92+'Table 2 StormwaterGroundwater'!H92+'Table 2 StormwaterGroundwater'!I92+'Table 2 StormwaterGroundwater'!K92+'Table 2 StormwaterGroundwater'!M92+'Table 2 StormwaterGroundwater'!O92</f>
        <v>106.95497461472601</v>
      </c>
      <c r="I89" s="101">
        <f>SUM('Table 2 StormwaterGroundwater'!Q92,'Table 2 StormwaterGroundwater'!U92,'Table 2 StormwaterGroundwater'!W92,'Table 2 StormwaterGroundwater'!Y92,('Table 2 StormwaterGroundwater'!S92*(59/193)))</f>
        <v>9.9206523140220693</v>
      </c>
      <c r="J89" s="101">
        <f>SUM('Table 2 StormwaterGroundwater'!AA92,'Table 2 StormwaterGroundwater'!AC92,'Table 2 StormwaterGroundwater'!AE92)</f>
        <v>24.953391837899542</v>
      </c>
      <c r="K89" s="100">
        <f t="shared" si="14"/>
        <v>875</v>
      </c>
      <c r="L89" s="101" t="s">
        <v>73</v>
      </c>
      <c r="M89" s="101">
        <f>'Table 2 StormwaterGroundwater'!E92</f>
        <v>525</v>
      </c>
      <c r="N89" s="102">
        <f>'Table 2 StormwaterGroundwater'!C92</f>
        <v>0</v>
      </c>
      <c r="R89" s="66">
        <f t="shared" si="11"/>
        <v>71040</v>
      </c>
      <c r="S89" s="66">
        <f t="shared" si="15"/>
        <v>401.61202130065641</v>
      </c>
      <c r="T89" s="46">
        <f t="shared" si="12"/>
        <v>5.4271894770358973</v>
      </c>
      <c r="U89" s="68">
        <f t="shared" si="16"/>
        <v>385547.54044863011</v>
      </c>
    </row>
    <row r="90" spans="2:21" ht="13.5" hidden="1" thickTop="1" x14ac:dyDescent="0.2">
      <c r="B90" s="92">
        <f t="shared" si="10"/>
        <v>85</v>
      </c>
      <c r="C90" s="100" t="s">
        <v>73</v>
      </c>
      <c r="D90" s="101" t="s">
        <v>73</v>
      </c>
      <c r="E90" s="100">
        <f>'Table 2 StormwaterGroundwater'!AM93+'Table 6 WTP Flow Balance'!H84+'Table 6 WTP Flow Balance'!$U$8</f>
        <v>267.74134753377092</v>
      </c>
      <c r="F90" s="100">
        <f t="shared" si="13"/>
        <v>5.4271894770358973</v>
      </c>
      <c r="G90" s="101">
        <f>'Table 2 StormwaterGroundwater'!F93</f>
        <v>350</v>
      </c>
      <c r="H90" s="101">
        <f>'Table 2 StormwaterGroundwater'!G93+'Table 2 StormwaterGroundwater'!H93+'Table 2 StormwaterGroundwater'!I93+'Table 2 StormwaterGroundwater'!K93+'Table 2 StormwaterGroundwater'!M93+'Table 2 StormwaterGroundwater'!O93</f>
        <v>106.95497461472601</v>
      </c>
      <c r="I90" s="101">
        <f>SUM('Table 2 StormwaterGroundwater'!Q93,'Table 2 StormwaterGroundwater'!U93,'Table 2 StormwaterGroundwater'!W93,'Table 2 StormwaterGroundwater'!Y93,('Table 2 StormwaterGroundwater'!S93*(59/193)))</f>
        <v>9.9206523140220693</v>
      </c>
      <c r="J90" s="101">
        <f>SUM('Table 2 StormwaterGroundwater'!AA93,'Table 2 StormwaterGroundwater'!AC93,'Table 2 StormwaterGroundwater'!AE93)</f>
        <v>24.953391837899542</v>
      </c>
      <c r="K90" s="100">
        <f t="shared" si="14"/>
        <v>875</v>
      </c>
      <c r="L90" s="101" t="s">
        <v>73</v>
      </c>
      <c r="M90" s="101">
        <f>'Table 2 StormwaterGroundwater'!E93</f>
        <v>525</v>
      </c>
      <c r="N90" s="102">
        <f>'Table 2 StormwaterGroundwater'!C93</f>
        <v>0</v>
      </c>
      <c r="R90" s="66">
        <f t="shared" si="11"/>
        <v>71040</v>
      </c>
      <c r="S90" s="66">
        <f t="shared" si="15"/>
        <v>401.61202130065641</v>
      </c>
      <c r="T90" s="46">
        <f t="shared" si="12"/>
        <v>5.4271894770358973</v>
      </c>
      <c r="U90" s="68">
        <f t="shared" si="16"/>
        <v>385547.54044863011</v>
      </c>
    </row>
    <row r="91" spans="2:21" ht="13.5" hidden="1" thickTop="1" x14ac:dyDescent="0.2">
      <c r="B91" s="92">
        <f t="shared" si="10"/>
        <v>86</v>
      </c>
      <c r="C91" s="100" t="s">
        <v>73</v>
      </c>
      <c r="D91" s="101" t="s">
        <v>73</v>
      </c>
      <c r="E91" s="100">
        <f>'Table 2 StormwaterGroundwater'!AM94+'Table 6 WTP Flow Balance'!H85+'Table 6 WTP Flow Balance'!$U$8</f>
        <v>267.74134753377092</v>
      </c>
      <c r="F91" s="100">
        <f t="shared" si="13"/>
        <v>5.4271894770358973</v>
      </c>
      <c r="G91" s="101">
        <f>'Table 2 StormwaterGroundwater'!F94</f>
        <v>350</v>
      </c>
      <c r="H91" s="101">
        <f>'Table 2 StormwaterGroundwater'!G94+'Table 2 StormwaterGroundwater'!H94+'Table 2 StormwaterGroundwater'!I94+'Table 2 StormwaterGroundwater'!K94+'Table 2 StormwaterGroundwater'!M94+'Table 2 StormwaterGroundwater'!O94</f>
        <v>106.95497461472601</v>
      </c>
      <c r="I91" s="101">
        <f>SUM('Table 2 StormwaterGroundwater'!Q94,'Table 2 StormwaterGroundwater'!U94,'Table 2 StormwaterGroundwater'!W94,'Table 2 StormwaterGroundwater'!Y94,('Table 2 StormwaterGroundwater'!S94*(59/193)))</f>
        <v>9.9206523140220693</v>
      </c>
      <c r="J91" s="101">
        <f>SUM('Table 2 StormwaterGroundwater'!AA94,'Table 2 StormwaterGroundwater'!AC94,'Table 2 StormwaterGroundwater'!AE94)</f>
        <v>24.953391837899542</v>
      </c>
      <c r="K91" s="100">
        <f t="shared" si="14"/>
        <v>875</v>
      </c>
      <c r="L91" s="101" t="s">
        <v>73</v>
      </c>
      <c r="M91" s="101">
        <f>'Table 2 StormwaterGroundwater'!E94</f>
        <v>525</v>
      </c>
      <c r="N91" s="102">
        <f>'Table 2 StormwaterGroundwater'!C94</f>
        <v>0</v>
      </c>
      <c r="R91" s="66">
        <f t="shared" si="11"/>
        <v>71040</v>
      </c>
      <c r="S91" s="66">
        <f t="shared" si="15"/>
        <v>401.61202130065641</v>
      </c>
      <c r="T91" s="46">
        <f t="shared" si="12"/>
        <v>5.4271894770358973</v>
      </c>
      <c r="U91" s="68">
        <f t="shared" si="16"/>
        <v>385547.54044863011</v>
      </c>
    </row>
    <row r="92" spans="2:21" ht="13.5" hidden="1" thickTop="1" x14ac:dyDescent="0.2">
      <c r="B92" s="92">
        <f t="shared" si="10"/>
        <v>87</v>
      </c>
      <c r="C92" s="100" t="s">
        <v>73</v>
      </c>
      <c r="D92" s="101" t="s">
        <v>73</v>
      </c>
      <c r="E92" s="100">
        <f>'Table 2 StormwaterGroundwater'!AM95+'Table 6 WTP Flow Balance'!H86+'Table 6 WTP Flow Balance'!$U$8</f>
        <v>267.74134753377092</v>
      </c>
      <c r="F92" s="100">
        <f t="shared" si="13"/>
        <v>5.4271894770358973</v>
      </c>
      <c r="G92" s="101">
        <f>'Table 2 StormwaterGroundwater'!F95</f>
        <v>350</v>
      </c>
      <c r="H92" s="101">
        <f>'Table 2 StormwaterGroundwater'!G95+'Table 2 StormwaterGroundwater'!H95+'Table 2 StormwaterGroundwater'!I95+'Table 2 StormwaterGroundwater'!K95+'Table 2 StormwaterGroundwater'!M95+'Table 2 StormwaterGroundwater'!O95</f>
        <v>106.95497461472601</v>
      </c>
      <c r="I92" s="101">
        <f>SUM('Table 2 StormwaterGroundwater'!Q95,'Table 2 StormwaterGroundwater'!U95,'Table 2 StormwaterGroundwater'!W95,'Table 2 StormwaterGroundwater'!Y95,('Table 2 StormwaterGroundwater'!S95*(59/193)))</f>
        <v>9.9206523140220693</v>
      </c>
      <c r="J92" s="101">
        <f>SUM('Table 2 StormwaterGroundwater'!AA95,'Table 2 StormwaterGroundwater'!AC95,'Table 2 StormwaterGroundwater'!AE95)</f>
        <v>24.953391837899542</v>
      </c>
      <c r="K92" s="100">
        <f t="shared" si="14"/>
        <v>875</v>
      </c>
      <c r="L92" s="101" t="s">
        <v>73</v>
      </c>
      <c r="M92" s="101">
        <f>'Table 2 StormwaterGroundwater'!E95</f>
        <v>525</v>
      </c>
      <c r="N92" s="102">
        <f>'Table 2 StormwaterGroundwater'!C95</f>
        <v>0</v>
      </c>
      <c r="R92" s="66">
        <f t="shared" si="11"/>
        <v>71040</v>
      </c>
      <c r="S92" s="66">
        <f t="shared" si="15"/>
        <v>401.61202130065641</v>
      </c>
      <c r="T92" s="46">
        <f t="shared" si="12"/>
        <v>5.4271894770358973</v>
      </c>
      <c r="U92" s="68">
        <f t="shared" si="16"/>
        <v>385547.54044863011</v>
      </c>
    </row>
    <row r="93" spans="2:21" ht="13.5" hidden="1" thickTop="1" x14ac:dyDescent="0.2">
      <c r="B93" s="92">
        <f t="shared" si="10"/>
        <v>88</v>
      </c>
      <c r="C93" s="100" t="s">
        <v>73</v>
      </c>
      <c r="D93" s="101" t="s">
        <v>73</v>
      </c>
      <c r="E93" s="100">
        <f>'Table 2 StormwaterGroundwater'!AM96+'Table 6 WTP Flow Balance'!H87+'Table 6 WTP Flow Balance'!$U$8</f>
        <v>267.74134753377092</v>
      </c>
      <c r="F93" s="100">
        <f t="shared" si="13"/>
        <v>5.4271894770358973</v>
      </c>
      <c r="G93" s="101">
        <f>'Table 2 StormwaterGroundwater'!F96</f>
        <v>350</v>
      </c>
      <c r="H93" s="101">
        <f>'Table 2 StormwaterGroundwater'!G96+'Table 2 StormwaterGroundwater'!H96+'Table 2 StormwaterGroundwater'!I96+'Table 2 StormwaterGroundwater'!K96+'Table 2 StormwaterGroundwater'!M96+'Table 2 StormwaterGroundwater'!O96</f>
        <v>106.95497461472601</v>
      </c>
      <c r="I93" s="101">
        <f>SUM('Table 2 StormwaterGroundwater'!Q96,'Table 2 StormwaterGroundwater'!U96,'Table 2 StormwaterGroundwater'!W96,'Table 2 StormwaterGroundwater'!Y96,('Table 2 StormwaterGroundwater'!S96*(59/193)))</f>
        <v>9.9206523140220693</v>
      </c>
      <c r="J93" s="101">
        <f>SUM('Table 2 StormwaterGroundwater'!AA96,'Table 2 StormwaterGroundwater'!AC96,'Table 2 StormwaterGroundwater'!AE96)</f>
        <v>24.953391837899542</v>
      </c>
      <c r="K93" s="100">
        <f t="shared" si="14"/>
        <v>875</v>
      </c>
      <c r="L93" s="101" t="s">
        <v>73</v>
      </c>
      <c r="M93" s="101">
        <f>'Table 2 StormwaterGroundwater'!E96</f>
        <v>525</v>
      </c>
      <c r="N93" s="102">
        <f>'Table 2 StormwaterGroundwater'!C96</f>
        <v>0</v>
      </c>
      <c r="R93" s="66">
        <f t="shared" si="11"/>
        <v>71040</v>
      </c>
      <c r="S93" s="66">
        <f t="shared" si="15"/>
        <v>401.61202130065641</v>
      </c>
      <c r="T93" s="46">
        <f t="shared" si="12"/>
        <v>5.4271894770358973</v>
      </c>
      <c r="U93" s="68">
        <f t="shared" si="16"/>
        <v>385547.54044863011</v>
      </c>
    </row>
    <row r="94" spans="2:21" ht="13.5" hidden="1" thickTop="1" x14ac:dyDescent="0.2">
      <c r="B94" s="92">
        <f t="shared" si="10"/>
        <v>89</v>
      </c>
      <c r="C94" s="100" t="s">
        <v>73</v>
      </c>
      <c r="D94" s="101" t="s">
        <v>73</v>
      </c>
      <c r="E94" s="100">
        <f>'Table 2 StormwaterGroundwater'!AM97+'Table 6 WTP Flow Balance'!H88+'Table 6 WTP Flow Balance'!$U$8</f>
        <v>267.74134753377092</v>
      </c>
      <c r="F94" s="100">
        <f t="shared" si="13"/>
        <v>5.4271894770358973</v>
      </c>
      <c r="G94" s="101">
        <f>'Table 2 StormwaterGroundwater'!F97</f>
        <v>350</v>
      </c>
      <c r="H94" s="101">
        <f>'Table 2 StormwaterGroundwater'!G97+'Table 2 StormwaterGroundwater'!H97+'Table 2 StormwaterGroundwater'!I97+'Table 2 StormwaterGroundwater'!K97+'Table 2 StormwaterGroundwater'!M97+'Table 2 StormwaterGroundwater'!O97</f>
        <v>106.95497461472601</v>
      </c>
      <c r="I94" s="101">
        <f>SUM('Table 2 StormwaterGroundwater'!Q97,'Table 2 StormwaterGroundwater'!U97,'Table 2 StormwaterGroundwater'!W97,'Table 2 StormwaterGroundwater'!Y97,('Table 2 StormwaterGroundwater'!S97*(59/193)))</f>
        <v>9.9206523140220693</v>
      </c>
      <c r="J94" s="101">
        <f>SUM('Table 2 StormwaterGroundwater'!AA97,'Table 2 StormwaterGroundwater'!AC97,'Table 2 StormwaterGroundwater'!AE97)</f>
        <v>24.953391837899542</v>
      </c>
      <c r="K94" s="100">
        <f t="shared" si="14"/>
        <v>875</v>
      </c>
      <c r="L94" s="101" t="s">
        <v>73</v>
      </c>
      <c r="M94" s="101">
        <f>'Table 2 StormwaterGroundwater'!E97</f>
        <v>525</v>
      </c>
      <c r="N94" s="102">
        <f>'Table 2 StormwaterGroundwater'!C97</f>
        <v>0</v>
      </c>
      <c r="R94" s="66">
        <f t="shared" si="11"/>
        <v>71040</v>
      </c>
      <c r="S94" s="66">
        <f t="shared" si="15"/>
        <v>401.61202130065641</v>
      </c>
      <c r="T94" s="46">
        <f t="shared" si="12"/>
        <v>5.4271894770358973</v>
      </c>
      <c r="U94" s="68">
        <f t="shared" si="16"/>
        <v>385547.54044863011</v>
      </c>
    </row>
    <row r="95" spans="2:21" ht="13.5" hidden="1" thickTop="1" x14ac:dyDescent="0.2">
      <c r="B95" s="92">
        <f t="shared" si="10"/>
        <v>90</v>
      </c>
      <c r="C95" s="100" t="s">
        <v>73</v>
      </c>
      <c r="D95" s="101" t="s">
        <v>73</v>
      </c>
      <c r="E95" s="100">
        <f>'Table 2 StormwaterGroundwater'!AM98+'Table 6 WTP Flow Balance'!H89+'Table 6 WTP Flow Balance'!$U$8</f>
        <v>267.74134753377092</v>
      </c>
      <c r="F95" s="100">
        <f t="shared" si="13"/>
        <v>5.4271894770358973</v>
      </c>
      <c r="G95" s="101">
        <f>'Table 2 StormwaterGroundwater'!F98</f>
        <v>350</v>
      </c>
      <c r="H95" s="101">
        <f>'Table 2 StormwaterGroundwater'!G98+'Table 2 StormwaterGroundwater'!H98+'Table 2 StormwaterGroundwater'!I98+'Table 2 StormwaterGroundwater'!K98+'Table 2 StormwaterGroundwater'!M98+'Table 2 StormwaterGroundwater'!O98</f>
        <v>106.95497461472601</v>
      </c>
      <c r="I95" s="101">
        <f>SUM('Table 2 StormwaterGroundwater'!Q98,'Table 2 StormwaterGroundwater'!U98,'Table 2 StormwaterGroundwater'!W98,'Table 2 StormwaterGroundwater'!Y98,('Table 2 StormwaterGroundwater'!S98*(59/193)))</f>
        <v>9.9206523140220693</v>
      </c>
      <c r="J95" s="101">
        <f>SUM('Table 2 StormwaterGroundwater'!AA98,'Table 2 StormwaterGroundwater'!AC98,'Table 2 StormwaterGroundwater'!AE98)</f>
        <v>24.953391837899542</v>
      </c>
      <c r="K95" s="100">
        <f t="shared" si="14"/>
        <v>875</v>
      </c>
      <c r="L95" s="101" t="s">
        <v>73</v>
      </c>
      <c r="M95" s="101">
        <f>'Table 2 StormwaterGroundwater'!E98</f>
        <v>525</v>
      </c>
      <c r="N95" s="102">
        <f>'Table 2 StormwaterGroundwater'!C98</f>
        <v>0</v>
      </c>
      <c r="R95" s="66">
        <f t="shared" si="11"/>
        <v>71040</v>
      </c>
      <c r="S95" s="66">
        <f t="shared" si="15"/>
        <v>401.61202130065641</v>
      </c>
      <c r="T95" s="46">
        <f t="shared" si="12"/>
        <v>5.4271894770358973</v>
      </c>
      <c r="U95" s="68">
        <f t="shared" si="16"/>
        <v>385547.54044863011</v>
      </c>
    </row>
    <row r="96" spans="2:21" ht="13.5" hidden="1" thickTop="1" x14ac:dyDescent="0.2">
      <c r="B96" s="92">
        <f t="shared" si="10"/>
        <v>91</v>
      </c>
      <c r="C96" s="100" t="s">
        <v>73</v>
      </c>
      <c r="D96" s="101" t="s">
        <v>73</v>
      </c>
      <c r="E96" s="100">
        <f>'Table 2 StormwaterGroundwater'!AM99+'Table 6 WTP Flow Balance'!H90+'Table 6 WTP Flow Balance'!$U$8</f>
        <v>267.74134753377092</v>
      </c>
      <c r="F96" s="100">
        <f t="shared" si="13"/>
        <v>5.4271894770358973</v>
      </c>
      <c r="G96" s="101">
        <f>'Table 2 StormwaterGroundwater'!F99</f>
        <v>350</v>
      </c>
      <c r="H96" s="101">
        <f>'Table 2 StormwaterGroundwater'!G99+'Table 2 StormwaterGroundwater'!H99+'Table 2 StormwaterGroundwater'!I99+'Table 2 StormwaterGroundwater'!K99+'Table 2 StormwaterGroundwater'!M99+'Table 2 StormwaterGroundwater'!O99</f>
        <v>106.95497461472601</v>
      </c>
      <c r="I96" s="101">
        <f>SUM('Table 2 StormwaterGroundwater'!Q99,'Table 2 StormwaterGroundwater'!U99,'Table 2 StormwaterGroundwater'!W99,'Table 2 StormwaterGroundwater'!Y99,('Table 2 StormwaterGroundwater'!S99*(59/193)))</f>
        <v>9.9206523140220693</v>
      </c>
      <c r="J96" s="101">
        <f>SUM('Table 2 StormwaterGroundwater'!AA99,'Table 2 StormwaterGroundwater'!AC99,'Table 2 StormwaterGroundwater'!AE99)</f>
        <v>24.953391837899542</v>
      </c>
      <c r="K96" s="100">
        <f t="shared" si="14"/>
        <v>875</v>
      </c>
      <c r="L96" s="101" t="s">
        <v>73</v>
      </c>
      <c r="M96" s="101">
        <f>'Table 2 StormwaterGroundwater'!E99</f>
        <v>525</v>
      </c>
      <c r="N96" s="102">
        <f>'Table 2 StormwaterGroundwater'!C99</f>
        <v>0</v>
      </c>
      <c r="R96" s="66">
        <f t="shared" si="11"/>
        <v>71040</v>
      </c>
      <c r="S96" s="66">
        <f t="shared" si="15"/>
        <v>401.61202130065641</v>
      </c>
      <c r="T96" s="46">
        <f t="shared" si="12"/>
        <v>5.4271894770358973</v>
      </c>
      <c r="U96" s="68">
        <f t="shared" si="16"/>
        <v>385547.54044863011</v>
      </c>
    </row>
    <row r="97" spans="2:21" ht="13.5" hidden="1" thickTop="1" x14ac:dyDescent="0.2">
      <c r="B97" s="92">
        <f t="shared" si="10"/>
        <v>92</v>
      </c>
      <c r="C97" s="100" t="s">
        <v>73</v>
      </c>
      <c r="D97" s="101" t="s">
        <v>73</v>
      </c>
      <c r="E97" s="100">
        <f>'Table 2 StormwaterGroundwater'!AM100+'Table 6 WTP Flow Balance'!H91+'Table 6 WTP Flow Balance'!$U$8</f>
        <v>267.74134753377092</v>
      </c>
      <c r="F97" s="100">
        <f t="shared" si="13"/>
        <v>5.4271894770358973</v>
      </c>
      <c r="G97" s="101">
        <f>'Table 2 StormwaterGroundwater'!F100</f>
        <v>350</v>
      </c>
      <c r="H97" s="101">
        <f>'Table 2 StormwaterGroundwater'!G100+'Table 2 StormwaterGroundwater'!H100+'Table 2 StormwaterGroundwater'!I100+'Table 2 StormwaterGroundwater'!K100+'Table 2 StormwaterGroundwater'!M100+'Table 2 StormwaterGroundwater'!O100</f>
        <v>106.95497461472601</v>
      </c>
      <c r="I97" s="101">
        <f>SUM('Table 2 StormwaterGroundwater'!Q100,'Table 2 StormwaterGroundwater'!U100,'Table 2 StormwaterGroundwater'!W100,'Table 2 StormwaterGroundwater'!Y100,('Table 2 StormwaterGroundwater'!S100*(59/193)))</f>
        <v>9.9206523140220693</v>
      </c>
      <c r="J97" s="101">
        <f>SUM('Table 2 StormwaterGroundwater'!AA100,'Table 2 StormwaterGroundwater'!AC100,'Table 2 StormwaterGroundwater'!AE100)</f>
        <v>24.953391837899542</v>
      </c>
      <c r="K97" s="100">
        <f t="shared" si="14"/>
        <v>875</v>
      </c>
      <c r="L97" s="101" t="s">
        <v>73</v>
      </c>
      <c r="M97" s="101">
        <f>'Table 2 StormwaterGroundwater'!E100</f>
        <v>525</v>
      </c>
      <c r="N97" s="102">
        <f>'Table 2 StormwaterGroundwater'!C100</f>
        <v>0</v>
      </c>
      <c r="R97" s="66">
        <f t="shared" si="11"/>
        <v>71040</v>
      </c>
      <c r="S97" s="66">
        <f t="shared" si="15"/>
        <v>401.61202130065641</v>
      </c>
      <c r="T97" s="46">
        <f t="shared" si="12"/>
        <v>5.4271894770358973</v>
      </c>
      <c r="U97" s="68">
        <f t="shared" si="16"/>
        <v>385547.54044863011</v>
      </c>
    </row>
    <row r="98" spans="2:21" ht="13.5" hidden="1" thickTop="1" x14ac:dyDescent="0.2">
      <c r="B98" s="92">
        <f t="shared" si="10"/>
        <v>93</v>
      </c>
      <c r="C98" s="100" t="s">
        <v>73</v>
      </c>
      <c r="D98" s="101" t="s">
        <v>73</v>
      </c>
      <c r="E98" s="100">
        <f>'Table 2 StormwaterGroundwater'!AM101+'Table 6 WTP Flow Balance'!H92+'Table 6 WTP Flow Balance'!$U$8</f>
        <v>267.74134753377092</v>
      </c>
      <c r="F98" s="100">
        <f t="shared" si="13"/>
        <v>5.4271894770358973</v>
      </c>
      <c r="G98" s="101">
        <f>'Table 2 StormwaterGroundwater'!F101</f>
        <v>350</v>
      </c>
      <c r="H98" s="101">
        <f>'Table 2 StormwaterGroundwater'!G101+'Table 2 StormwaterGroundwater'!H101+'Table 2 StormwaterGroundwater'!I101+'Table 2 StormwaterGroundwater'!K101+'Table 2 StormwaterGroundwater'!M101+'Table 2 StormwaterGroundwater'!O101</f>
        <v>106.95497461472601</v>
      </c>
      <c r="I98" s="101">
        <f>SUM('Table 2 StormwaterGroundwater'!Q101,'Table 2 StormwaterGroundwater'!U101,'Table 2 StormwaterGroundwater'!W101,'Table 2 StormwaterGroundwater'!Y101,('Table 2 StormwaterGroundwater'!S101*(59/193)))</f>
        <v>9.9206523140220693</v>
      </c>
      <c r="J98" s="101">
        <f>SUM('Table 2 StormwaterGroundwater'!AA101,'Table 2 StormwaterGroundwater'!AC101,'Table 2 StormwaterGroundwater'!AE101)</f>
        <v>24.953391837899542</v>
      </c>
      <c r="K98" s="100">
        <f t="shared" si="14"/>
        <v>875</v>
      </c>
      <c r="L98" s="101" t="s">
        <v>73</v>
      </c>
      <c r="M98" s="101">
        <f>'Table 2 StormwaterGroundwater'!E101</f>
        <v>525</v>
      </c>
      <c r="N98" s="102">
        <f>'Table 2 StormwaterGroundwater'!C101</f>
        <v>0</v>
      </c>
      <c r="R98" s="66">
        <f t="shared" si="11"/>
        <v>71040</v>
      </c>
      <c r="S98" s="66">
        <f t="shared" si="15"/>
        <v>401.61202130065641</v>
      </c>
      <c r="T98" s="46">
        <f t="shared" si="12"/>
        <v>5.4271894770358973</v>
      </c>
      <c r="U98" s="68">
        <f t="shared" si="16"/>
        <v>385547.54044863011</v>
      </c>
    </row>
    <row r="99" spans="2:21" ht="13.5" hidden="1" thickTop="1" x14ac:dyDescent="0.2">
      <c r="B99" s="92">
        <f t="shared" si="10"/>
        <v>94</v>
      </c>
      <c r="C99" s="100" t="s">
        <v>73</v>
      </c>
      <c r="D99" s="101" t="s">
        <v>73</v>
      </c>
      <c r="E99" s="100">
        <f>'Table 2 StormwaterGroundwater'!AM102+'Table 6 WTP Flow Balance'!H93+'Table 6 WTP Flow Balance'!$U$8</f>
        <v>267.74134753377092</v>
      </c>
      <c r="F99" s="100">
        <f t="shared" si="13"/>
        <v>5.4271894770358973</v>
      </c>
      <c r="G99" s="101">
        <f>'Table 2 StormwaterGroundwater'!F102</f>
        <v>350</v>
      </c>
      <c r="H99" s="101">
        <f>'Table 2 StormwaterGroundwater'!G102+'Table 2 StormwaterGroundwater'!H102+'Table 2 StormwaterGroundwater'!I102+'Table 2 StormwaterGroundwater'!K102+'Table 2 StormwaterGroundwater'!M102+'Table 2 StormwaterGroundwater'!O102</f>
        <v>106.95497461472601</v>
      </c>
      <c r="I99" s="101">
        <f>SUM('Table 2 StormwaterGroundwater'!Q102,'Table 2 StormwaterGroundwater'!U102,'Table 2 StormwaterGroundwater'!W102,'Table 2 StormwaterGroundwater'!Y102,('Table 2 StormwaterGroundwater'!S102*(59/193)))</f>
        <v>9.9206523140220693</v>
      </c>
      <c r="J99" s="101">
        <f>SUM('Table 2 StormwaterGroundwater'!AA102,'Table 2 StormwaterGroundwater'!AC102,'Table 2 StormwaterGroundwater'!AE102)</f>
        <v>24.953391837899542</v>
      </c>
      <c r="K99" s="100">
        <f t="shared" si="14"/>
        <v>875</v>
      </c>
      <c r="L99" s="101" t="s">
        <v>73</v>
      </c>
      <c r="M99" s="101">
        <f>'Table 2 StormwaterGroundwater'!E102</f>
        <v>525</v>
      </c>
      <c r="N99" s="102">
        <f>'Table 2 StormwaterGroundwater'!C102</f>
        <v>0</v>
      </c>
      <c r="R99" s="66">
        <f t="shared" si="11"/>
        <v>71040</v>
      </c>
      <c r="S99" s="66">
        <f t="shared" si="15"/>
        <v>401.61202130065641</v>
      </c>
      <c r="T99" s="46">
        <f t="shared" si="12"/>
        <v>5.4271894770358973</v>
      </c>
      <c r="U99" s="68">
        <f t="shared" si="16"/>
        <v>385547.54044863011</v>
      </c>
    </row>
    <row r="100" spans="2:21" ht="13.5" hidden="1" thickTop="1" x14ac:dyDescent="0.2">
      <c r="B100" s="92">
        <f t="shared" si="10"/>
        <v>95</v>
      </c>
      <c r="C100" s="100" t="s">
        <v>73</v>
      </c>
      <c r="D100" s="101" t="s">
        <v>73</v>
      </c>
      <c r="E100" s="100">
        <f>'Table 2 StormwaterGroundwater'!AM103+'Table 6 WTP Flow Balance'!H94+'Table 6 WTP Flow Balance'!$U$8</f>
        <v>267.74134753377092</v>
      </c>
      <c r="F100" s="100">
        <f t="shared" si="13"/>
        <v>5.4271894770358973</v>
      </c>
      <c r="G100" s="101">
        <f>'Table 2 StormwaterGroundwater'!F103</f>
        <v>350</v>
      </c>
      <c r="H100" s="101">
        <f>'Table 2 StormwaterGroundwater'!G103+'Table 2 StormwaterGroundwater'!H103+'Table 2 StormwaterGroundwater'!I103+'Table 2 StormwaterGroundwater'!K103+'Table 2 StormwaterGroundwater'!M103+'Table 2 StormwaterGroundwater'!O103</f>
        <v>106.95497461472601</v>
      </c>
      <c r="I100" s="101">
        <f>SUM('Table 2 StormwaterGroundwater'!Q103,'Table 2 StormwaterGroundwater'!U103,'Table 2 StormwaterGroundwater'!W103,'Table 2 StormwaterGroundwater'!Y103,('Table 2 StormwaterGroundwater'!S103*(59/193)))</f>
        <v>9.9206523140220693</v>
      </c>
      <c r="J100" s="101">
        <f>SUM('Table 2 StormwaterGroundwater'!AA103,'Table 2 StormwaterGroundwater'!AC103,'Table 2 StormwaterGroundwater'!AE103)</f>
        <v>24.953391837899542</v>
      </c>
      <c r="K100" s="100">
        <f t="shared" si="14"/>
        <v>875</v>
      </c>
      <c r="L100" s="101" t="s">
        <v>73</v>
      </c>
      <c r="M100" s="101">
        <f>'Table 2 StormwaterGroundwater'!E103</f>
        <v>525</v>
      </c>
      <c r="N100" s="102">
        <f>'Table 2 StormwaterGroundwater'!C103</f>
        <v>0</v>
      </c>
      <c r="R100" s="66">
        <f t="shared" si="11"/>
        <v>71040</v>
      </c>
      <c r="S100" s="66">
        <f t="shared" si="15"/>
        <v>401.61202130065641</v>
      </c>
      <c r="T100" s="46">
        <f t="shared" si="12"/>
        <v>5.4271894770358973</v>
      </c>
      <c r="U100" s="68">
        <f t="shared" si="16"/>
        <v>385547.54044863011</v>
      </c>
    </row>
    <row r="101" spans="2:21" ht="13.5" hidden="1" thickTop="1" x14ac:dyDescent="0.2">
      <c r="B101" s="92">
        <f t="shared" si="10"/>
        <v>96</v>
      </c>
      <c r="C101" s="100" t="s">
        <v>73</v>
      </c>
      <c r="D101" s="101" t="s">
        <v>73</v>
      </c>
      <c r="E101" s="100">
        <f>'Table 2 StormwaterGroundwater'!AM104+'Table 6 WTP Flow Balance'!H95+'Table 6 WTP Flow Balance'!$U$8</f>
        <v>267.74134753377092</v>
      </c>
      <c r="F101" s="100">
        <f t="shared" si="13"/>
        <v>5.4271894770358973</v>
      </c>
      <c r="G101" s="101">
        <f>'Table 2 StormwaterGroundwater'!F104</f>
        <v>350</v>
      </c>
      <c r="H101" s="101">
        <f>'Table 2 StormwaterGroundwater'!G104+'Table 2 StormwaterGroundwater'!H104+'Table 2 StormwaterGroundwater'!I104+'Table 2 StormwaterGroundwater'!K104+'Table 2 StormwaterGroundwater'!M104+'Table 2 StormwaterGroundwater'!O104</f>
        <v>106.95497461472601</v>
      </c>
      <c r="I101" s="101">
        <f>SUM('Table 2 StormwaterGroundwater'!Q104,'Table 2 StormwaterGroundwater'!U104,'Table 2 StormwaterGroundwater'!W104,'Table 2 StormwaterGroundwater'!Y104,('Table 2 StormwaterGroundwater'!S104*(59/193)))</f>
        <v>9.9206523140220693</v>
      </c>
      <c r="J101" s="101">
        <f>SUM('Table 2 StormwaterGroundwater'!AA104,'Table 2 StormwaterGroundwater'!AC104,'Table 2 StormwaterGroundwater'!AE104)</f>
        <v>24.953391837899542</v>
      </c>
      <c r="K101" s="100">
        <f t="shared" si="14"/>
        <v>875</v>
      </c>
      <c r="L101" s="101" t="s">
        <v>73</v>
      </c>
      <c r="M101" s="101">
        <f>'Table 2 StormwaterGroundwater'!E104</f>
        <v>525</v>
      </c>
      <c r="N101" s="102">
        <f>'Table 2 StormwaterGroundwater'!C104</f>
        <v>0</v>
      </c>
      <c r="R101" s="66">
        <f t="shared" si="11"/>
        <v>71040</v>
      </c>
      <c r="S101" s="66">
        <f t="shared" si="15"/>
        <v>401.61202130065641</v>
      </c>
      <c r="T101" s="46">
        <f t="shared" si="12"/>
        <v>5.4271894770358973</v>
      </c>
      <c r="U101" s="68">
        <f t="shared" si="16"/>
        <v>385547.54044863011</v>
      </c>
    </row>
    <row r="102" spans="2:21" ht="13.5" hidden="1" thickTop="1" x14ac:dyDescent="0.2">
      <c r="B102" s="92">
        <f t="shared" si="10"/>
        <v>97</v>
      </c>
      <c r="C102" s="100" t="s">
        <v>73</v>
      </c>
      <c r="D102" s="101" t="s">
        <v>73</v>
      </c>
      <c r="E102" s="100">
        <f>'Table 2 StormwaterGroundwater'!AM105+'Table 6 WTP Flow Balance'!H96+'Table 6 WTP Flow Balance'!$U$8</f>
        <v>267.74134753377092</v>
      </c>
      <c r="F102" s="100">
        <f t="shared" si="13"/>
        <v>5.4271894770358973</v>
      </c>
      <c r="G102" s="101">
        <f>'Table 2 StormwaterGroundwater'!F105</f>
        <v>350</v>
      </c>
      <c r="H102" s="101">
        <f>'Table 2 StormwaterGroundwater'!G105+'Table 2 StormwaterGroundwater'!H105+'Table 2 StormwaterGroundwater'!I105+'Table 2 StormwaterGroundwater'!K105+'Table 2 StormwaterGroundwater'!M105+'Table 2 StormwaterGroundwater'!O105</f>
        <v>106.95497461472601</v>
      </c>
      <c r="I102" s="101">
        <f>SUM('Table 2 StormwaterGroundwater'!Q105,'Table 2 StormwaterGroundwater'!U105,'Table 2 StormwaterGroundwater'!W105,'Table 2 StormwaterGroundwater'!Y105,('Table 2 StormwaterGroundwater'!S105*(59/193)))</f>
        <v>9.9206523140220693</v>
      </c>
      <c r="J102" s="101">
        <f>SUM('Table 2 StormwaterGroundwater'!AA105,'Table 2 StormwaterGroundwater'!AC105,'Table 2 StormwaterGroundwater'!AE105)</f>
        <v>24.953391837899542</v>
      </c>
      <c r="K102" s="100">
        <f t="shared" si="14"/>
        <v>875</v>
      </c>
      <c r="L102" s="101" t="s">
        <v>73</v>
      </c>
      <c r="M102" s="101">
        <f>'Table 2 StormwaterGroundwater'!E105</f>
        <v>525</v>
      </c>
      <c r="N102" s="102">
        <f>'Table 2 StormwaterGroundwater'!C105</f>
        <v>0</v>
      </c>
      <c r="R102" s="66">
        <f t="shared" si="11"/>
        <v>71040</v>
      </c>
      <c r="S102" s="66">
        <f t="shared" si="15"/>
        <v>401.61202130065641</v>
      </c>
      <c r="T102" s="46">
        <f t="shared" si="12"/>
        <v>5.4271894770358973</v>
      </c>
      <c r="U102" s="68">
        <f t="shared" si="16"/>
        <v>385547.54044863011</v>
      </c>
    </row>
    <row r="103" spans="2:21" ht="13.5" hidden="1" thickTop="1" x14ac:dyDescent="0.2">
      <c r="B103" s="92">
        <f t="shared" si="10"/>
        <v>98</v>
      </c>
      <c r="C103" s="100" t="s">
        <v>73</v>
      </c>
      <c r="D103" s="101" t="s">
        <v>73</v>
      </c>
      <c r="E103" s="100">
        <f>'Table 2 StormwaterGroundwater'!AM106+'Table 6 WTP Flow Balance'!H97+'Table 6 WTP Flow Balance'!$U$8</f>
        <v>267.74134753377092</v>
      </c>
      <c r="F103" s="100">
        <f t="shared" si="13"/>
        <v>5.4271894770358973</v>
      </c>
      <c r="G103" s="101">
        <f>'Table 2 StormwaterGroundwater'!F106</f>
        <v>350</v>
      </c>
      <c r="H103" s="101">
        <f>'Table 2 StormwaterGroundwater'!G106+'Table 2 StormwaterGroundwater'!H106+'Table 2 StormwaterGroundwater'!I106+'Table 2 StormwaterGroundwater'!K106+'Table 2 StormwaterGroundwater'!M106+'Table 2 StormwaterGroundwater'!O106</f>
        <v>106.95497461472601</v>
      </c>
      <c r="I103" s="101">
        <f>SUM('Table 2 StormwaterGroundwater'!Q106,'Table 2 StormwaterGroundwater'!U106,'Table 2 StormwaterGroundwater'!W106,'Table 2 StormwaterGroundwater'!Y106,('Table 2 StormwaterGroundwater'!S106*(59/193)))</f>
        <v>9.9206523140220693</v>
      </c>
      <c r="J103" s="101">
        <f>SUM('Table 2 StormwaterGroundwater'!AA106,'Table 2 StormwaterGroundwater'!AC106,'Table 2 StormwaterGroundwater'!AE106)</f>
        <v>24.953391837899542</v>
      </c>
      <c r="K103" s="100">
        <f t="shared" si="14"/>
        <v>875</v>
      </c>
      <c r="L103" s="101" t="s">
        <v>73</v>
      </c>
      <c r="M103" s="101">
        <f>'Table 2 StormwaterGroundwater'!E106</f>
        <v>525</v>
      </c>
      <c r="N103" s="102">
        <f>'Table 2 StormwaterGroundwater'!C106</f>
        <v>0</v>
      </c>
      <c r="R103" s="66">
        <f t="shared" si="11"/>
        <v>71040</v>
      </c>
      <c r="S103" s="66">
        <f t="shared" si="15"/>
        <v>401.61202130065641</v>
      </c>
      <c r="T103" s="46">
        <f t="shared" si="12"/>
        <v>5.4271894770358973</v>
      </c>
      <c r="U103" s="68">
        <f t="shared" si="16"/>
        <v>385547.54044863011</v>
      </c>
    </row>
    <row r="104" spans="2:21" ht="13.5" hidden="1" thickTop="1" x14ac:dyDescent="0.2">
      <c r="B104" s="92">
        <f t="shared" si="10"/>
        <v>99</v>
      </c>
      <c r="C104" s="100" t="s">
        <v>73</v>
      </c>
      <c r="D104" s="101" t="s">
        <v>73</v>
      </c>
      <c r="E104" s="100">
        <f>'Table 2 StormwaterGroundwater'!AM107+'Table 6 WTP Flow Balance'!H98+'Table 6 WTP Flow Balance'!$U$8</f>
        <v>267.74134753377092</v>
      </c>
      <c r="F104" s="100">
        <f t="shared" si="13"/>
        <v>5.4271894770358973</v>
      </c>
      <c r="G104" s="101">
        <f>'Table 2 StormwaterGroundwater'!F107</f>
        <v>350</v>
      </c>
      <c r="H104" s="101">
        <f>'Table 2 StormwaterGroundwater'!G107+'Table 2 StormwaterGroundwater'!H107+'Table 2 StormwaterGroundwater'!I107+'Table 2 StormwaterGroundwater'!K107+'Table 2 StormwaterGroundwater'!M107+'Table 2 StormwaterGroundwater'!O107</f>
        <v>106.95497461472601</v>
      </c>
      <c r="I104" s="101">
        <f>SUM('Table 2 StormwaterGroundwater'!Q107,'Table 2 StormwaterGroundwater'!U107,'Table 2 StormwaterGroundwater'!W107,'Table 2 StormwaterGroundwater'!Y107,('Table 2 StormwaterGroundwater'!S107*(59/193)))</f>
        <v>9.9206523140220693</v>
      </c>
      <c r="J104" s="101">
        <f>SUM('Table 2 StormwaterGroundwater'!AA107,'Table 2 StormwaterGroundwater'!AC107,'Table 2 StormwaterGroundwater'!AE107)</f>
        <v>24.953391837899542</v>
      </c>
      <c r="K104" s="100">
        <f t="shared" si="14"/>
        <v>875</v>
      </c>
      <c r="L104" s="101" t="s">
        <v>73</v>
      </c>
      <c r="M104" s="101">
        <f>'Table 2 StormwaterGroundwater'!E107</f>
        <v>525</v>
      </c>
      <c r="N104" s="102">
        <f>'Table 2 StormwaterGroundwater'!C107</f>
        <v>0</v>
      </c>
      <c r="R104" s="66">
        <f t="shared" si="11"/>
        <v>71040</v>
      </c>
      <c r="S104" s="66">
        <f t="shared" si="15"/>
        <v>401.61202130065641</v>
      </c>
      <c r="T104" s="46">
        <f t="shared" si="12"/>
        <v>5.4271894770358973</v>
      </c>
      <c r="U104" s="68">
        <f t="shared" si="16"/>
        <v>385547.54044863011</v>
      </c>
    </row>
    <row r="105" spans="2:21" ht="14.25" hidden="1" thickTop="1" thickBot="1" x14ac:dyDescent="0.25">
      <c r="B105" s="95">
        <f t="shared" ref="B105" si="17">B104+1</f>
        <v>100</v>
      </c>
      <c r="C105" s="103" t="s">
        <v>73</v>
      </c>
      <c r="D105" s="104" t="s">
        <v>73</v>
      </c>
      <c r="E105" s="100">
        <f>'Table 2 StormwaterGroundwater'!AM108+'Table 6 WTP Flow Balance'!H99+'Table 6 WTP Flow Balance'!$U$8</f>
        <v>267.74134753377092</v>
      </c>
      <c r="F105" s="103">
        <f t="shared" si="13"/>
        <v>5.4271894770358973</v>
      </c>
      <c r="G105" s="104">
        <f>'Table 2 StormwaterGroundwater'!F108</f>
        <v>350</v>
      </c>
      <c r="H105" s="104">
        <f>'Table 2 StormwaterGroundwater'!G108+'Table 2 StormwaterGroundwater'!H108+'Table 2 StormwaterGroundwater'!I108+'Table 2 StormwaterGroundwater'!K108+'Table 2 StormwaterGroundwater'!M108+'Table 2 StormwaterGroundwater'!O108</f>
        <v>106.95497461472601</v>
      </c>
      <c r="I105" s="101">
        <f>SUM('Table 2 StormwaterGroundwater'!Q108,'Table 2 StormwaterGroundwater'!U108,'Table 2 StormwaterGroundwater'!W108,'Table 2 StormwaterGroundwater'!Y108,('Table 2 StormwaterGroundwater'!S108*(59/193)))</f>
        <v>9.9206523140220693</v>
      </c>
      <c r="J105" s="104">
        <f>SUM('Table 2 StormwaterGroundwater'!AA108,'Table 2 StormwaterGroundwater'!AC108,'Table 2 StormwaterGroundwater'!AE108)</f>
        <v>24.953391837899542</v>
      </c>
      <c r="K105" s="104">
        <f t="shared" si="14"/>
        <v>875</v>
      </c>
      <c r="L105" s="104" t="s">
        <v>73</v>
      </c>
      <c r="M105" s="104">
        <f>'Table 2 StormwaterGroundwater'!E108</f>
        <v>525</v>
      </c>
      <c r="N105" s="105">
        <f>'Table 2 StormwaterGroundwater'!C108</f>
        <v>0</v>
      </c>
      <c r="R105" s="66">
        <f t="shared" si="11"/>
        <v>71040</v>
      </c>
      <c r="S105" s="66">
        <f t="shared" si="15"/>
        <v>401.61202130065641</v>
      </c>
      <c r="T105" s="46">
        <f t="shared" si="12"/>
        <v>5.4271894770358973</v>
      </c>
      <c r="U105" s="68">
        <f t="shared" si="16"/>
        <v>385547.54044863011</v>
      </c>
    </row>
    <row r="106" spans="2:21" ht="12.75" customHeight="1" thickTop="1" x14ac:dyDescent="0.2"/>
  </sheetData>
  <mergeCells count="7">
    <mergeCell ref="R9:T9"/>
    <mergeCell ref="B2:B4"/>
    <mergeCell ref="M3:N3"/>
    <mergeCell ref="G3:J3"/>
    <mergeCell ref="L2:N2"/>
    <mergeCell ref="C2:J2"/>
    <mergeCell ref="C3:F3"/>
  </mergeCells>
  <phoneticPr fontId="13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33CB-69BF-40E6-8775-5ACF011C07C6}">
  <dimension ref="B1:V136"/>
  <sheetViews>
    <sheetView zoomScale="115" zoomScaleNormal="115" workbookViewId="0">
      <pane ySplit="4" topLeftCell="A5" activePane="bottomLeft" state="frozen"/>
      <selection pane="bottomLeft" activeCell="Q1" sqref="O1:Q1048576"/>
    </sheetView>
  </sheetViews>
  <sheetFormatPr defaultRowHeight="12.75" x14ac:dyDescent="0.2"/>
  <cols>
    <col min="1" max="1" width="3.1640625" customWidth="1"/>
    <col min="2" max="2" width="5.83203125" customWidth="1"/>
    <col min="3" max="3" width="9.5" customWidth="1"/>
    <col min="4" max="7" width="10.33203125" style="1" customWidth="1"/>
    <col min="8" max="8" width="14.33203125" style="1" customWidth="1"/>
    <col min="9" max="9" width="11.6640625" style="28" customWidth="1"/>
    <col min="10" max="14" width="10.33203125" style="1" customWidth="1"/>
    <col min="15" max="15" width="10.33203125" style="1" hidden="1" customWidth="1"/>
    <col min="16" max="16" width="10.33203125" style="28" hidden="1" customWidth="1"/>
    <col min="17" max="17" width="10.33203125" style="2" hidden="1" customWidth="1"/>
    <col min="18" max="18" width="10.33203125" style="2" customWidth="1"/>
    <col min="20" max="20" width="13.83203125" customWidth="1"/>
    <col min="21" max="21" width="14.83203125" hidden="1" customWidth="1"/>
    <col min="22" max="22" width="13.5" hidden="1" customWidth="1"/>
    <col min="23" max="23" width="12.83203125" customWidth="1"/>
  </cols>
  <sheetData>
    <row r="1" spans="2:22" ht="13.5" thickBot="1" x14ac:dyDescent="0.25"/>
    <row r="2" spans="2:22" ht="15.75" thickTop="1" thickBot="1" x14ac:dyDescent="0.25">
      <c r="B2" s="687"/>
      <c r="C2" s="365"/>
      <c r="D2" s="684" t="s">
        <v>163</v>
      </c>
      <c r="E2" s="684"/>
      <c r="F2" s="684"/>
      <c r="G2" s="689" t="s">
        <v>164</v>
      </c>
      <c r="H2" s="684"/>
      <c r="I2" s="684" t="s">
        <v>165</v>
      </c>
      <c r="J2" s="684"/>
      <c r="K2" s="685"/>
      <c r="L2" s="37"/>
      <c r="M2" s="37"/>
      <c r="O2" s="2"/>
      <c r="P2" s="2"/>
      <c r="R2"/>
    </row>
    <row r="3" spans="2:22" ht="44.25" thickTop="1" thickBot="1" x14ac:dyDescent="0.25">
      <c r="B3" s="688"/>
      <c r="C3" s="355" t="s">
        <v>166</v>
      </c>
      <c r="D3" s="355" t="s">
        <v>167</v>
      </c>
      <c r="E3" s="355" t="s">
        <v>168</v>
      </c>
      <c r="F3" s="355" t="s">
        <v>29</v>
      </c>
      <c r="G3" s="355" t="s">
        <v>169</v>
      </c>
      <c r="H3" s="355" t="s">
        <v>170</v>
      </c>
      <c r="I3" s="355" t="s">
        <v>171</v>
      </c>
      <c r="J3" s="355" t="s">
        <v>172</v>
      </c>
      <c r="K3" s="356" t="s">
        <v>29</v>
      </c>
      <c r="L3" s="11"/>
      <c r="M3" s="11"/>
      <c r="N3" s="11"/>
      <c r="O3" s="368" t="s">
        <v>173</v>
      </c>
      <c r="P3" s="369" t="s">
        <v>174</v>
      </c>
      <c r="Q3" s="370" t="s">
        <v>175</v>
      </c>
      <c r="R3"/>
      <c r="U3" t="s">
        <v>176</v>
      </c>
    </row>
    <row r="4" spans="2:22" ht="15" thickBot="1" x14ac:dyDescent="0.25">
      <c r="B4" s="357" t="s">
        <v>67</v>
      </c>
      <c r="C4" s="358" t="s">
        <v>68</v>
      </c>
      <c r="D4" s="358" t="s">
        <v>68</v>
      </c>
      <c r="E4" s="358" t="s">
        <v>68</v>
      </c>
      <c r="F4" s="358" t="s">
        <v>68</v>
      </c>
      <c r="G4" s="358" t="s">
        <v>177</v>
      </c>
      <c r="H4" s="358" t="s">
        <v>68</v>
      </c>
      <c r="I4" s="358" t="s">
        <v>68</v>
      </c>
      <c r="J4" s="358" t="s">
        <v>68</v>
      </c>
      <c r="K4" s="359" t="s">
        <v>68</v>
      </c>
      <c r="L4" s="11"/>
      <c r="M4" s="11"/>
      <c r="N4" s="12"/>
      <c r="O4" s="375" t="s">
        <v>82</v>
      </c>
      <c r="P4" s="376"/>
      <c r="Q4" s="377"/>
      <c r="R4"/>
      <c r="U4">
        <v>339</v>
      </c>
      <c r="V4" t="s">
        <v>70</v>
      </c>
    </row>
    <row r="5" spans="2:22" ht="14.25" x14ac:dyDescent="0.2">
      <c r="B5" s="340">
        <f>'Table 5 Flows to Evap &amp; WTP'!B11</f>
        <v>6</v>
      </c>
      <c r="C5" s="360">
        <f>'Table 5 Flows to Evap &amp; WTP'!N11+'Table 5 Flows to Evap &amp; WTP'!M11</f>
        <v>1189.3186909745264</v>
      </c>
      <c r="D5" s="360">
        <f>'Table 5 Flows to Evap &amp; WTP'!K11-'Table 5 Flows to Evap &amp; WTP'!N11-'Table 5 Flows to Evap &amp; WTP'!M11</f>
        <v>350</v>
      </c>
      <c r="E5" s="360">
        <v>740</v>
      </c>
      <c r="F5" s="341">
        <f>E5+D5</f>
        <v>1090</v>
      </c>
      <c r="G5" s="361">
        <v>0.2</v>
      </c>
      <c r="H5" s="360">
        <f>F5*G5</f>
        <v>218</v>
      </c>
      <c r="I5" s="342">
        <f>F5-H5</f>
        <v>872</v>
      </c>
      <c r="J5" s="360">
        <f>C5-E5</f>
        <v>449.31869097452636</v>
      </c>
      <c r="K5" s="362">
        <f>I5+J5</f>
        <v>1321.3186909745264</v>
      </c>
      <c r="L5" s="36"/>
      <c r="M5" s="41"/>
      <c r="N5" s="13"/>
      <c r="O5" s="373">
        <f>'Table 7 WTP Sulfate Balance'!I7</f>
        <v>499.67665365129676</v>
      </c>
      <c r="P5" s="361">
        <f>((E5*7.58)+(D5*6.56))/F5</f>
        <v>7.2524770642201837</v>
      </c>
      <c r="Q5" s="374">
        <f>((P5*I5)+(7.58*J5))/K5</f>
        <v>7.3638522969887319</v>
      </c>
      <c r="R5"/>
      <c r="U5">
        <v>5</v>
      </c>
      <c r="V5" t="s">
        <v>178</v>
      </c>
    </row>
    <row r="6" spans="2:22" ht="14.25" x14ac:dyDescent="0.2">
      <c r="B6" s="345">
        <f>'Table 5 Flows to Evap &amp; WTP'!B12</f>
        <v>7</v>
      </c>
      <c r="C6" s="156">
        <f>'Table 5 Flows to Evap &amp; WTP'!N12+'Table 5 Flows to Evap &amp; WTP'!M12</f>
        <v>1126.7267276072489</v>
      </c>
      <c r="D6" s="156">
        <f>'Table 5 Flows to Evap &amp; WTP'!K12-'Table 5 Flows to Evap &amp; WTP'!N12-'Table 5 Flows to Evap &amp; WTP'!M12</f>
        <v>350</v>
      </c>
      <c r="E6" s="156">
        <v>695</v>
      </c>
      <c r="F6" s="346">
        <f t="shared" ref="F6:F8" si="0">E6+D6</f>
        <v>1045</v>
      </c>
      <c r="G6" s="158">
        <f>G5</f>
        <v>0.2</v>
      </c>
      <c r="H6" s="156">
        <f>F6*G6</f>
        <v>209</v>
      </c>
      <c r="I6" s="159">
        <f t="shared" ref="I6:I69" si="1">F6-H6</f>
        <v>836</v>
      </c>
      <c r="J6" s="156">
        <f t="shared" ref="J6:J69" si="2">C6-E6</f>
        <v>431.7267276072489</v>
      </c>
      <c r="K6" s="363">
        <f t="shared" ref="K6:K36" si="3">I6+J6</f>
        <v>1267.7267276072489</v>
      </c>
      <c r="L6" s="36"/>
      <c r="M6" s="36"/>
      <c r="N6" s="13"/>
      <c r="O6" s="155">
        <f>'Table 7 WTP Sulfate Balance'!I8</f>
        <v>500.39471537200365</v>
      </c>
      <c r="P6" s="158">
        <f t="shared" ref="P6:P69" si="4">((E6*7.58)+(D6*6.56))/F6</f>
        <v>7.2383732057416275</v>
      </c>
      <c r="Q6" s="371">
        <f t="shared" ref="Q6:Q69" si="5">((P6*I6)+(7.58*J6))/K6</f>
        <v>7.3547148547234222</v>
      </c>
      <c r="R6"/>
      <c r="T6" s="43"/>
      <c r="U6" t="s">
        <v>179</v>
      </c>
      <c r="V6" s="43"/>
    </row>
    <row r="7" spans="2:22" ht="14.25" x14ac:dyDescent="0.2">
      <c r="B7" s="345">
        <f>'Table 5 Flows to Evap &amp; WTP'!B13</f>
        <v>8</v>
      </c>
      <c r="C7" s="156">
        <f>'Table 5 Flows to Evap &amp; WTP'!N13+'Table 5 Flows to Evap &amp; WTP'!M13</f>
        <v>1067.8596562981559</v>
      </c>
      <c r="D7" s="156">
        <f>'Table 5 Flows to Evap &amp; WTP'!K13-'Table 5 Flows to Evap &amp; WTP'!N13-'Table 5 Flows to Evap &amp; WTP'!M13</f>
        <v>350</v>
      </c>
      <c r="E7" s="156">
        <v>654</v>
      </c>
      <c r="F7" s="346">
        <f t="shared" si="0"/>
        <v>1004</v>
      </c>
      <c r="G7" s="158">
        <f t="shared" ref="G7:G70" si="6">G6</f>
        <v>0.2</v>
      </c>
      <c r="H7" s="156">
        <f>F7*G7</f>
        <v>200.8</v>
      </c>
      <c r="I7" s="159">
        <f t="shared" si="1"/>
        <v>803.2</v>
      </c>
      <c r="J7" s="156">
        <f t="shared" si="2"/>
        <v>413.85965629815587</v>
      </c>
      <c r="K7" s="363">
        <f t="shared" si="3"/>
        <v>1217.0596562981559</v>
      </c>
      <c r="L7" s="36"/>
      <c r="M7" s="36"/>
      <c r="N7" s="13"/>
      <c r="O7" s="155">
        <f>'Table 7 WTP Sulfate Balance'!I9</f>
        <v>499.67024910021865</v>
      </c>
      <c r="P7" s="158">
        <f t="shared" si="4"/>
        <v>7.2244223107569718</v>
      </c>
      <c r="Q7" s="371">
        <f t="shared" si="5"/>
        <v>7.3453360716362166</v>
      </c>
      <c r="R7"/>
      <c r="U7">
        <f>U4*60*52</f>
        <v>1057680</v>
      </c>
      <c r="V7" t="s">
        <v>180</v>
      </c>
    </row>
    <row r="8" spans="2:22" ht="14.25" x14ac:dyDescent="0.2">
      <c r="B8" s="345">
        <f>'Table 5 Flows to Evap &amp; WTP'!B14</f>
        <v>9</v>
      </c>
      <c r="C8" s="156">
        <f>'Table 5 Flows to Evap &amp; WTP'!N14+'Table 5 Flows to Evap &amp; WTP'!M14</f>
        <v>1012.5542999277734</v>
      </c>
      <c r="D8" s="156">
        <f>'Table 5 Flows to Evap &amp; WTP'!K14-'Table 5 Flows to Evap &amp; WTP'!N14-'Table 5 Flows to Evap &amp; WTP'!M14</f>
        <v>350</v>
      </c>
      <c r="E8" s="156">
        <v>614.5</v>
      </c>
      <c r="F8" s="156">
        <f t="shared" si="0"/>
        <v>964.5</v>
      </c>
      <c r="G8" s="158">
        <f t="shared" si="6"/>
        <v>0.2</v>
      </c>
      <c r="H8" s="156">
        <f t="shared" ref="H8:H71" si="7">F8*G8</f>
        <v>192.9</v>
      </c>
      <c r="I8" s="159">
        <f t="shared" si="1"/>
        <v>771.6</v>
      </c>
      <c r="J8" s="156">
        <f t="shared" si="2"/>
        <v>398.0542999277734</v>
      </c>
      <c r="K8" s="363">
        <f t="shared" si="3"/>
        <v>1169.6542999277735</v>
      </c>
      <c r="L8" s="36"/>
      <c r="M8" s="36"/>
      <c r="N8" s="13"/>
      <c r="O8" s="155">
        <f>'Table 7 WTP Sulfate Balance'!I10</f>
        <v>500.05778197146702</v>
      </c>
      <c r="P8" s="158">
        <f t="shared" si="4"/>
        <v>7.2098600311041992</v>
      </c>
      <c r="Q8" s="371">
        <f t="shared" si="5"/>
        <v>7.3358252895597982</v>
      </c>
      <c r="R8"/>
      <c r="U8">
        <f>U7/(365*1440)</f>
        <v>2.0123287671232877</v>
      </c>
      <c r="V8" t="s">
        <v>70</v>
      </c>
    </row>
    <row r="9" spans="2:22" ht="14.25" x14ac:dyDescent="0.2">
      <c r="B9" s="345">
        <f>'Table 5 Flows to Evap &amp; WTP'!B15</f>
        <v>10</v>
      </c>
      <c r="C9" s="156">
        <f>'Table 5 Flows to Evap &amp; WTP'!N15+'Table 5 Flows to Evap &amp; WTP'!M15</f>
        <v>960.58169904109116</v>
      </c>
      <c r="D9" s="156">
        <f>'Table 5 Flows to Evap &amp; WTP'!K15-'Table 5 Flows to Evap &amp; WTP'!N15-'Table 5 Flows to Evap &amp; WTP'!M15</f>
        <v>350</v>
      </c>
      <c r="E9" s="156">
        <v>578</v>
      </c>
      <c r="F9" s="156">
        <f>E9+D9</f>
        <v>928</v>
      </c>
      <c r="G9" s="158">
        <f t="shared" si="6"/>
        <v>0.2</v>
      </c>
      <c r="H9" s="156">
        <f t="shared" si="7"/>
        <v>185.60000000000002</v>
      </c>
      <c r="I9" s="159">
        <f t="shared" si="1"/>
        <v>742.4</v>
      </c>
      <c r="J9" s="156">
        <f t="shared" si="2"/>
        <v>382.58169904109116</v>
      </c>
      <c r="K9" s="363">
        <f t="shared" si="3"/>
        <v>1124.9816990410911</v>
      </c>
      <c r="L9" s="36"/>
      <c r="M9" s="36"/>
      <c r="N9" s="13"/>
      <c r="O9" s="155">
        <f>'Table 7 WTP Sulfate Balance'!I11</f>
        <v>499.71254118067958</v>
      </c>
      <c r="P9" s="158">
        <f t="shared" si="4"/>
        <v>7.1953017241379307</v>
      </c>
      <c r="Q9" s="371">
        <f t="shared" si="5"/>
        <v>7.3261292034853192</v>
      </c>
      <c r="R9"/>
    </row>
    <row r="10" spans="2:22" ht="14.25" x14ac:dyDescent="0.2">
      <c r="B10" s="345">
        <f>'Table 5 Flows to Evap &amp; WTP'!B16</f>
        <v>11</v>
      </c>
      <c r="C10" s="156">
        <f>'Table 5 Flows to Evap &amp; WTP'!N16+'Table 5 Flows to Evap &amp; WTP'!M16</f>
        <v>911.68729575677003</v>
      </c>
      <c r="D10" s="156">
        <f>'Table 5 Flows to Evap &amp; WTP'!K16-'Table 5 Flows to Evap &amp; WTP'!N16-'Table 5 Flows to Evap &amp; WTP'!M16</f>
        <v>349.99999999999989</v>
      </c>
      <c r="E10" s="156">
        <v>543</v>
      </c>
      <c r="F10" s="156">
        <f t="shared" ref="F10:F73" si="8">E10+D10</f>
        <v>892.99999999999989</v>
      </c>
      <c r="G10" s="158">
        <f t="shared" si="6"/>
        <v>0.2</v>
      </c>
      <c r="H10" s="156">
        <f t="shared" si="7"/>
        <v>178.6</v>
      </c>
      <c r="I10" s="159">
        <f t="shared" si="1"/>
        <v>714.39999999999986</v>
      </c>
      <c r="J10" s="156">
        <f t="shared" si="2"/>
        <v>368.68729575677003</v>
      </c>
      <c r="K10" s="363">
        <f t="shared" si="3"/>
        <v>1083.0872957567699</v>
      </c>
      <c r="L10" s="36"/>
      <c r="M10" s="36"/>
      <c r="N10" s="13"/>
      <c r="O10" s="155">
        <f>'Table 7 WTP Sulfate Balance'!I12</f>
        <v>500.1818237271392</v>
      </c>
      <c r="P10" s="158">
        <f t="shared" si="4"/>
        <v>7.1802239641657328</v>
      </c>
      <c r="Q10" s="371">
        <f t="shared" si="5"/>
        <v>7.3163093435599329</v>
      </c>
      <c r="R10"/>
      <c r="U10" s="3" t="s">
        <v>181</v>
      </c>
    </row>
    <row r="11" spans="2:22" ht="14.25" x14ac:dyDescent="0.2">
      <c r="B11" s="345">
        <f>'Table 5 Flows to Evap &amp; WTP'!B17</f>
        <v>12</v>
      </c>
      <c r="C11" s="156">
        <f>'Table 5 Flows to Evap &amp; WTP'!N17+'Table 5 Flows to Evap &amp; WTP'!M17</f>
        <v>865.63216833128092</v>
      </c>
      <c r="D11" s="156">
        <f>'Table 5 Flows to Evap &amp; WTP'!K17-'Table 5 Flows to Evap &amp; WTP'!N17-'Table 5 Flows to Evap &amp; WTP'!M17</f>
        <v>349.99999999999989</v>
      </c>
      <c r="E11" s="156">
        <v>510.5</v>
      </c>
      <c r="F11" s="156">
        <f t="shared" si="8"/>
        <v>860.49999999999989</v>
      </c>
      <c r="G11" s="158">
        <f t="shared" si="6"/>
        <v>0.2</v>
      </c>
      <c r="H11" s="156">
        <f t="shared" si="7"/>
        <v>172.1</v>
      </c>
      <c r="I11" s="159">
        <f t="shared" si="1"/>
        <v>688.39999999999986</v>
      </c>
      <c r="J11" s="156">
        <f t="shared" si="2"/>
        <v>355.13216833128092</v>
      </c>
      <c r="K11" s="363">
        <f t="shared" si="3"/>
        <v>1043.5321683312809</v>
      </c>
      <c r="L11" s="36"/>
      <c r="M11" s="36"/>
      <c r="N11" s="13"/>
      <c r="O11" s="155">
        <f>'Table 7 WTP Sulfate Balance'!I13</f>
        <v>500.05707530301834</v>
      </c>
      <c r="P11" s="158">
        <f t="shared" si="4"/>
        <v>7.1651249273678097</v>
      </c>
      <c r="Q11" s="371">
        <f t="shared" si="5"/>
        <v>7.3063141389721542</v>
      </c>
      <c r="R11"/>
    </row>
    <row r="12" spans="2:22" ht="14.25" x14ac:dyDescent="0.2">
      <c r="B12" s="345">
        <f>'Table 5 Flows to Evap &amp; WTP'!B18</f>
        <v>13</v>
      </c>
      <c r="C12" s="156">
        <f>'Table 5 Flows to Evap &amp; WTP'!N18+'Table 5 Flows to Evap &amp; WTP'!M18</f>
        <v>822.20658028053037</v>
      </c>
      <c r="D12" s="156">
        <f>'Table 5 Flows to Evap &amp; WTP'!K18-'Table 5 Flows to Evap &amp; WTP'!N18-'Table 5 Flows to Evap &amp; WTP'!M18</f>
        <v>350</v>
      </c>
      <c r="E12" s="156">
        <v>480</v>
      </c>
      <c r="F12" s="156">
        <f t="shared" si="8"/>
        <v>830</v>
      </c>
      <c r="G12" s="158">
        <f t="shared" si="6"/>
        <v>0.2</v>
      </c>
      <c r="H12" s="156">
        <f t="shared" si="7"/>
        <v>166</v>
      </c>
      <c r="I12" s="159">
        <f t="shared" si="1"/>
        <v>664</v>
      </c>
      <c r="J12" s="156">
        <f t="shared" si="2"/>
        <v>342.20658028053037</v>
      </c>
      <c r="K12" s="363">
        <f t="shared" si="3"/>
        <v>1006.2065802805304</v>
      </c>
      <c r="L12" s="36"/>
      <c r="M12" s="36"/>
      <c r="N12" s="13"/>
      <c r="O12" s="155">
        <f>'Table 7 WTP Sulfate Balance'!I14</f>
        <v>499.73787814682879</v>
      </c>
      <c r="P12" s="158">
        <f t="shared" si="4"/>
        <v>7.1498795180722885</v>
      </c>
      <c r="Q12" s="371">
        <f t="shared" si="5"/>
        <v>7.2961616654103221</v>
      </c>
      <c r="R12"/>
    </row>
    <row r="13" spans="2:22" ht="14.25" x14ac:dyDescent="0.2">
      <c r="B13" s="345">
        <f>'Table 5 Flows to Evap &amp; WTP'!B19</f>
        <v>14</v>
      </c>
      <c r="C13" s="156">
        <f>'Table 5 Flows to Evap &amp; WTP'!N19+'Table 5 Flows to Evap &amp; WTP'!M19</f>
        <v>781.21958460429062</v>
      </c>
      <c r="D13" s="156">
        <f>'Table 5 Flows to Evap &amp; WTP'!K19-'Table 5 Flows to Evap &amp; WTP'!N19-'Table 5 Flows to Evap &amp; WTP'!M19</f>
        <v>350</v>
      </c>
      <c r="E13" s="156">
        <v>451</v>
      </c>
      <c r="F13" s="156">
        <f t="shared" si="8"/>
        <v>801</v>
      </c>
      <c r="G13" s="158">
        <f t="shared" si="6"/>
        <v>0.2</v>
      </c>
      <c r="H13" s="156">
        <f t="shared" si="7"/>
        <v>160.20000000000002</v>
      </c>
      <c r="I13" s="159">
        <f t="shared" si="1"/>
        <v>640.79999999999995</v>
      </c>
      <c r="J13" s="156">
        <f t="shared" si="2"/>
        <v>330.21958460429062</v>
      </c>
      <c r="K13" s="363">
        <f t="shared" si="3"/>
        <v>971.01958460429057</v>
      </c>
      <c r="L13" s="36"/>
      <c r="M13" s="36"/>
      <c r="N13" s="13"/>
      <c r="O13" s="155">
        <f>'Table 7 WTP Sulfate Balance'!I15</f>
        <v>499.70814736343408</v>
      </c>
      <c r="P13" s="158">
        <f t="shared" si="4"/>
        <v>7.1343071161048686</v>
      </c>
      <c r="Q13" s="371">
        <f t="shared" si="5"/>
        <v>7.2858761692058067</v>
      </c>
      <c r="R13"/>
    </row>
    <row r="14" spans="2:22" ht="14.25" x14ac:dyDescent="0.2">
      <c r="B14" s="345">
        <f>'Table 5 Flows to Evap &amp; WTP'!B20</f>
        <v>15</v>
      </c>
      <c r="C14" s="156">
        <f>'Table 5 Flows to Evap &amp; WTP'!N20+'Table 5 Flows to Evap &amp; WTP'!M20</f>
        <v>742.48448984956906</v>
      </c>
      <c r="D14" s="156">
        <f>'Table 5 Flows to Evap &amp; WTP'!K20-'Table 5 Flows to Evap &amp; WTP'!N20-'Table 5 Flows to Evap &amp; WTP'!M20</f>
        <v>350</v>
      </c>
      <c r="E14" s="156">
        <v>423.5</v>
      </c>
      <c r="F14" s="156">
        <f t="shared" si="8"/>
        <v>773.5</v>
      </c>
      <c r="G14" s="158">
        <f t="shared" si="6"/>
        <v>0.2</v>
      </c>
      <c r="H14" s="156">
        <f t="shared" si="7"/>
        <v>154.70000000000002</v>
      </c>
      <c r="I14" s="159">
        <f t="shared" si="1"/>
        <v>618.79999999999995</v>
      </c>
      <c r="J14" s="156">
        <f t="shared" si="2"/>
        <v>318.98448984956906</v>
      </c>
      <c r="K14" s="363">
        <f t="shared" si="3"/>
        <v>937.78448984956901</v>
      </c>
      <c r="L14" s="36"/>
      <c r="M14" s="36"/>
      <c r="N14" s="13"/>
      <c r="O14" s="155">
        <f>'Table 7 WTP Sulfate Balance'!I16</f>
        <v>499.81154023677902</v>
      </c>
      <c r="P14" s="158">
        <f t="shared" si="4"/>
        <v>7.1184615384615384</v>
      </c>
      <c r="Q14" s="371">
        <f t="shared" si="5"/>
        <v>7.2754524167425574</v>
      </c>
      <c r="R14"/>
    </row>
    <row r="15" spans="2:22" ht="14.25" x14ac:dyDescent="0.2">
      <c r="B15" s="345">
        <f>'Table 5 Flows to Evap &amp; WTP'!B21</f>
        <v>16</v>
      </c>
      <c r="C15" s="156">
        <f>'Table 5 Flows to Evap &amp; WTP'!N21+'Table 5 Flows to Evap &amp; WTP'!M21</f>
        <v>705.86116186127992</v>
      </c>
      <c r="D15" s="156">
        <f>'Table 5 Flows to Evap &amp; WTP'!K21-'Table 5 Flows to Evap &amp; WTP'!N21-'Table 5 Flows to Evap &amp; WTP'!M21</f>
        <v>350</v>
      </c>
      <c r="E15" s="156">
        <v>397.5</v>
      </c>
      <c r="F15" s="156">
        <f t="shared" si="8"/>
        <v>747.5</v>
      </c>
      <c r="G15" s="158">
        <f t="shared" si="6"/>
        <v>0.2</v>
      </c>
      <c r="H15" s="156">
        <f t="shared" si="7"/>
        <v>149.5</v>
      </c>
      <c r="I15" s="159">
        <f t="shared" si="1"/>
        <v>598</v>
      </c>
      <c r="J15" s="156">
        <f t="shared" si="2"/>
        <v>308.36116186127992</v>
      </c>
      <c r="K15" s="363">
        <f t="shared" si="3"/>
        <v>906.36116186127992</v>
      </c>
      <c r="L15" s="36"/>
      <c r="M15" s="36"/>
      <c r="N15" s="13"/>
      <c r="O15" s="155">
        <f>'Table 7 WTP Sulfate Balance'!I17</f>
        <v>499.91515939228231</v>
      </c>
      <c r="P15" s="158">
        <f t="shared" si="4"/>
        <v>7.1024080267558531</v>
      </c>
      <c r="Q15" s="371">
        <f t="shared" si="5"/>
        <v>7.2648938237672276</v>
      </c>
      <c r="R15"/>
    </row>
    <row r="16" spans="2:22" ht="14.25" x14ac:dyDescent="0.2">
      <c r="B16" s="345">
        <f>'Table 5 Flows to Evap &amp; WTP'!B22</f>
        <v>17</v>
      </c>
      <c r="C16" s="156">
        <f>'Table 5 Flows to Evap &amp; WTP'!N22+'Table 5 Flows to Evap &amp; WTP'!M22</f>
        <v>671.19031757143057</v>
      </c>
      <c r="D16" s="156">
        <f>'Table 5 Flows to Evap &amp; WTP'!K22-'Table 5 Flows to Evap &amp; WTP'!N22-'Table 5 Flows to Evap &amp; WTP'!M22</f>
        <v>350</v>
      </c>
      <c r="E16" s="156">
        <v>373</v>
      </c>
      <c r="F16" s="156">
        <f t="shared" si="8"/>
        <v>723</v>
      </c>
      <c r="G16" s="158">
        <f t="shared" si="6"/>
        <v>0.2</v>
      </c>
      <c r="H16" s="156">
        <f t="shared" si="7"/>
        <v>144.6</v>
      </c>
      <c r="I16" s="159">
        <f t="shared" si="1"/>
        <v>578.4</v>
      </c>
      <c r="J16" s="156">
        <f t="shared" si="2"/>
        <v>298.19031757143057</v>
      </c>
      <c r="K16" s="363">
        <f t="shared" si="3"/>
        <v>876.59031757143055</v>
      </c>
      <c r="L16" s="36"/>
      <c r="M16" s="36"/>
      <c r="N16" s="13"/>
      <c r="O16" s="155">
        <f>'Table 7 WTP Sulfate Balance'!I18</f>
        <v>499.84576796659638</v>
      </c>
      <c r="P16" s="158">
        <f t="shared" si="4"/>
        <v>7.0862240663900415</v>
      </c>
      <c r="Q16" s="371">
        <f t="shared" si="5"/>
        <v>7.2541921576418416</v>
      </c>
      <c r="R16"/>
    </row>
    <row r="17" spans="2:18" ht="14.25" x14ac:dyDescent="0.2">
      <c r="B17" s="345">
        <f>'Table 5 Flows to Evap &amp; WTP'!B23</f>
        <v>18</v>
      </c>
      <c r="C17" s="156">
        <f>'Table 5 Flows to Evap &amp; WTP'!N23+'Table 5 Flows to Evap &amp; WTP'!M23</f>
        <v>638.35115578256102</v>
      </c>
      <c r="D17" s="156">
        <f>'Table 5 Flows to Evap &amp; WTP'!K23-'Table 5 Flows to Evap &amp; WTP'!N23-'Table 5 Flows to Evap &amp; WTP'!M23</f>
        <v>350</v>
      </c>
      <c r="E17" s="156">
        <v>349.5</v>
      </c>
      <c r="F17" s="156">
        <f t="shared" si="8"/>
        <v>699.5</v>
      </c>
      <c r="G17" s="158">
        <f t="shared" si="6"/>
        <v>0.2</v>
      </c>
      <c r="H17" s="156">
        <f t="shared" si="7"/>
        <v>139.9</v>
      </c>
      <c r="I17" s="159">
        <f t="shared" si="1"/>
        <v>559.6</v>
      </c>
      <c r="J17" s="156">
        <f t="shared" si="2"/>
        <v>288.85115578256102</v>
      </c>
      <c r="K17" s="363">
        <f t="shared" si="3"/>
        <v>848.45115578256105</v>
      </c>
      <c r="L17" s="36"/>
      <c r="M17" s="36"/>
      <c r="N17" s="13"/>
      <c r="O17" s="155">
        <f>'Table 7 WTP Sulfate Balance'!I19</f>
        <v>500.24114292500934</v>
      </c>
      <c r="P17" s="158">
        <f t="shared" si="4"/>
        <v>7.0696354538956401</v>
      </c>
      <c r="Q17" s="371">
        <f t="shared" si="5"/>
        <v>7.2433866333335599</v>
      </c>
      <c r="R17"/>
    </row>
    <row r="18" spans="2:18" ht="14.25" x14ac:dyDescent="0.2">
      <c r="B18" s="345">
        <f>'Table 5 Flows to Evap &amp; WTP'!B24</f>
        <v>19</v>
      </c>
      <c r="C18" s="156">
        <f>'Table 5 Flows to Evap &amp; WTP'!N24+'Table 5 Flows to Evap &amp; WTP'!M24</f>
        <v>607.22236126722464</v>
      </c>
      <c r="D18" s="156">
        <f>'Table 5 Flows to Evap &amp; WTP'!K24-'Table 5 Flows to Evap &amp; WTP'!N24-'Table 5 Flows to Evap &amp; WTP'!M24</f>
        <v>350</v>
      </c>
      <c r="E18" s="156">
        <v>327.5</v>
      </c>
      <c r="F18" s="156">
        <f t="shared" si="8"/>
        <v>677.5</v>
      </c>
      <c r="G18" s="158">
        <f t="shared" si="6"/>
        <v>0.2</v>
      </c>
      <c r="H18" s="156">
        <f t="shared" si="7"/>
        <v>135.5</v>
      </c>
      <c r="I18" s="159">
        <f t="shared" si="1"/>
        <v>542</v>
      </c>
      <c r="J18" s="156">
        <f t="shared" si="2"/>
        <v>279.72236126722464</v>
      </c>
      <c r="K18" s="363">
        <f t="shared" si="3"/>
        <v>821.72236126722464</v>
      </c>
      <c r="L18" s="36"/>
      <c r="M18" s="36"/>
      <c r="N18" s="13"/>
      <c r="O18" s="155">
        <f>'Table 7 WTP Sulfate Balance'!I20</f>
        <v>500.19014111240983</v>
      </c>
      <c r="P18" s="158">
        <f t="shared" si="4"/>
        <v>7.0530627306273059</v>
      </c>
      <c r="Q18" s="371">
        <f t="shared" si="5"/>
        <v>7.2324373517600762</v>
      </c>
      <c r="R18"/>
    </row>
    <row r="19" spans="2:18" ht="14.25" x14ac:dyDescent="0.2">
      <c r="B19" s="345">
        <f>'Table 5 Flows to Evap &amp; WTP'!B25</f>
        <v>20</v>
      </c>
      <c r="C19" s="156">
        <f>'Table 5 Flows to Evap &amp; WTP'!N25+'Table 5 Flows to Evap &amp; WTP'!M25</f>
        <v>577.69352374064533</v>
      </c>
      <c r="D19" s="156">
        <f>'Table 5 Flows to Evap &amp; WTP'!K25-'Table 5 Flows to Evap &amp; WTP'!N25-'Table 5 Flows to Evap &amp; WTP'!M25</f>
        <v>349.99999999999989</v>
      </c>
      <c r="E19" s="156">
        <v>307</v>
      </c>
      <c r="F19" s="156">
        <f t="shared" si="8"/>
        <v>656.99999999999989</v>
      </c>
      <c r="G19" s="158">
        <f t="shared" si="6"/>
        <v>0.2</v>
      </c>
      <c r="H19" s="156">
        <f t="shared" si="7"/>
        <v>131.39999999999998</v>
      </c>
      <c r="I19" s="159">
        <f t="shared" si="1"/>
        <v>525.59999999999991</v>
      </c>
      <c r="J19" s="156">
        <f t="shared" si="2"/>
        <v>270.69352374064533</v>
      </c>
      <c r="K19" s="363">
        <f t="shared" si="3"/>
        <v>796.29352374064524</v>
      </c>
      <c r="L19" s="36"/>
      <c r="M19" s="36"/>
      <c r="N19" s="13"/>
      <c r="O19" s="155">
        <f>'Table 7 WTP Sulfate Balance'!I21</f>
        <v>499.51631849951809</v>
      </c>
      <c r="P19" s="158">
        <f t="shared" si="4"/>
        <v>7.0366210045662108</v>
      </c>
      <c r="Q19" s="371">
        <f t="shared" si="5"/>
        <v>7.2213382860903179</v>
      </c>
      <c r="R19"/>
    </row>
    <row r="20" spans="2:18" ht="14.25" x14ac:dyDescent="0.2">
      <c r="B20" s="345">
        <f>'Table 5 Flows to Evap &amp; WTP'!B26</f>
        <v>21</v>
      </c>
      <c r="C20" s="156">
        <f>'Table 5 Flows to Evap &amp; WTP'!N26+'Table 5 Flows to Evap &amp; WTP'!M26</f>
        <v>569.20185752422867</v>
      </c>
      <c r="D20" s="156">
        <f>'Table 5 Flows to Evap &amp; WTP'!K26-'Table 5 Flows to Evap &amp; WTP'!N26-'Table 5 Flows to Evap &amp; WTP'!M26</f>
        <v>350</v>
      </c>
      <c r="E20" s="156">
        <v>300.5</v>
      </c>
      <c r="F20" s="156">
        <f t="shared" si="8"/>
        <v>650.5</v>
      </c>
      <c r="G20" s="158">
        <f t="shared" si="6"/>
        <v>0.2</v>
      </c>
      <c r="H20" s="156">
        <f t="shared" si="7"/>
        <v>130.1</v>
      </c>
      <c r="I20" s="159">
        <f t="shared" si="1"/>
        <v>520.4</v>
      </c>
      <c r="J20" s="156">
        <f t="shared" si="2"/>
        <v>268.70185752422867</v>
      </c>
      <c r="K20" s="363">
        <f t="shared" si="3"/>
        <v>789.10185752422865</v>
      </c>
      <c r="L20" s="36"/>
      <c r="M20" s="36"/>
      <c r="N20" s="13"/>
      <c r="O20" s="155">
        <f>'Table 7 WTP Sulfate Balance'!I22</f>
        <v>500.3431301617598</v>
      </c>
      <c r="P20" s="158">
        <f t="shared" si="4"/>
        <v>7.0311913912375097</v>
      </c>
      <c r="Q20" s="371">
        <f t="shared" si="5"/>
        <v>7.2180695378210658</v>
      </c>
      <c r="R20"/>
    </row>
    <row r="21" spans="2:18" ht="14.25" x14ac:dyDescent="0.2">
      <c r="B21" s="345">
        <f>'Table 5 Flows to Evap &amp; WTP'!B27</f>
        <v>22</v>
      </c>
      <c r="C21" s="156">
        <f>'Table 5 Flows to Evap &amp; WTP'!N27+'Table 5 Flows to Evap &amp; WTP'!M27</f>
        <v>567.8608901551861</v>
      </c>
      <c r="D21" s="156">
        <f>'Table 5 Flows to Evap &amp; WTP'!K27-'Table 5 Flows to Evap &amp; WTP'!N27-'Table 5 Flows to Evap &amp; WTP'!M27</f>
        <v>350</v>
      </c>
      <c r="E21" s="156">
        <v>300</v>
      </c>
      <c r="F21" s="156">
        <f t="shared" si="8"/>
        <v>650</v>
      </c>
      <c r="G21" s="158">
        <f t="shared" si="6"/>
        <v>0.2</v>
      </c>
      <c r="H21" s="156">
        <f t="shared" si="7"/>
        <v>130</v>
      </c>
      <c r="I21" s="159">
        <f t="shared" si="1"/>
        <v>520</v>
      </c>
      <c r="J21" s="156">
        <f t="shared" si="2"/>
        <v>267.8608901551861</v>
      </c>
      <c r="K21" s="363">
        <f t="shared" si="3"/>
        <v>787.8608901551861</v>
      </c>
      <c r="L21" s="36"/>
      <c r="M21" s="36"/>
      <c r="N21" s="13"/>
      <c r="O21" s="155">
        <f>'Table 7 WTP Sulfate Balance'!I23</f>
        <v>499.5784098985954</v>
      </c>
      <c r="P21" s="158">
        <f t="shared" si="4"/>
        <v>7.0307692307692307</v>
      </c>
      <c r="Q21" s="371">
        <f t="shared" si="5"/>
        <v>7.2174994576215799</v>
      </c>
      <c r="R21"/>
    </row>
    <row r="22" spans="2:18" ht="14.25" x14ac:dyDescent="0.2">
      <c r="B22" s="345">
        <f>'Table 5 Flows to Evap &amp; WTP'!B28</f>
        <v>23</v>
      </c>
      <c r="C22" s="156">
        <f>'Table 5 Flows to Evap &amp; WTP'!N28+'Table 5 Flows to Evap &amp; WTP'!M28</f>
        <v>566.58175182933701</v>
      </c>
      <c r="D22" s="156">
        <f>'Table 5 Flows to Evap &amp; WTP'!K28-'Table 5 Flows to Evap &amp; WTP'!N28-'Table 5 Flows to Evap &amp; WTP'!M28</f>
        <v>350</v>
      </c>
      <c r="E22" s="156">
        <v>299</v>
      </c>
      <c r="F22" s="156">
        <f t="shared" si="8"/>
        <v>649</v>
      </c>
      <c r="G22" s="158">
        <f t="shared" si="6"/>
        <v>0.2</v>
      </c>
      <c r="H22" s="156">
        <f t="shared" si="7"/>
        <v>129.80000000000001</v>
      </c>
      <c r="I22" s="159">
        <f t="shared" si="1"/>
        <v>519.20000000000005</v>
      </c>
      <c r="J22" s="156">
        <f t="shared" si="2"/>
        <v>267.58175182933701</v>
      </c>
      <c r="K22" s="363">
        <f t="shared" si="3"/>
        <v>786.78175182933705</v>
      </c>
      <c r="L22" s="36"/>
      <c r="M22" s="36"/>
      <c r="N22" s="13"/>
      <c r="O22" s="155">
        <f>'Table 7 WTP Sulfate Balance'!I24</f>
        <v>499.73901814365621</v>
      </c>
      <c r="P22" s="158">
        <f t="shared" si="4"/>
        <v>7.0299229583975347</v>
      </c>
      <c r="Q22" s="371">
        <f t="shared" si="5"/>
        <v>7.2170022571876444</v>
      </c>
      <c r="R22"/>
    </row>
    <row r="23" spans="2:18" ht="14.25" x14ac:dyDescent="0.2">
      <c r="B23" s="345">
        <f>'Table 5 Flows to Evap &amp; WTP'!B29</f>
        <v>24</v>
      </c>
      <c r="C23" s="156">
        <f>'Table 5 Flows to Evap &amp; WTP'!N29+'Table 5 Flows to Evap &amp; WTP'!M29</f>
        <v>565.34790703973533</v>
      </c>
      <c r="D23" s="156">
        <f>'Table 5 Flows to Evap &amp; WTP'!K29-'Table 5 Flows to Evap &amp; WTP'!N29-'Table 5 Flows to Evap &amp; WTP'!M29</f>
        <v>350</v>
      </c>
      <c r="E23" s="156">
        <v>298</v>
      </c>
      <c r="F23" s="156">
        <f t="shared" si="8"/>
        <v>648</v>
      </c>
      <c r="G23" s="158">
        <f t="shared" si="6"/>
        <v>0.2</v>
      </c>
      <c r="H23" s="156">
        <f t="shared" si="7"/>
        <v>129.6</v>
      </c>
      <c r="I23" s="159">
        <f t="shared" si="1"/>
        <v>518.4</v>
      </c>
      <c r="J23" s="156">
        <f t="shared" si="2"/>
        <v>267.34790703973533</v>
      </c>
      <c r="K23" s="363">
        <f t="shared" si="3"/>
        <v>785.74790703973531</v>
      </c>
      <c r="L23" s="36"/>
      <c r="M23" s="36"/>
      <c r="N23" s="13"/>
      <c r="O23" s="155">
        <f>'Table 7 WTP Sulfate Balance'!I25</f>
        <v>499.95483498978047</v>
      </c>
      <c r="P23" s="158">
        <f t="shared" si="4"/>
        <v>7.0290740740740745</v>
      </c>
      <c r="Q23" s="371">
        <f t="shared" si="5"/>
        <v>7.2165246443022895</v>
      </c>
      <c r="R23"/>
    </row>
    <row r="24" spans="2:18" ht="14.25" x14ac:dyDescent="0.2">
      <c r="B24" s="345">
        <f>'Table 5 Flows to Evap &amp; WTP'!B30</f>
        <v>25</v>
      </c>
      <c r="C24" s="156">
        <f>'Table 5 Flows to Evap &amp; WTP'!N30+'Table 5 Flows to Evap &amp; WTP'!M30</f>
        <v>564.14915675567386</v>
      </c>
      <c r="D24" s="156">
        <f>'Table 5 Flows to Evap &amp; WTP'!K30-'Table 5 Flows to Evap &amp; WTP'!N30-'Table 5 Flows to Evap &amp; WTP'!M30</f>
        <v>350</v>
      </c>
      <c r="E24" s="156">
        <v>297</v>
      </c>
      <c r="F24" s="156">
        <f t="shared" si="8"/>
        <v>647</v>
      </c>
      <c r="G24" s="158">
        <f t="shared" si="6"/>
        <v>0.2</v>
      </c>
      <c r="H24" s="156">
        <f t="shared" si="7"/>
        <v>129.4</v>
      </c>
      <c r="I24" s="159">
        <f t="shared" si="1"/>
        <v>517.6</v>
      </c>
      <c r="J24" s="156">
        <f t="shared" si="2"/>
        <v>267.14915675567386</v>
      </c>
      <c r="K24" s="363">
        <f t="shared" si="3"/>
        <v>784.74915675567388</v>
      </c>
      <c r="L24" s="36"/>
      <c r="M24" s="36"/>
      <c r="N24" s="13"/>
      <c r="O24" s="155">
        <f>'Table 7 WTP Sulfate Balance'!I26</f>
        <v>500.21369748084021</v>
      </c>
      <c r="P24" s="158">
        <f t="shared" si="4"/>
        <v>7.0282225656877904</v>
      </c>
      <c r="Q24" s="371">
        <f t="shared" si="5"/>
        <v>7.2160620492021508</v>
      </c>
      <c r="R24"/>
    </row>
    <row r="25" spans="2:18" ht="14.25" x14ac:dyDescent="0.2">
      <c r="B25" s="345">
        <f>'Table 5 Flows to Evap &amp; WTP'!B31</f>
        <v>26</v>
      </c>
      <c r="C25" s="156">
        <f>'Table 5 Flows to Evap &amp; WTP'!N31+'Table 5 Flows to Evap &amp; WTP'!M31</f>
        <v>562.97799404255534</v>
      </c>
      <c r="D25" s="156">
        <f>'Table 5 Flows to Evap &amp; WTP'!K31-'Table 5 Flows to Evap &amp; WTP'!N31-'Table 5 Flows to Evap &amp; WTP'!M31</f>
        <v>350</v>
      </c>
      <c r="E25" s="156">
        <v>296.5</v>
      </c>
      <c r="F25" s="156">
        <f t="shared" si="8"/>
        <v>646.5</v>
      </c>
      <c r="G25" s="158">
        <f t="shared" si="6"/>
        <v>0.2</v>
      </c>
      <c r="H25" s="156">
        <f t="shared" si="7"/>
        <v>129.30000000000001</v>
      </c>
      <c r="I25" s="159">
        <f t="shared" si="1"/>
        <v>517.20000000000005</v>
      </c>
      <c r="J25" s="156">
        <f t="shared" si="2"/>
        <v>266.47799404255534</v>
      </c>
      <c r="K25" s="363">
        <f t="shared" si="3"/>
        <v>783.67799404255538</v>
      </c>
      <c r="L25" s="36"/>
      <c r="M25" s="36"/>
      <c r="N25" s="13"/>
      <c r="O25" s="155">
        <f>'Table 7 WTP Sulfate Balance'!I27</f>
        <v>499.65048698361483</v>
      </c>
      <c r="P25" s="158">
        <f t="shared" si="4"/>
        <v>7.0277958236658922</v>
      </c>
      <c r="Q25" s="371">
        <f t="shared" si="5"/>
        <v>7.2155646041217123</v>
      </c>
      <c r="R25"/>
    </row>
    <row r="26" spans="2:18" ht="14.25" x14ac:dyDescent="0.2">
      <c r="B26" s="345">
        <f>'Table 5 Flows to Evap &amp; WTP'!B32</f>
        <v>27</v>
      </c>
      <c r="C26" s="156">
        <f>'Table 5 Flows to Evap &amp; WTP'!N32+'Table 5 Flows to Evap &amp; WTP'!M32</f>
        <v>561.82626169641242</v>
      </c>
      <c r="D26" s="156">
        <f>'Table 5 Flows to Evap &amp; WTP'!K32-'Table 5 Flows to Evap &amp; WTP'!N32-'Table 5 Flows to Evap &amp; WTP'!M32</f>
        <v>350</v>
      </c>
      <c r="E26" s="156">
        <v>295.5</v>
      </c>
      <c r="F26" s="156">
        <f t="shared" si="8"/>
        <v>645.5</v>
      </c>
      <c r="G26" s="158">
        <f t="shared" si="6"/>
        <v>0.2</v>
      </c>
      <c r="H26" s="156">
        <f t="shared" si="7"/>
        <v>129.1</v>
      </c>
      <c r="I26" s="159">
        <f t="shared" si="1"/>
        <v>516.4</v>
      </c>
      <c r="J26" s="156">
        <f t="shared" si="2"/>
        <v>266.32626169641242</v>
      </c>
      <c r="K26" s="363">
        <f t="shared" si="3"/>
        <v>782.72626169641239</v>
      </c>
      <c r="L26" s="36"/>
      <c r="M26" s="36"/>
      <c r="N26" s="13"/>
      <c r="O26" s="155">
        <f>'Table 7 WTP Sulfate Balance'!I28</f>
        <v>499.96671711467593</v>
      </c>
      <c r="P26" s="158">
        <f t="shared" si="4"/>
        <v>7.0269403563129345</v>
      </c>
      <c r="Q26" s="371">
        <f t="shared" si="5"/>
        <v>7.2151214799142975</v>
      </c>
      <c r="R26"/>
    </row>
    <row r="27" spans="2:18" ht="14.25" x14ac:dyDescent="0.2">
      <c r="B27" s="345">
        <f>'Table 5 Flows to Evap &amp; WTP'!B33</f>
        <v>28</v>
      </c>
      <c r="C27" s="156">
        <f>'Table 5 Flows to Evap &amp; WTP'!N33+'Table 5 Flows to Evap &amp; WTP'!M33</f>
        <v>560.68832239232427</v>
      </c>
      <c r="D27" s="156">
        <f>'Table 5 Flows to Evap &amp; WTP'!K33-'Table 5 Flows to Evap &amp; WTP'!N33-'Table 5 Flows to Evap &amp; WTP'!M33</f>
        <v>350</v>
      </c>
      <c r="E27" s="156">
        <v>294.5</v>
      </c>
      <c r="F27" s="156">
        <f t="shared" si="8"/>
        <v>644.5</v>
      </c>
      <c r="G27" s="158">
        <f t="shared" si="6"/>
        <v>0.2</v>
      </c>
      <c r="H27" s="156">
        <f t="shared" si="7"/>
        <v>128.9</v>
      </c>
      <c r="I27" s="159">
        <f t="shared" si="1"/>
        <v>515.6</v>
      </c>
      <c r="J27" s="156">
        <f t="shared" si="2"/>
        <v>266.18832239232427</v>
      </c>
      <c r="K27" s="363">
        <f t="shared" si="3"/>
        <v>781.78832239232429</v>
      </c>
      <c r="L27" s="36"/>
      <c r="M27" s="36"/>
      <c r="N27" s="13"/>
      <c r="O27" s="155">
        <f>'Table 7 WTP Sulfate Balance'!I29</f>
        <v>500.30047298735445</v>
      </c>
      <c r="P27" s="158">
        <f t="shared" si="4"/>
        <v>7.026082234290147</v>
      </c>
      <c r="Q27" s="371">
        <f t="shared" si="5"/>
        <v>7.2146837221537856</v>
      </c>
      <c r="R27"/>
    </row>
    <row r="28" spans="2:18" ht="14.25" x14ac:dyDescent="0.2">
      <c r="B28" s="345">
        <f>'Table 5 Flows to Evap &amp; WTP'!B34</f>
        <v>29</v>
      </c>
      <c r="C28" s="156">
        <f>'Table 5 Flows to Evap &amp; WTP'!N34+'Table 5 Flows to Evap &amp; WTP'!M34</f>
        <v>559.56393845868558</v>
      </c>
      <c r="D28" s="156">
        <f>'Table 5 Flows to Evap &amp; WTP'!K34-'Table 5 Flows to Evap &amp; WTP'!N34-'Table 5 Flows to Evap &amp; WTP'!M34</f>
        <v>350</v>
      </c>
      <c r="E28" s="156">
        <v>294</v>
      </c>
      <c r="F28" s="156">
        <f t="shared" si="8"/>
        <v>644</v>
      </c>
      <c r="G28" s="158">
        <f t="shared" si="6"/>
        <v>0.2</v>
      </c>
      <c r="H28" s="156">
        <f t="shared" si="7"/>
        <v>128.80000000000001</v>
      </c>
      <c r="I28" s="159">
        <f t="shared" si="1"/>
        <v>515.20000000000005</v>
      </c>
      <c r="J28" s="156">
        <f t="shared" si="2"/>
        <v>265.56393845868558</v>
      </c>
      <c r="K28" s="363">
        <f t="shared" si="3"/>
        <v>780.76393845868563</v>
      </c>
      <c r="L28" s="36"/>
      <c r="M28" s="36"/>
      <c r="N28" s="13"/>
      <c r="O28" s="155">
        <f>'Table 7 WTP Sulfate Balance'!I30</f>
        <v>499.7921798686437</v>
      </c>
      <c r="P28" s="158">
        <f t="shared" si="4"/>
        <v>7.025652173913044</v>
      </c>
      <c r="Q28" s="371">
        <f t="shared" si="5"/>
        <v>7.2142044170689976</v>
      </c>
      <c r="R28"/>
    </row>
    <row r="29" spans="2:18" ht="14.25" x14ac:dyDescent="0.2">
      <c r="B29" s="345">
        <f>'Table 5 Flows to Evap &amp; WTP'!B35</f>
        <v>30</v>
      </c>
      <c r="C29" s="156">
        <f>'Table 5 Flows to Evap &amp; WTP'!N35+'Table 5 Flows to Evap &amp; WTP'!M35</f>
        <v>558.45490843342429</v>
      </c>
      <c r="D29" s="156">
        <f>'Table 5 Flows to Evap &amp; WTP'!K35-'Table 5 Flows to Evap &amp; WTP'!N35-'Table 5 Flows to Evap &amp; WTP'!M35</f>
        <v>350</v>
      </c>
      <c r="E29" s="156">
        <v>293</v>
      </c>
      <c r="F29" s="156">
        <f t="shared" si="8"/>
        <v>643</v>
      </c>
      <c r="G29" s="158">
        <f t="shared" si="6"/>
        <v>0.2</v>
      </c>
      <c r="H29" s="156">
        <f t="shared" si="7"/>
        <v>128.6</v>
      </c>
      <c r="I29" s="159">
        <f t="shared" si="1"/>
        <v>514.4</v>
      </c>
      <c r="J29" s="156">
        <f t="shared" si="2"/>
        <v>265.45490843342429</v>
      </c>
      <c r="K29" s="363">
        <f t="shared" si="3"/>
        <v>779.85490843342427</v>
      </c>
      <c r="L29" s="36"/>
      <c r="M29" s="36"/>
      <c r="N29" s="13"/>
      <c r="O29" s="155">
        <f>'Table 7 WTP Sulfate Balance'!I31</f>
        <v>500.16177754398768</v>
      </c>
      <c r="P29" s="158">
        <f t="shared" si="4"/>
        <v>7.0247900466562996</v>
      </c>
      <c r="Q29" s="371">
        <f t="shared" si="5"/>
        <v>7.2137780311292596</v>
      </c>
      <c r="R29"/>
    </row>
    <row r="30" spans="2:18" ht="14.25" x14ac:dyDescent="0.2">
      <c r="B30" s="345">
        <f>'Table 5 Flows to Evap &amp; WTP'!B36</f>
        <v>31</v>
      </c>
      <c r="C30" s="156">
        <f>'Table 5 Flows to Evap &amp; WTP'!N36+'Table 5 Flows to Evap &amp; WTP'!M36</f>
        <v>557.36169612090362</v>
      </c>
      <c r="D30" s="156">
        <f>'Table 5 Flows to Evap &amp; WTP'!K36-'Table 5 Flows to Evap &amp; WTP'!N36-'Table 5 Flows to Evap &amp; WTP'!M36</f>
        <v>350</v>
      </c>
      <c r="E30" s="156">
        <v>292.5</v>
      </c>
      <c r="F30" s="156">
        <f t="shared" si="8"/>
        <v>642.5</v>
      </c>
      <c r="G30" s="158">
        <f t="shared" si="6"/>
        <v>0.2</v>
      </c>
      <c r="H30" s="156">
        <f t="shared" si="7"/>
        <v>128.5</v>
      </c>
      <c r="I30" s="159">
        <f t="shared" si="1"/>
        <v>514</v>
      </c>
      <c r="J30" s="156">
        <f t="shared" si="2"/>
        <v>264.86169612090362</v>
      </c>
      <c r="K30" s="363">
        <f t="shared" si="3"/>
        <v>778.86169612090362</v>
      </c>
      <c r="L30" s="36"/>
      <c r="M30" s="36"/>
      <c r="N30" s="13"/>
      <c r="O30" s="155">
        <f>'Table 7 WTP Sulfate Balance'!I32</f>
        <v>499.69007503341891</v>
      </c>
      <c r="P30" s="158">
        <f t="shared" si="4"/>
        <v>7.0243579766536959</v>
      </c>
      <c r="Q30" s="371">
        <f t="shared" si="5"/>
        <v>7.2133110211704823</v>
      </c>
      <c r="R30"/>
    </row>
    <row r="31" spans="2:18" ht="14.25" x14ac:dyDescent="0.2">
      <c r="B31" s="345">
        <f>'Table 5 Flows to Evap &amp; WTP'!B37</f>
        <v>32</v>
      </c>
      <c r="C31" s="156">
        <f>'Table 5 Flows to Evap &amp; WTP'!N37+'Table 5 Flows to Evap &amp; WTP'!M37</f>
        <v>556.2863227246969</v>
      </c>
      <c r="D31" s="156">
        <f>'Table 5 Flows to Evap &amp; WTP'!K37-'Table 5 Flows to Evap &amp; WTP'!N37-'Table 5 Flows to Evap &amp; WTP'!M37</f>
        <v>350</v>
      </c>
      <c r="E31" s="156">
        <v>291.5</v>
      </c>
      <c r="F31" s="156">
        <f t="shared" si="8"/>
        <v>641.5</v>
      </c>
      <c r="G31" s="158">
        <f t="shared" si="6"/>
        <v>0.2</v>
      </c>
      <c r="H31" s="156">
        <f t="shared" si="7"/>
        <v>128.30000000000001</v>
      </c>
      <c r="I31" s="159">
        <f t="shared" si="1"/>
        <v>513.20000000000005</v>
      </c>
      <c r="J31" s="156">
        <f t="shared" si="2"/>
        <v>264.7863227246969</v>
      </c>
      <c r="K31" s="363">
        <f t="shared" si="3"/>
        <v>777.98632272469695</v>
      </c>
      <c r="L31" s="36"/>
      <c r="M31" s="36"/>
      <c r="N31" s="13"/>
      <c r="O31" s="155">
        <f>'Table 7 WTP Sulfate Balance'!I33</f>
        <v>500.10155267021321</v>
      </c>
      <c r="P31" s="158">
        <f t="shared" si="4"/>
        <v>7.0234918160561177</v>
      </c>
      <c r="Q31" s="371">
        <f t="shared" si="5"/>
        <v>7.2128984306565194</v>
      </c>
      <c r="R31"/>
    </row>
    <row r="32" spans="2:18" ht="14.25" x14ac:dyDescent="0.2">
      <c r="B32" s="345">
        <f>'Table 5 Flows to Evap &amp; WTP'!B38</f>
        <v>33</v>
      </c>
      <c r="C32" s="156">
        <f>'Table 5 Flows to Evap &amp; WTP'!N38+'Table 5 Flows to Evap &amp; WTP'!M38</f>
        <v>555.23502184539916</v>
      </c>
      <c r="D32" s="156">
        <f>'Table 5 Flows to Evap &amp; WTP'!K38-'Table 5 Flows to Evap &amp; WTP'!N38-'Table 5 Flows to Evap &amp; WTP'!M38</f>
        <v>350</v>
      </c>
      <c r="E32" s="156">
        <v>291</v>
      </c>
      <c r="F32" s="156">
        <f t="shared" si="8"/>
        <v>641</v>
      </c>
      <c r="G32" s="158">
        <f t="shared" si="6"/>
        <v>0.2</v>
      </c>
      <c r="H32" s="156">
        <f t="shared" si="7"/>
        <v>128.20000000000002</v>
      </c>
      <c r="I32" s="159">
        <f t="shared" si="1"/>
        <v>512.79999999999995</v>
      </c>
      <c r="J32" s="156">
        <f t="shared" si="2"/>
        <v>264.23502184539916</v>
      </c>
      <c r="K32" s="363">
        <f t="shared" si="3"/>
        <v>777.03502184539911</v>
      </c>
      <c r="L32" s="36"/>
      <c r="M32" s="36"/>
      <c r="N32" s="13"/>
      <c r="O32" s="155">
        <f>'Table 7 WTP Sulfate Balance'!I34</f>
        <v>499.67989956710051</v>
      </c>
      <c r="P32" s="158">
        <f t="shared" si="4"/>
        <v>7.0230577223088932</v>
      </c>
      <c r="Q32" s="371">
        <f t="shared" si="5"/>
        <v>7.2124489991175409</v>
      </c>
      <c r="R32"/>
    </row>
    <row r="33" spans="2:18" ht="14.25" x14ac:dyDescent="0.2">
      <c r="B33" s="345">
        <f>'Table 5 Flows to Evap &amp; WTP'!B39</f>
        <v>34</v>
      </c>
      <c r="C33" s="156">
        <f>'Table 5 Flows to Evap &amp; WTP'!N39+'Table 5 Flows to Evap &amp; WTP'!M39</f>
        <v>554.21477854613067</v>
      </c>
      <c r="D33" s="156">
        <f>'Table 5 Flows to Evap &amp; WTP'!K39-'Table 5 Flows to Evap &amp; WTP'!N39-'Table 5 Flows to Evap &amp; WTP'!M39</f>
        <v>350</v>
      </c>
      <c r="E33" s="156">
        <v>290</v>
      </c>
      <c r="F33" s="156">
        <f t="shared" si="8"/>
        <v>640</v>
      </c>
      <c r="G33" s="158">
        <f t="shared" si="6"/>
        <v>0.2</v>
      </c>
      <c r="H33" s="156">
        <f t="shared" si="7"/>
        <v>128</v>
      </c>
      <c r="I33" s="159">
        <f t="shared" si="1"/>
        <v>512</v>
      </c>
      <c r="J33" s="156">
        <f t="shared" si="2"/>
        <v>264.21477854613067</v>
      </c>
      <c r="K33" s="363">
        <f t="shared" si="3"/>
        <v>776.21477854613067</v>
      </c>
      <c r="L33" s="36"/>
      <c r="M33" s="36"/>
      <c r="N33" s="13"/>
      <c r="O33" s="155">
        <f>'Table 7 WTP Sulfate Balance'!I35</f>
        <v>500.15980064056038</v>
      </c>
      <c r="P33" s="158">
        <f t="shared" si="4"/>
        <v>7.0221874999999994</v>
      </c>
      <c r="Q33" s="371">
        <f t="shared" si="5"/>
        <v>7.2120605998575087</v>
      </c>
      <c r="R33"/>
    </row>
    <row r="34" spans="2:18" ht="14.25" x14ac:dyDescent="0.2">
      <c r="B34" s="345">
        <f>'Table 5 Flows to Evap &amp; WTP'!B40</f>
        <v>35</v>
      </c>
      <c r="C34" s="156">
        <f>'Table 5 Flows to Evap &amp; WTP'!N40+'Table 5 Flows to Evap &amp; WTP'!M40</f>
        <v>553.22885261613249</v>
      </c>
      <c r="D34" s="156">
        <f>'Table 5 Flows to Evap &amp; WTP'!K40-'Table 5 Flows to Evap &amp; WTP'!N40-'Table 5 Flows to Evap &amp; WTP'!M40</f>
        <v>350</v>
      </c>
      <c r="E34" s="156">
        <v>289.5</v>
      </c>
      <c r="F34" s="156">
        <f t="shared" si="8"/>
        <v>639.5</v>
      </c>
      <c r="G34" s="158">
        <f t="shared" si="6"/>
        <v>0.2</v>
      </c>
      <c r="H34" s="156">
        <f t="shared" si="7"/>
        <v>127.9</v>
      </c>
      <c r="I34" s="159">
        <f t="shared" si="1"/>
        <v>511.6</v>
      </c>
      <c r="J34" s="156">
        <f t="shared" si="2"/>
        <v>263.72885261613249</v>
      </c>
      <c r="K34" s="363">
        <f t="shared" si="3"/>
        <v>775.32885261613251</v>
      </c>
      <c r="L34" s="36"/>
      <c r="M34" s="36"/>
      <c r="N34" s="13"/>
      <c r="O34" s="155">
        <f>'Table 7 WTP Sulfate Balance'!I36</f>
        <v>499.81738069698247</v>
      </c>
      <c r="P34" s="158">
        <f t="shared" si="4"/>
        <v>7.0217513682564503</v>
      </c>
      <c r="Q34" s="371">
        <f t="shared" si="5"/>
        <v>7.2116401756024917</v>
      </c>
      <c r="R34"/>
    </row>
    <row r="35" spans="2:18" ht="14.25" x14ac:dyDescent="0.2">
      <c r="B35" s="345">
        <f>'Table 5 Flows to Evap &amp; WTP'!B41</f>
        <v>36</v>
      </c>
      <c r="C35" s="156">
        <f>'Table 5 Flows to Evap &amp; WTP'!N41+'Table 5 Flows to Evap &amp; WTP'!M41</f>
        <v>552.25760532748552</v>
      </c>
      <c r="D35" s="156">
        <f>'Table 5 Flows to Evap &amp; WTP'!K41-'Table 5 Flows to Evap &amp; WTP'!N41-'Table 5 Flows to Evap &amp; WTP'!M41</f>
        <v>350</v>
      </c>
      <c r="E35" s="156">
        <v>288.5</v>
      </c>
      <c r="F35" s="156">
        <f t="shared" si="8"/>
        <v>638.5</v>
      </c>
      <c r="G35" s="158">
        <f t="shared" si="6"/>
        <v>0.2</v>
      </c>
      <c r="H35" s="156">
        <f t="shared" si="7"/>
        <v>127.7</v>
      </c>
      <c r="I35" s="159">
        <f t="shared" si="1"/>
        <v>510.8</v>
      </c>
      <c r="J35" s="156">
        <f t="shared" si="2"/>
        <v>263.75760532748552</v>
      </c>
      <c r="K35" s="363">
        <f t="shared" si="3"/>
        <v>774.55760532748559</v>
      </c>
      <c r="L35" s="36"/>
      <c r="M35" s="36"/>
      <c r="N35" s="13"/>
      <c r="O35" s="155">
        <f>'Table 7 WTP Sulfate Balance'!I37</f>
        <v>500.35855959479449</v>
      </c>
      <c r="P35" s="158">
        <f t="shared" si="4"/>
        <v>7.0208770555990601</v>
      </c>
      <c r="Q35" s="371">
        <f t="shared" si="5"/>
        <v>7.2112733900802022</v>
      </c>
      <c r="R35"/>
    </row>
    <row r="36" spans="2:18" ht="14.25" x14ac:dyDescent="0.2">
      <c r="B36" s="345">
        <f>'Table 5 Flows to Evap &amp; WTP'!B42</f>
        <v>37</v>
      </c>
      <c r="C36" s="156">
        <f>'Table 5 Flows to Evap &amp; WTP'!N42+'Table 5 Flows to Evap &amp; WTP'!M42</f>
        <v>551.28612619817341</v>
      </c>
      <c r="D36" s="156">
        <f>'Table 5 Flows to Evap &amp; WTP'!K42-'Table 5 Flows to Evap &amp; WTP'!N42-'Table 5 Flows to Evap &amp; WTP'!M42</f>
        <v>350</v>
      </c>
      <c r="E36" s="156">
        <v>288</v>
      </c>
      <c r="F36" s="156">
        <f t="shared" si="8"/>
        <v>638</v>
      </c>
      <c r="G36" s="158">
        <f t="shared" si="6"/>
        <v>0.2</v>
      </c>
      <c r="H36" s="156">
        <f t="shared" si="7"/>
        <v>127.60000000000001</v>
      </c>
      <c r="I36" s="159">
        <f t="shared" si="1"/>
        <v>510.4</v>
      </c>
      <c r="J36" s="156">
        <f t="shared" si="2"/>
        <v>263.28612619817341</v>
      </c>
      <c r="K36" s="363">
        <f t="shared" si="3"/>
        <v>773.68612619817338</v>
      </c>
      <c r="L36" s="36"/>
      <c r="M36" s="36"/>
      <c r="N36" s="13"/>
      <c r="O36" s="155">
        <f>'Table 7 WTP Sulfate Balance'!I38</f>
        <v>500.03337256206419</v>
      </c>
      <c r="P36" s="158">
        <f t="shared" si="4"/>
        <v>7.0204388714733543</v>
      </c>
      <c r="Q36" s="371">
        <f t="shared" si="5"/>
        <v>7.2108580568667904</v>
      </c>
      <c r="R36"/>
    </row>
    <row r="37" spans="2:18" ht="14.25" x14ac:dyDescent="0.2">
      <c r="B37" s="345">
        <f>'Table 5 Flows to Evap &amp; WTP'!B43</f>
        <v>38</v>
      </c>
      <c r="C37" s="156">
        <f>'Table 5 Flows to Evap &amp; WTP'!N43+'Table 5 Flows to Evap &amp; WTP'!M43</f>
        <v>550.3184429910882</v>
      </c>
      <c r="D37" s="156">
        <f>'Table 5 Flows to Evap &amp; WTP'!K43-'Table 5 Flows to Evap &amp; WTP'!N43-'Table 5 Flows to Evap &amp; WTP'!M43</f>
        <v>350</v>
      </c>
      <c r="E37" s="156">
        <v>287.5</v>
      </c>
      <c r="F37" s="156">
        <f t="shared" si="8"/>
        <v>637.5</v>
      </c>
      <c r="G37" s="158">
        <f t="shared" si="6"/>
        <v>0.2</v>
      </c>
      <c r="H37" s="156">
        <f t="shared" si="7"/>
        <v>127.5</v>
      </c>
      <c r="I37" s="159">
        <f t="shared" si="1"/>
        <v>510</v>
      </c>
      <c r="J37" s="156">
        <f t="shared" si="2"/>
        <v>262.8184429910882</v>
      </c>
      <c r="K37" s="363">
        <f t="shared" ref="K37:K68" si="9">I37+J37</f>
        <v>772.8184429910882</v>
      </c>
      <c r="L37" s="36"/>
      <c r="M37" s="36"/>
      <c r="N37" s="13"/>
      <c r="O37" s="155">
        <f>'Table 7 WTP Sulfate Balance'!I39</f>
        <v>499.71211976048977</v>
      </c>
      <c r="P37" s="158">
        <f t="shared" si="4"/>
        <v>7.02</v>
      </c>
      <c r="Q37" s="371">
        <f t="shared" si="5"/>
        <v>7.2104436021290788</v>
      </c>
      <c r="R37"/>
    </row>
    <row r="38" spans="2:18" ht="14.25" x14ac:dyDescent="0.2">
      <c r="B38" s="345">
        <f>'Table 5 Flows to Evap &amp; WTP'!B44</f>
        <v>39</v>
      </c>
      <c r="C38" s="156">
        <f>'Table 5 Flows to Evap &amp; WTP'!N44+'Table 5 Flows to Evap &amp; WTP'!M44</f>
        <v>549.35642503706026</v>
      </c>
      <c r="D38" s="156">
        <f>'Table 5 Flows to Evap &amp; WTP'!K44-'Table 5 Flows to Evap &amp; WTP'!N44-'Table 5 Flows to Evap &amp; WTP'!M44</f>
        <v>350</v>
      </c>
      <c r="E38" s="156">
        <v>286.5</v>
      </c>
      <c r="F38" s="156">
        <f t="shared" si="8"/>
        <v>636.5</v>
      </c>
      <c r="G38" s="158">
        <f t="shared" si="6"/>
        <v>0.2</v>
      </c>
      <c r="H38" s="156">
        <f t="shared" si="7"/>
        <v>127.30000000000001</v>
      </c>
      <c r="I38" s="159">
        <f t="shared" si="1"/>
        <v>509.2</v>
      </c>
      <c r="J38" s="156">
        <f t="shared" si="2"/>
        <v>262.85642503706026</v>
      </c>
      <c r="K38" s="363">
        <f t="shared" si="9"/>
        <v>772.05642503706031</v>
      </c>
      <c r="L38" s="36"/>
      <c r="M38" s="36"/>
      <c r="N38" s="13"/>
      <c r="O38" s="155">
        <f>'Table 7 WTP Sulfate Balance'!I40</f>
        <v>500.26630668243888</v>
      </c>
      <c r="P38" s="158">
        <f t="shared" si="4"/>
        <v>7.019120188531029</v>
      </c>
      <c r="Q38" s="371">
        <f t="shared" si="5"/>
        <v>7.2100788507960534</v>
      </c>
      <c r="R38"/>
    </row>
    <row r="39" spans="2:18" ht="14.25" x14ac:dyDescent="0.2">
      <c r="B39" s="345">
        <f>'Table 5 Flows to Evap &amp; WTP'!B45</f>
        <v>40</v>
      </c>
      <c r="C39" s="156">
        <f>'Table 5 Flows to Evap &amp; WTP'!N45+'Table 5 Flows to Evap &amp; WTP'!M45</f>
        <v>548.40172769618403</v>
      </c>
      <c r="D39" s="156">
        <f>'Table 5 Flows to Evap &amp; WTP'!K45-'Table 5 Flows to Evap &amp; WTP'!N45-'Table 5 Flows to Evap &amp; WTP'!M45</f>
        <v>350</v>
      </c>
      <c r="E39" s="156">
        <v>286</v>
      </c>
      <c r="F39" s="156">
        <f t="shared" si="8"/>
        <v>636</v>
      </c>
      <c r="G39" s="158">
        <f t="shared" si="6"/>
        <v>0.2</v>
      </c>
      <c r="H39" s="156">
        <f t="shared" si="7"/>
        <v>127.2</v>
      </c>
      <c r="I39" s="159">
        <f t="shared" si="1"/>
        <v>508.8</v>
      </c>
      <c r="J39" s="156">
        <f t="shared" si="2"/>
        <v>262.40172769618403</v>
      </c>
      <c r="K39" s="363">
        <f t="shared" si="9"/>
        <v>771.20172769618398</v>
      </c>
      <c r="L39" s="36"/>
      <c r="M39" s="36"/>
      <c r="N39" s="13"/>
      <c r="O39" s="155">
        <f>'Table 7 WTP Sulfate Balance'!I41</f>
        <v>499.96063456870633</v>
      </c>
      <c r="P39" s="158">
        <f t="shared" si="4"/>
        <v>7.0186792452830193</v>
      </c>
      <c r="Q39" s="371">
        <f t="shared" si="5"/>
        <v>7.2096688794342114</v>
      </c>
      <c r="R39"/>
    </row>
    <row r="40" spans="2:18" ht="14.25" x14ac:dyDescent="0.2">
      <c r="B40" s="345">
        <f>'Table 5 Flows to Evap &amp; WTP'!B46</f>
        <v>41</v>
      </c>
      <c r="C40" s="156">
        <f>'Table 5 Flows to Evap &amp; WTP'!N46+'Table 5 Flows to Evap &amp; WTP'!M46</f>
        <v>547.45828083986316</v>
      </c>
      <c r="D40" s="156">
        <f>'Table 5 Flows to Evap &amp; WTP'!K46-'Table 5 Flows to Evap &amp; WTP'!N46-'Table 5 Flows to Evap &amp; WTP'!M46</f>
        <v>350</v>
      </c>
      <c r="E40" s="156">
        <v>285.5</v>
      </c>
      <c r="F40" s="156">
        <f t="shared" si="8"/>
        <v>635.5</v>
      </c>
      <c r="G40" s="158">
        <f t="shared" si="6"/>
        <v>0.2</v>
      </c>
      <c r="H40" s="156">
        <f t="shared" si="7"/>
        <v>127.10000000000001</v>
      </c>
      <c r="I40" s="159">
        <f t="shared" si="1"/>
        <v>508.4</v>
      </c>
      <c r="J40" s="156">
        <f t="shared" si="2"/>
        <v>261.95828083986316</v>
      </c>
      <c r="K40" s="363">
        <f t="shared" si="9"/>
        <v>770.35828083986314</v>
      </c>
      <c r="L40" s="36"/>
      <c r="M40" s="36"/>
      <c r="N40" s="13"/>
      <c r="O40" s="155">
        <f>'Table 7 WTP Sulfate Balance'!I42</f>
        <v>499.66816323198174</v>
      </c>
      <c r="P40" s="158">
        <f t="shared" si="4"/>
        <v>7.0182376081825337</v>
      </c>
      <c r="Q40" s="371">
        <f t="shared" si="5"/>
        <v>7.2092634127478554</v>
      </c>
      <c r="R40"/>
    </row>
    <row r="41" spans="2:18" ht="14.25" x14ac:dyDescent="0.2">
      <c r="B41" s="345">
        <f>'Table 5 Flows to Evap &amp; WTP'!B47</f>
        <v>42</v>
      </c>
      <c r="C41" s="156">
        <f>'Table 5 Flows to Evap &amp; WTP'!N47+'Table 5 Flows to Evap &amp; WTP'!M47</f>
        <v>546.52954792414914</v>
      </c>
      <c r="D41" s="156">
        <f>'Table 5 Flows to Evap &amp; WTP'!K47-'Table 5 Flows to Evap &amp; WTP'!N47-'Table 5 Flows to Evap &amp; WTP'!M47</f>
        <v>350</v>
      </c>
      <c r="E41" s="156">
        <v>284.5</v>
      </c>
      <c r="F41" s="156">
        <f t="shared" si="8"/>
        <v>634.5</v>
      </c>
      <c r="G41" s="158">
        <f t="shared" si="6"/>
        <v>0.2</v>
      </c>
      <c r="H41" s="156">
        <f t="shared" si="7"/>
        <v>126.9</v>
      </c>
      <c r="I41" s="159">
        <f t="shared" si="1"/>
        <v>507.6</v>
      </c>
      <c r="J41" s="156">
        <f t="shared" si="2"/>
        <v>262.02954792414914</v>
      </c>
      <c r="K41" s="363">
        <f t="shared" si="9"/>
        <v>769.62954792414916</v>
      </c>
      <c r="L41" s="36"/>
      <c r="M41" s="36"/>
      <c r="N41" s="13"/>
      <c r="O41" s="155">
        <f>'Table 7 WTP Sulfate Balance'!I43</f>
        <v>500.26515422711105</v>
      </c>
      <c r="P41" s="158">
        <f t="shared" si="4"/>
        <v>7.0173522458628845</v>
      </c>
      <c r="Q41" s="371">
        <f t="shared" si="5"/>
        <v>7.2089123763889758</v>
      </c>
      <c r="R41"/>
    </row>
    <row r="42" spans="2:18" ht="14.25" x14ac:dyDescent="0.2">
      <c r="B42" s="345">
        <f>'Table 5 Flows to Evap &amp; WTP'!B48</f>
        <v>43</v>
      </c>
      <c r="C42" s="156">
        <f>'Table 5 Flows to Evap &amp; WTP'!N48+'Table 5 Flows to Evap &amp; WTP'!M48</f>
        <v>545.61595618483864</v>
      </c>
      <c r="D42" s="156">
        <f>'Table 5 Flows to Evap &amp; WTP'!K48-'Table 5 Flows to Evap &amp; WTP'!N48-'Table 5 Flows to Evap &amp; WTP'!M48</f>
        <v>350</v>
      </c>
      <c r="E42" s="156">
        <v>284</v>
      </c>
      <c r="F42" s="156">
        <f t="shared" si="8"/>
        <v>634</v>
      </c>
      <c r="G42" s="158">
        <f t="shared" si="6"/>
        <v>0.2</v>
      </c>
      <c r="H42" s="156">
        <f t="shared" si="7"/>
        <v>126.80000000000001</v>
      </c>
      <c r="I42" s="159">
        <f t="shared" si="1"/>
        <v>507.2</v>
      </c>
      <c r="J42" s="156">
        <f t="shared" si="2"/>
        <v>261.61595618483864</v>
      </c>
      <c r="K42" s="363">
        <f t="shared" si="9"/>
        <v>768.81595618483857</v>
      </c>
      <c r="L42" s="36"/>
      <c r="M42" s="36"/>
      <c r="N42" s="13"/>
      <c r="O42" s="155">
        <f>'Table 7 WTP Sulfate Balance'!I44</f>
        <v>500.00931090924837</v>
      </c>
      <c r="P42" s="158">
        <f t="shared" si="4"/>
        <v>7.0169085173501564</v>
      </c>
      <c r="Q42" s="371">
        <f t="shared" si="5"/>
        <v>7.2085196766502388</v>
      </c>
      <c r="R42"/>
    </row>
    <row r="43" spans="2:18" ht="14.25" x14ac:dyDescent="0.2">
      <c r="B43" s="345">
        <f>'Table 5 Flows to Evap &amp; WTP'!B49</f>
        <v>44</v>
      </c>
      <c r="C43" s="156">
        <f>'Table 5 Flows to Evap &amp; WTP'!N49+'Table 5 Flows to Evap &amp; WTP'!M49</f>
        <v>544.71755781674142</v>
      </c>
      <c r="D43" s="156">
        <f>'Table 5 Flows to Evap &amp; WTP'!K49-'Table 5 Flows to Evap &amp; WTP'!N49-'Table 5 Flows to Evap &amp; WTP'!M49</f>
        <v>350</v>
      </c>
      <c r="E43" s="156">
        <v>283.5</v>
      </c>
      <c r="F43" s="156">
        <f t="shared" si="8"/>
        <v>633.5</v>
      </c>
      <c r="G43" s="158">
        <f t="shared" si="6"/>
        <v>0.2</v>
      </c>
      <c r="H43" s="156">
        <f t="shared" si="7"/>
        <v>126.7</v>
      </c>
      <c r="I43" s="159">
        <f t="shared" si="1"/>
        <v>506.8</v>
      </c>
      <c r="J43" s="156">
        <f t="shared" si="2"/>
        <v>261.21755781674142</v>
      </c>
      <c r="K43" s="363">
        <f t="shared" si="9"/>
        <v>768.01755781674137</v>
      </c>
      <c r="L43" s="36"/>
      <c r="M43" s="36"/>
      <c r="N43" s="13"/>
      <c r="O43" s="155">
        <f>'Table 7 WTP Sulfate Balance'!I45</f>
        <v>499.77172387231093</v>
      </c>
      <c r="P43" s="158">
        <f t="shared" si="4"/>
        <v>7.0164640883977905</v>
      </c>
      <c r="Q43" s="371">
        <f t="shared" si="5"/>
        <v>7.208133501515408</v>
      </c>
      <c r="R43"/>
    </row>
    <row r="44" spans="2:18" ht="14.25" x14ac:dyDescent="0.2">
      <c r="B44" s="345">
        <f>'Table 5 Flows to Evap &amp; WTP'!B50</f>
        <v>45</v>
      </c>
      <c r="C44" s="156">
        <f>'Table 5 Flows to Evap &amp; WTP'!N50+'Table 5 Flows to Evap &amp; WTP'!M50</f>
        <v>543.83642380795754</v>
      </c>
      <c r="D44" s="156">
        <f>'Table 5 Flows to Evap &amp; WTP'!K50-'Table 5 Flows to Evap &amp; WTP'!N50-'Table 5 Flows to Evap &amp; WTP'!M50</f>
        <v>350</v>
      </c>
      <c r="E44" s="156">
        <v>282.5</v>
      </c>
      <c r="F44" s="156">
        <f t="shared" si="8"/>
        <v>632.5</v>
      </c>
      <c r="G44" s="158">
        <f t="shared" si="6"/>
        <v>0.2</v>
      </c>
      <c r="H44" s="156">
        <f t="shared" si="7"/>
        <v>126.5</v>
      </c>
      <c r="I44" s="159">
        <f t="shared" si="1"/>
        <v>506</v>
      </c>
      <c r="J44" s="156">
        <f t="shared" si="2"/>
        <v>261.33642380795754</v>
      </c>
      <c r="K44" s="363">
        <f t="shared" si="9"/>
        <v>767.33642380795754</v>
      </c>
      <c r="L44" s="36"/>
      <c r="M44" s="36"/>
      <c r="N44" s="13"/>
      <c r="O44" s="155">
        <f>'Table 7 WTP Sulfate Balance'!I46</f>
        <v>500.42954121208533</v>
      </c>
      <c r="P44" s="158">
        <f t="shared" si="4"/>
        <v>7.0155731225296449</v>
      </c>
      <c r="Q44" s="371">
        <f t="shared" si="5"/>
        <v>7.2078034104223923</v>
      </c>
      <c r="R44"/>
    </row>
    <row r="45" spans="2:18" ht="14.25" x14ac:dyDescent="0.2">
      <c r="B45" s="345">
        <f>'Table 5 Flows to Evap &amp; WTP'!B51</f>
        <v>46</v>
      </c>
      <c r="C45" s="156">
        <f>'Table 5 Flows to Evap &amp; WTP'!N51+'Table 5 Flows to Evap &amp; WTP'!M51</f>
        <v>542.97414146529195</v>
      </c>
      <c r="D45" s="156">
        <f>'Table 5 Flows to Evap &amp; WTP'!K51-'Table 5 Flows to Evap &amp; WTP'!N51-'Table 5 Flows to Evap &amp; WTP'!M51</f>
        <v>350</v>
      </c>
      <c r="E45" s="156">
        <v>282</v>
      </c>
      <c r="F45" s="156">
        <f t="shared" si="8"/>
        <v>632</v>
      </c>
      <c r="G45" s="158">
        <f t="shared" si="6"/>
        <v>0.2</v>
      </c>
      <c r="H45" s="156">
        <f t="shared" si="7"/>
        <v>126.4</v>
      </c>
      <c r="I45" s="159">
        <f t="shared" si="1"/>
        <v>505.6</v>
      </c>
      <c r="J45" s="156">
        <f t="shared" si="2"/>
        <v>260.97414146529195</v>
      </c>
      <c r="K45" s="363">
        <f t="shared" si="9"/>
        <v>766.57414146529197</v>
      </c>
      <c r="L45" s="36"/>
      <c r="M45" s="36"/>
      <c r="N45" s="13"/>
      <c r="O45" s="155">
        <f>'Table 7 WTP Sulfate Balance'!I47</f>
        <v>500.23668211881045</v>
      </c>
      <c r="P45" s="158">
        <f t="shared" si="4"/>
        <v>7.0151265822784801</v>
      </c>
      <c r="Q45" s="371">
        <f t="shared" si="5"/>
        <v>7.2074332976402236</v>
      </c>
      <c r="R45"/>
    </row>
    <row r="46" spans="2:18" ht="14.25" x14ac:dyDescent="0.2">
      <c r="B46" s="345">
        <f>'Table 5 Flows to Evap &amp; WTP'!B52</f>
        <v>47</v>
      </c>
      <c r="C46" s="156">
        <f>'Table 5 Flows to Evap &amp; WTP'!N52+'Table 5 Flows to Evap &amp; WTP'!M52</f>
        <v>542.12953454388071</v>
      </c>
      <c r="D46" s="156">
        <f>'Table 5 Flows to Evap &amp; WTP'!K52-'Table 5 Flows to Evap &amp; WTP'!N52-'Table 5 Flows to Evap &amp; WTP'!M52</f>
        <v>350</v>
      </c>
      <c r="E46" s="156">
        <v>281.5</v>
      </c>
      <c r="F46" s="156">
        <f t="shared" si="8"/>
        <v>631.5</v>
      </c>
      <c r="G46" s="158">
        <f t="shared" si="6"/>
        <v>0.2</v>
      </c>
      <c r="H46" s="156">
        <f t="shared" si="7"/>
        <v>126.30000000000001</v>
      </c>
      <c r="I46" s="159">
        <f t="shared" si="1"/>
        <v>505.2</v>
      </c>
      <c r="J46" s="156">
        <f t="shared" si="2"/>
        <v>260.62953454388071</v>
      </c>
      <c r="K46" s="363">
        <f t="shared" si="9"/>
        <v>765.82953454388075</v>
      </c>
      <c r="L46" s="36"/>
      <c r="M46" s="36"/>
      <c r="N46" s="13"/>
      <c r="O46" s="155">
        <f>'Table 7 WTP Sulfate Balance'!I48</f>
        <v>500.06536417626734</v>
      </c>
      <c r="P46" s="158">
        <f t="shared" si="4"/>
        <v>7.014679334916865</v>
      </c>
      <c r="Q46" s="371">
        <f t="shared" si="5"/>
        <v>7.2070710554795978</v>
      </c>
      <c r="R46"/>
    </row>
    <row r="47" spans="2:18" ht="14.25" x14ac:dyDescent="0.2">
      <c r="B47" s="345">
        <f>'Table 5 Flows to Evap &amp; WTP'!B53</f>
        <v>48</v>
      </c>
      <c r="C47" s="156">
        <f>'Table 5 Flows to Evap &amp; WTP'!N53+'Table 5 Flows to Evap &amp; WTP'!M53</f>
        <v>541.30123489375956</v>
      </c>
      <c r="D47" s="156">
        <f>'Table 5 Flows to Evap &amp; WTP'!K53-'Table 5 Flows to Evap &amp; WTP'!N53-'Table 5 Flows to Evap &amp; WTP'!M53</f>
        <v>350</v>
      </c>
      <c r="E47" s="156">
        <v>281</v>
      </c>
      <c r="F47" s="156">
        <f t="shared" si="8"/>
        <v>631</v>
      </c>
      <c r="G47" s="158">
        <f t="shared" si="6"/>
        <v>0.2</v>
      </c>
      <c r="H47" s="156">
        <f t="shared" si="7"/>
        <v>126.2</v>
      </c>
      <c r="I47" s="159">
        <f t="shared" si="1"/>
        <v>504.8</v>
      </c>
      <c r="J47" s="156">
        <f t="shared" si="2"/>
        <v>260.30123489375956</v>
      </c>
      <c r="K47" s="363">
        <f t="shared" si="9"/>
        <v>765.10123489375951</v>
      </c>
      <c r="L47" s="36"/>
      <c r="M47" s="36"/>
      <c r="N47" s="13"/>
      <c r="O47" s="155">
        <f>'Table 7 WTP Sulfate Balance'!I49</f>
        <v>499.91396321437446</v>
      </c>
      <c r="P47" s="158">
        <f t="shared" si="4"/>
        <v>7.0142313787638662</v>
      </c>
      <c r="Q47" s="371">
        <f t="shared" si="5"/>
        <v>7.2067160645222881</v>
      </c>
      <c r="R47"/>
    </row>
    <row r="48" spans="2:18" ht="14.25" x14ac:dyDescent="0.2">
      <c r="B48" s="345">
        <f>'Table 5 Flows to Evap &amp; WTP'!B54</f>
        <v>49</v>
      </c>
      <c r="C48" s="156">
        <f>'Table 5 Flows to Evap &amp; WTP'!N54+'Table 5 Flows to Evap &amp; WTP'!M54</f>
        <v>540.48992186558633</v>
      </c>
      <c r="D48" s="156">
        <f>'Table 5 Flows to Evap &amp; WTP'!K54-'Table 5 Flows to Evap &amp; WTP'!N54-'Table 5 Flows to Evap &amp; WTP'!M54</f>
        <v>350</v>
      </c>
      <c r="E48" s="156">
        <v>280.5</v>
      </c>
      <c r="F48" s="156">
        <f t="shared" si="8"/>
        <v>630.5</v>
      </c>
      <c r="G48" s="158">
        <f t="shared" si="6"/>
        <v>0.2</v>
      </c>
      <c r="H48" s="156">
        <f t="shared" si="7"/>
        <v>126.10000000000001</v>
      </c>
      <c r="I48" s="159">
        <f t="shared" si="1"/>
        <v>504.4</v>
      </c>
      <c r="J48" s="156">
        <f t="shared" si="2"/>
        <v>259.98992186558633</v>
      </c>
      <c r="K48" s="363">
        <f t="shared" si="9"/>
        <v>764.3899218655863</v>
      </c>
      <c r="L48" s="36"/>
      <c r="M48" s="36"/>
      <c r="N48" s="13"/>
      <c r="O48" s="155">
        <f>'Table 7 WTP Sulfate Balance'!I50</f>
        <v>499.78339035751691</v>
      </c>
      <c r="P48" s="158">
        <f t="shared" si="4"/>
        <v>7.0137827121332288</v>
      </c>
      <c r="Q48" s="371">
        <f t="shared" si="5"/>
        <v>7.2063687002793575</v>
      </c>
      <c r="R48"/>
    </row>
    <row r="49" spans="2:18" ht="14.25" x14ac:dyDescent="0.2">
      <c r="B49" s="345">
        <f>'Table 5 Flows to Evap &amp; WTP'!B55</f>
        <v>50</v>
      </c>
      <c r="C49" s="156">
        <f>'Table 5 Flows to Evap &amp; WTP'!N55+'Table 5 Flows to Evap &amp; WTP'!M55</f>
        <v>539.69605185156456</v>
      </c>
      <c r="D49" s="156">
        <f>'Table 5 Flows to Evap &amp; WTP'!K55-'Table 5 Flows to Evap &amp; WTP'!N55-'Table 5 Flows to Evap &amp; WTP'!M55</f>
        <v>350</v>
      </c>
      <c r="E49" s="156">
        <v>280</v>
      </c>
      <c r="F49" s="156">
        <f t="shared" si="8"/>
        <v>630</v>
      </c>
      <c r="G49" s="158">
        <f t="shared" si="6"/>
        <v>0.2</v>
      </c>
      <c r="H49" s="156">
        <f t="shared" si="7"/>
        <v>126</v>
      </c>
      <c r="I49" s="159">
        <f t="shared" si="1"/>
        <v>504</v>
      </c>
      <c r="J49" s="156">
        <f t="shared" si="2"/>
        <v>259.69605185156456</v>
      </c>
      <c r="K49" s="363">
        <f t="shared" si="9"/>
        <v>763.69605185156456</v>
      </c>
      <c r="L49" s="36"/>
      <c r="M49" s="36"/>
      <c r="N49" s="13"/>
      <c r="O49" s="155">
        <f>'Table 7 WTP Sulfate Balance'!I51</f>
        <v>499.67428044126905</v>
      </c>
      <c r="P49" s="158">
        <f t="shared" si="4"/>
        <v>7.0133333333333328</v>
      </c>
      <c r="Q49" s="371">
        <f t="shared" si="5"/>
        <v>7.206029230729202</v>
      </c>
      <c r="R49"/>
    </row>
    <row r="50" spans="2:18" ht="14.25" x14ac:dyDescent="0.2">
      <c r="B50" s="345">
        <f>'Table 5 Flows to Evap &amp; WTP'!B56</f>
        <v>51</v>
      </c>
      <c r="C50" s="156">
        <f>'Table 5 Flows to Evap &amp; WTP'!N56+'Table 5 Flows to Evap &amp; WTP'!M56</f>
        <v>538.91778793131346</v>
      </c>
      <c r="D50" s="156">
        <f>'Table 5 Flows to Evap &amp; WTP'!K56-'Table 5 Flows to Evap &amp; WTP'!N56-'Table 5 Flows to Evap &amp; WTP'!M56</f>
        <v>350</v>
      </c>
      <c r="E50" s="156">
        <v>279.5</v>
      </c>
      <c r="F50" s="156">
        <f t="shared" si="8"/>
        <v>629.5</v>
      </c>
      <c r="G50" s="158">
        <f t="shared" si="6"/>
        <v>0.2</v>
      </c>
      <c r="H50" s="156">
        <f t="shared" si="7"/>
        <v>125.9</v>
      </c>
      <c r="I50" s="159">
        <f t="shared" si="1"/>
        <v>503.6</v>
      </c>
      <c r="J50" s="156">
        <f t="shared" si="2"/>
        <v>259.41778793131346</v>
      </c>
      <c r="K50" s="363">
        <f t="shared" si="9"/>
        <v>763.01778793131348</v>
      </c>
      <c r="L50" s="36"/>
      <c r="M50" s="36"/>
      <c r="N50" s="13"/>
      <c r="O50" s="155">
        <f>'Table 7 WTP Sulfate Balance'!I52</f>
        <v>499.58441143801912</v>
      </c>
      <c r="P50" s="158">
        <f t="shared" si="4"/>
        <v>7.0128832406671968</v>
      </c>
      <c r="Q50" s="371">
        <f t="shared" si="5"/>
        <v>7.205696799580104</v>
      </c>
      <c r="R50"/>
    </row>
    <row r="51" spans="2:18" ht="14.25" x14ac:dyDescent="0.2">
      <c r="B51" s="345">
        <f>'Table 5 Flows to Evap &amp; WTP'!B57</f>
        <v>52</v>
      </c>
      <c r="C51" s="156">
        <f>'Table 5 Flows to Evap &amp; WTP'!N57+'Table 5 Flows to Evap &amp; WTP'!M57</f>
        <v>538.15336863399523</v>
      </c>
      <c r="D51" s="156">
        <f>'Table 5 Flows to Evap &amp; WTP'!K57-'Table 5 Flows to Evap &amp; WTP'!N57-'Table 5 Flows to Evap &amp; WTP'!M57</f>
        <v>350</v>
      </c>
      <c r="E51" s="156">
        <v>279</v>
      </c>
      <c r="F51" s="156">
        <f t="shared" si="8"/>
        <v>629</v>
      </c>
      <c r="G51" s="158">
        <f t="shared" si="6"/>
        <v>0.2</v>
      </c>
      <c r="H51" s="156">
        <f t="shared" si="7"/>
        <v>125.80000000000001</v>
      </c>
      <c r="I51" s="159">
        <f t="shared" si="1"/>
        <v>503.2</v>
      </c>
      <c r="J51" s="156">
        <f t="shared" si="2"/>
        <v>259.15336863399523</v>
      </c>
      <c r="K51" s="363">
        <f t="shared" si="9"/>
        <v>762.35336863399516</v>
      </c>
      <c r="L51" s="36"/>
      <c r="M51" s="36"/>
      <c r="N51" s="13"/>
      <c r="O51" s="155">
        <f>'Table 7 WTP Sulfate Balance'!I53</f>
        <v>499.51164405770044</v>
      </c>
      <c r="P51" s="158">
        <f t="shared" si="4"/>
        <v>7.0124324324324316</v>
      </c>
      <c r="Q51" s="371">
        <f t="shared" si="5"/>
        <v>7.2053705804281476</v>
      </c>
      <c r="R51"/>
    </row>
    <row r="52" spans="2:18" ht="14.25" x14ac:dyDescent="0.2">
      <c r="B52" s="345">
        <f>'Table 5 Flows to Evap &amp; WTP'!B58</f>
        <v>53</v>
      </c>
      <c r="C52" s="156">
        <f>'Table 5 Flows to Evap &amp; WTP'!N58+'Table 5 Flows to Evap &amp; WTP'!M58</f>
        <v>537.40316897274067</v>
      </c>
      <c r="D52" s="156">
        <f>'Table 5 Flows to Evap &amp; WTP'!K58-'Table 5 Flows to Evap &amp; WTP'!N58-'Table 5 Flows to Evap &amp; WTP'!M58</f>
        <v>350</v>
      </c>
      <c r="E52" s="156">
        <v>278</v>
      </c>
      <c r="F52" s="156">
        <f t="shared" si="8"/>
        <v>628</v>
      </c>
      <c r="G52" s="158">
        <f t="shared" si="6"/>
        <v>0.2</v>
      </c>
      <c r="H52" s="156">
        <f t="shared" si="7"/>
        <v>125.60000000000001</v>
      </c>
      <c r="I52" s="159">
        <f t="shared" si="1"/>
        <v>502.4</v>
      </c>
      <c r="J52" s="156">
        <f t="shared" si="2"/>
        <v>259.40316897274067</v>
      </c>
      <c r="K52" s="363">
        <f t="shared" si="9"/>
        <v>761.80316897274065</v>
      </c>
      <c r="L52" s="36"/>
      <c r="M52" s="36"/>
      <c r="N52" s="13"/>
      <c r="O52" s="155">
        <f>'Table 7 WTP Sulfate Balance'!I54</f>
        <v>500.33737129821895</v>
      </c>
      <c r="P52" s="158">
        <f t="shared" si="4"/>
        <v>7.0115286624203819</v>
      </c>
      <c r="Q52" s="371">
        <f t="shared" si="5"/>
        <v>7.2051000105642515</v>
      </c>
      <c r="R52"/>
    </row>
    <row r="53" spans="2:18" ht="14.25" x14ac:dyDescent="0.2">
      <c r="B53" s="345">
        <f>'Table 5 Flows to Evap &amp; WTP'!B59</f>
        <v>54</v>
      </c>
      <c r="C53" s="156">
        <f>'Table 5 Flows to Evap &amp; WTP'!N59+'Table 5 Flows to Evap &amp; WTP'!M59</f>
        <v>536.66759164918255</v>
      </c>
      <c r="D53" s="156">
        <f>'Table 5 Flows to Evap &amp; WTP'!K59-'Table 5 Flows to Evap &amp; WTP'!N59-'Table 5 Flows to Evap &amp; WTP'!M59</f>
        <v>350</v>
      </c>
      <c r="E53" s="156">
        <v>277.5</v>
      </c>
      <c r="F53" s="156">
        <f t="shared" si="8"/>
        <v>627.5</v>
      </c>
      <c r="G53" s="158">
        <f t="shared" si="6"/>
        <v>0.2</v>
      </c>
      <c r="H53" s="156">
        <f t="shared" si="7"/>
        <v>125.5</v>
      </c>
      <c r="I53" s="159">
        <f t="shared" si="1"/>
        <v>502</v>
      </c>
      <c r="J53" s="156">
        <f t="shared" si="2"/>
        <v>259.16759164918255</v>
      </c>
      <c r="K53" s="363">
        <f t="shared" si="9"/>
        <v>761.16759164918255</v>
      </c>
      <c r="L53" s="36"/>
      <c r="M53" s="36"/>
      <c r="N53" s="13"/>
      <c r="O53" s="155">
        <f>'Table 7 WTP Sulfate Balance'!I55</f>
        <v>500.30113219380081</v>
      </c>
      <c r="P53" s="158">
        <f t="shared" si="4"/>
        <v>7.0110756972111554</v>
      </c>
      <c r="Q53" s="371">
        <f t="shared" si="5"/>
        <v>7.2047869678986123</v>
      </c>
      <c r="R53"/>
    </row>
    <row r="54" spans="2:18" ht="14.25" x14ac:dyDescent="0.2">
      <c r="B54" s="345">
        <f>'Table 5 Flows to Evap &amp; WTP'!B60</f>
        <v>55</v>
      </c>
      <c r="C54" s="156">
        <f>'Table 5 Flows to Evap &amp; WTP'!N60+'Table 5 Flows to Evap &amp; WTP'!M60</f>
        <v>535.94511368860378</v>
      </c>
      <c r="D54" s="156">
        <f>'Table 5 Flows to Evap &amp; WTP'!K60-'Table 5 Flows to Evap &amp; WTP'!N60-'Table 5 Flows to Evap &amp; WTP'!M60</f>
        <v>350</v>
      </c>
      <c r="E54" s="156">
        <v>277</v>
      </c>
      <c r="F54" s="156">
        <f t="shared" si="8"/>
        <v>627</v>
      </c>
      <c r="G54" s="158">
        <f t="shared" si="6"/>
        <v>0.2</v>
      </c>
      <c r="H54" s="156">
        <f t="shared" si="7"/>
        <v>125.4</v>
      </c>
      <c r="I54" s="159">
        <f t="shared" si="1"/>
        <v>501.6</v>
      </c>
      <c r="J54" s="156">
        <f t="shared" si="2"/>
        <v>258.94511368860378</v>
      </c>
      <c r="K54" s="363">
        <f t="shared" si="9"/>
        <v>760.54511368860381</v>
      </c>
      <c r="L54" s="36"/>
      <c r="M54" s="36"/>
      <c r="N54" s="13"/>
      <c r="O54" s="155">
        <f>'Table 7 WTP Sulfate Balance'!I56</f>
        <v>500.28119042555727</v>
      </c>
      <c r="P54" s="158">
        <f t="shared" si="4"/>
        <v>7.0106220095693779</v>
      </c>
      <c r="Q54" s="371">
        <f t="shared" si="5"/>
        <v>7.2044798699516264</v>
      </c>
      <c r="R54"/>
    </row>
    <row r="55" spans="2:18" ht="14.25" x14ac:dyDescent="0.2">
      <c r="B55" s="345">
        <f>'Table 5 Flows to Evap &amp; WTP'!B61</f>
        <v>56</v>
      </c>
      <c r="C55" s="156">
        <f>'Table 5 Flows to Evap &amp; WTP'!N61+'Table 5 Flows to Evap &amp; WTP'!M61</f>
        <v>535.2344283256748</v>
      </c>
      <c r="D55" s="156">
        <f>'Table 5 Flows to Evap &amp; WTP'!K61-'Table 5 Flows to Evap &amp; WTP'!N61-'Table 5 Flows to Evap &amp; WTP'!M61</f>
        <v>350</v>
      </c>
      <c r="E55" s="156">
        <v>276.5</v>
      </c>
      <c r="F55" s="156">
        <f t="shared" si="8"/>
        <v>626.5</v>
      </c>
      <c r="G55" s="158">
        <f t="shared" si="6"/>
        <v>0.2</v>
      </c>
      <c r="H55" s="156">
        <f t="shared" si="7"/>
        <v>125.30000000000001</v>
      </c>
      <c r="I55" s="159">
        <f t="shared" si="1"/>
        <v>501.2</v>
      </c>
      <c r="J55" s="156">
        <f t="shared" si="2"/>
        <v>258.7344283256748</v>
      </c>
      <c r="K55" s="363">
        <f t="shared" si="9"/>
        <v>759.93442832567484</v>
      </c>
      <c r="L55" s="36"/>
      <c r="M55" s="36"/>
      <c r="N55" s="13"/>
      <c r="O55" s="155">
        <f>'Table 7 WTP Sulfate Balance'!I57</f>
        <v>500.2759539528339</v>
      </c>
      <c r="P55" s="158">
        <f t="shared" si="4"/>
        <v>7.0101675977653626</v>
      </c>
      <c r="Q55" s="371">
        <f t="shared" si="5"/>
        <v>7.2041781009589885</v>
      </c>
      <c r="R55"/>
    </row>
    <row r="56" spans="2:18" ht="14.25" x14ac:dyDescent="0.2">
      <c r="B56" s="345">
        <f>'Table 5 Flows to Evap &amp; WTP'!B62</f>
        <v>57</v>
      </c>
      <c r="C56" s="156">
        <f>'Table 5 Flows to Evap &amp; WTP'!N62+'Table 5 Flows to Evap &amp; WTP'!M62</f>
        <v>534.53631952372336</v>
      </c>
      <c r="D56" s="156">
        <f>'Table 5 Flows to Evap &amp; WTP'!K62-'Table 5 Flows to Evap &amp; WTP'!N62-'Table 5 Flows to Evap &amp; WTP'!M62</f>
        <v>350</v>
      </c>
      <c r="E56" s="156">
        <v>276</v>
      </c>
      <c r="F56" s="156">
        <f t="shared" si="8"/>
        <v>626</v>
      </c>
      <c r="G56" s="158">
        <f t="shared" si="6"/>
        <v>0.2</v>
      </c>
      <c r="H56" s="156">
        <f t="shared" si="7"/>
        <v>125.2</v>
      </c>
      <c r="I56" s="159">
        <f t="shared" si="1"/>
        <v>500.8</v>
      </c>
      <c r="J56" s="156">
        <f t="shared" si="2"/>
        <v>258.53631952372336</v>
      </c>
      <c r="K56" s="363">
        <f t="shared" si="9"/>
        <v>759.33631952372343</v>
      </c>
      <c r="L56" s="36"/>
      <c r="M56" s="36"/>
      <c r="N56" s="13"/>
      <c r="O56" s="155">
        <f>'Table 7 WTP Sulfate Balance'!I58</f>
        <v>500.28643901515676</v>
      </c>
      <c r="P56" s="158">
        <f t="shared" si="4"/>
        <v>7.0097124600638976</v>
      </c>
      <c r="Q56" s="371">
        <f t="shared" si="5"/>
        <v>7.2038820761541649</v>
      </c>
      <c r="R56"/>
    </row>
    <row r="57" spans="2:18" ht="14.25" x14ac:dyDescent="0.2">
      <c r="B57" s="345">
        <f>'Table 5 Flows to Evap &amp; WTP'!B63</f>
        <v>58</v>
      </c>
      <c r="C57" s="156">
        <f>'Table 5 Flows to Evap &amp; WTP'!N63+'Table 5 Flows to Evap &amp; WTP'!M63</f>
        <v>533.85164658684675</v>
      </c>
      <c r="D57" s="156">
        <f>'Table 5 Flows to Evap &amp; WTP'!K63-'Table 5 Flows to Evap &amp; WTP'!N63-'Table 5 Flows to Evap &amp; WTP'!M63</f>
        <v>350</v>
      </c>
      <c r="E57" s="156">
        <v>275.5</v>
      </c>
      <c r="F57" s="156">
        <f t="shared" si="8"/>
        <v>625.5</v>
      </c>
      <c r="G57" s="158">
        <f t="shared" si="6"/>
        <v>0.2</v>
      </c>
      <c r="H57" s="156">
        <f t="shared" si="7"/>
        <v>125.10000000000001</v>
      </c>
      <c r="I57" s="159">
        <f t="shared" si="1"/>
        <v>500.4</v>
      </c>
      <c r="J57" s="156">
        <f t="shared" si="2"/>
        <v>258.35164658684675</v>
      </c>
      <c r="K57" s="363">
        <f t="shared" si="9"/>
        <v>758.75164658684673</v>
      </c>
      <c r="L57" s="36"/>
      <c r="M57" s="36"/>
      <c r="N57" s="13"/>
      <c r="O57" s="155">
        <f>'Table 7 WTP Sulfate Balance'!I59</f>
        <v>500.31375781334424</v>
      </c>
      <c r="P57" s="158">
        <f t="shared" si="4"/>
        <v>7.0092565947242207</v>
      </c>
      <c r="Q57" s="371">
        <f t="shared" si="5"/>
        <v>7.2035922501325205</v>
      </c>
      <c r="R57"/>
    </row>
    <row r="58" spans="2:18" ht="14.25" x14ac:dyDescent="0.2">
      <c r="B58" s="345">
        <f>'Table 5 Flows to Evap &amp; WTP'!B64</f>
        <v>59</v>
      </c>
      <c r="C58" s="156">
        <f>'Table 5 Flows to Evap &amp; WTP'!N64+'Table 5 Flows to Evap &amp; WTP'!M64</f>
        <v>533.17945912541347</v>
      </c>
      <c r="D58" s="156">
        <f>'Table 5 Flows to Evap &amp; WTP'!K64-'Table 5 Flows to Evap &amp; WTP'!N64-'Table 5 Flows to Evap &amp; WTP'!M64</f>
        <v>350</v>
      </c>
      <c r="E58" s="156">
        <v>275</v>
      </c>
      <c r="F58" s="156">
        <f t="shared" si="8"/>
        <v>625</v>
      </c>
      <c r="G58" s="158">
        <f t="shared" si="6"/>
        <v>0.2</v>
      </c>
      <c r="H58" s="156">
        <f t="shared" si="7"/>
        <v>125</v>
      </c>
      <c r="I58" s="159">
        <f t="shared" si="1"/>
        <v>500</v>
      </c>
      <c r="J58" s="156">
        <f t="shared" si="2"/>
        <v>258.17945912541347</v>
      </c>
      <c r="K58" s="363">
        <f t="shared" si="9"/>
        <v>758.17945912541347</v>
      </c>
      <c r="L58" s="36"/>
      <c r="M58" s="36"/>
      <c r="N58" s="13"/>
      <c r="O58" s="155">
        <f>'Table 7 WTP Sulfate Balance'!I60</f>
        <v>500.35675744823635</v>
      </c>
      <c r="P58" s="158">
        <f t="shared" si="4"/>
        <v>7.0087999999999999</v>
      </c>
      <c r="Q58" s="371">
        <f t="shared" si="5"/>
        <v>7.2033081804544672</v>
      </c>
      <c r="R58"/>
    </row>
    <row r="59" spans="2:18" ht="14.25" x14ac:dyDescent="0.2">
      <c r="B59" s="345">
        <f>'Table 5 Flows to Evap &amp; WTP'!B65</f>
        <v>60</v>
      </c>
      <c r="C59" s="156">
        <f>'Table 5 Flows to Evap &amp; WTP'!N65+'Table 5 Flows to Evap &amp; WTP'!M65</f>
        <v>532.51892261500825</v>
      </c>
      <c r="D59" s="156">
        <f>'Table 5 Flows to Evap &amp; WTP'!K65-'Table 5 Flows to Evap &amp; WTP'!N65-'Table 5 Flows to Evap &amp; WTP'!M65</f>
        <v>350</v>
      </c>
      <c r="E59" s="156">
        <v>274.5</v>
      </c>
      <c r="F59" s="156">
        <f t="shared" si="8"/>
        <v>624.5</v>
      </c>
      <c r="G59" s="158">
        <f t="shared" si="6"/>
        <v>0.2</v>
      </c>
      <c r="H59" s="156">
        <f t="shared" si="7"/>
        <v>124.9</v>
      </c>
      <c r="I59" s="159">
        <f t="shared" si="1"/>
        <v>499.6</v>
      </c>
      <c r="J59" s="156">
        <f t="shared" si="2"/>
        <v>258.01892261500825</v>
      </c>
      <c r="K59" s="363">
        <f t="shared" si="9"/>
        <v>757.61892261500827</v>
      </c>
      <c r="L59" s="36"/>
      <c r="M59" s="36"/>
      <c r="N59" s="13"/>
      <c r="O59" s="155">
        <f>'Table 7 WTP Sulfate Balance'!I61</f>
        <v>500.41442534615436</v>
      </c>
      <c r="P59" s="158">
        <f t="shared" si="4"/>
        <v>7.0083426741393113</v>
      </c>
      <c r="Q59" s="371">
        <f t="shared" si="5"/>
        <v>7.2030294789704845</v>
      </c>
      <c r="R59"/>
    </row>
    <row r="60" spans="2:18" ht="14.25" x14ac:dyDescent="0.2">
      <c r="B60" s="345">
        <f>'Table 5 Flows to Evap &amp; WTP'!B66</f>
        <v>61</v>
      </c>
      <c r="C60" s="156">
        <f>'Table 5 Flows to Evap &amp; WTP'!N66+'Table 5 Flows to Evap &amp; WTP'!M66</f>
        <v>531.87097991832638</v>
      </c>
      <c r="D60" s="156">
        <f>'Table 5 Flows to Evap &amp; WTP'!K66-'Table 5 Flows to Evap &amp; WTP'!N66-'Table 5 Flows to Evap &amp; WTP'!M66</f>
        <v>350</v>
      </c>
      <c r="E60" s="156">
        <v>274</v>
      </c>
      <c r="F60" s="156">
        <f t="shared" si="8"/>
        <v>624</v>
      </c>
      <c r="G60" s="158">
        <f t="shared" si="6"/>
        <v>0.2</v>
      </c>
      <c r="H60" s="156">
        <f t="shared" si="7"/>
        <v>124.80000000000001</v>
      </c>
      <c r="I60" s="159">
        <f t="shared" si="1"/>
        <v>499.2</v>
      </c>
      <c r="J60" s="156">
        <f t="shared" si="2"/>
        <v>257.87097991832638</v>
      </c>
      <c r="K60" s="363">
        <f t="shared" si="9"/>
        <v>757.07097991832643</v>
      </c>
      <c r="L60" s="36"/>
      <c r="M60" s="36"/>
      <c r="N60" s="13"/>
      <c r="O60" s="155">
        <f>'Table 7 WTP Sulfate Balance'!I62</f>
        <v>500.48797395780502</v>
      </c>
      <c r="P60" s="158">
        <f t="shared" si="4"/>
        <v>7.0078846153846159</v>
      </c>
      <c r="Q60" s="371">
        <f t="shared" si="5"/>
        <v>7.2027566402944005</v>
      </c>
      <c r="R60"/>
    </row>
    <row r="61" spans="2:18" ht="14.25" x14ac:dyDescent="0.2">
      <c r="B61" s="345">
        <f>'Table 5 Flows to Evap &amp; WTP'!B67</f>
        <v>62</v>
      </c>
      <c r="C61" s="156">
        <f>'Table 5 Flows to Evap &amp; WTP'!N67+'Table 5 Flows to Evap &amp; WTP'!M67</f>
        <v>527.39721061454259</v>
      </c>
      <c r="D61" s="156">
        <f>'Table 5 Flows to Evap &amp; WTP'!K67-'Table 5 Flows to Evap &amp; WTP'!N67-'Table 5 Flows to Evap &amp; WTP'!M67</f>
        <v>350</v>
      </c>
      <c r="E61" s="156">
        <v>271</v>
      </c>
      <c r="F61" s="156">
        <f t="shared" si="8"/>
        <v>621</v>
      </c>
      <c r="G61" s="158">
        <f t="shared" si="6"/>
        <v>0.2</v>
      </c>
      <c r="H61" s="156">
        <f t="shared" si="7"/>
        <v>124.2</v>
      </c>
      <c r="I61" s="159">
        <f t="shared" si="1"/>
        <v>496.8</v>
      </c>
      <c r="J61" s="156">
        <f t="shared" si="2"/>
        <v>256.39721061454259</v>
      </c>
      <c r="K61" s="363">
        <f t="shared" si="9"/>
        <v>753.19721061454266</v>
      </c>
      <c r="L61" s="36"/>
      <c r="M61" s="36"/>
      <c r="N61" s="13"/>
      <c r="O61" s="155">
        <f>'Table 7 WTP Sulfate Balance'!I63</f>
        <v>500.19297745898029</v>
      </c>
      <c r="P61" s="158">
        <f t="shared" si="4"/>
        <v>7.0051207729468601</v>
      </c>
      <c r="Q61" s="371">
        <f t="shared" si="5"/>
        <v>7.2008164396055374</v>
      </c>
      <c r="R61"/>
    </row>
    <row r="62" spans="2:18" ht="15" thickBot="1" x14ac:dyDescent="0.25">
      <c r="B62" s="348" t="str">
        <f>'Table 5 Flows to Evap &amp; WTP'!B68</f>
        <v>63-100</v>
      </c>
      <c r="C62" s="176">
        <f>'Table 5 Flows to Evap &amp; WTP'!N68+'Table 5 Flows to Evap &amp; WTP'!M68</f>
        <v>525</v>
      </c>
      <c r="D62" s="176">
        <f>'Table 5 Flows to Evap &amp; WTP'!K68-'Table 5 Flows to Evap &amp; WTP'!N68-'Table 5 Flows to Evap &amp; WTP'!M68</f>
        <v>350</v>
      </c>
      <c r="E62" s="176">
        <v>269.5</v>
      </c>
      <c r="F62" s="176">
        <f t="shared" si="8"/>
        <v>619.5</v>
      </c>
      <c r="G62" s="177">
        <f t="shared" si="6"/>
        <v>0.2</v>
      </c>
      <c r="H62" s="176">
        <f t="shared" si="7"/>
        <v>123.9</v>
      </c>
      <c r="I62" s="180">
        <f t="shared" si="1"/>
        <v>495.6</v>
      </c>
      <c r="J62" s="176">
        <f t="shared" si="2"/>
        <v>255.5</v>
      </c>
      <c r="K62" s="364">
        <f t="shared" si="9"/>
        <v>751.1</v>
      </c>
      <c r="L62" s="36"/>
      <c r="M62" s="36"/>
      <c r="N62" s="13"/>
      <c r="O62" s="174">
        <f>'Table 7 WTP Sulfate Balance'!I64</f>
        <v>499.84156570363467</v>
      </c>
      <c r="P62" s="177">
        <f t="shared" si="4"/>
        <v>7.003728813559321</v>
      </c>
      <c r="Q62" s="372">
        <f t="shared" si="5"/>
        <v>7.1997576887232047</v>
      </c>
      <c r="R62"/>
    </row>
    <row r="63" spans="2:18" ht="13.5" hidden="1" thickTop="1" x14ac:dyDescent="0.2">
      <c r="B63" s="106">
        <f>'Table 5 Flows to Evap &amp; WTP'!B69</f>
        <v>64</v>
      </c>
      <c r="C63" s="114">
        <f>'Table 5 Flows to Evap &amp; WTP'!N69+'Table 5 Flows to Evap &amp; WTP'!M69</f>
        <v>525</v>
      </c>
      <c r="D63" s="114">
        <f>'Table 5 Flows to Evap &amp; WTP'!K69-'Table 5 Flows to Evap &amp; WTP'!N69-'Table 5 Flows to Evap &amp; WTP'!M69</f>
        <v>350</v>
      </c>
      <c r="E63" s="114">
        <v>269.5</v>
      </c>
      <c r="F63" s="114">
        <f t="shared" si="8"/>
        <v>619.5</v>
      </c>
      <c r="G63" s="115">
        <f t="shared" si="6"/>
        <v>0.2</v>
      </c>
      <c r="H63" s="114">
        <f t="shared" si="7"/>
        <v>123.9</v>
      </c>
      <c r="I63" s="107">
        <f t="shared" si="1"/>
        <v>495.6</v>
      </c>
      <c r="J63" s="114">
        <f t="shared" si="2"/>
        <v>255.5</v>
      </c>
      <c r="K63" s="116">
        <f t="shared" si="9"/>
        <v>751.1</v>
      </c>
      <c r="L63" s="36"/>
      <c r="M63" s="36"/>
      <c r="N63" s="14"/>
      <c r="O63" s="366">
        <f>'Table 7 WTP Sulfate Balance'!I65</f>
        <v>499.84156570363467</v>
      </c>
      <c r="P63" s="367">
        <f t="shared" si="4"/>
        <v>7.003728813559321</v>
      </c>
      <c r="Q63" s="367">
        <f t="shared" si="5"/>
        <v>7.1997576887232047</v>
      </c>
      <c r="R63"/>
    </row>
    <row r="64" spans="2:18" ht="13.5" hidden="1" thickTop="1" x14ac:dyDescent="0.2">
      <c r="B64" s="92">
        <f>'Table 5 Flows to Evap &amp; WTP'!B70</f>
        <v>65</v>
      </c>
      <c r="C64" s="94">
        <f>'Table 5 Flows to Evap &amp; WTP'!N70+'Table 5 Flows to Evap &amp; WTP'!M70</f>
        <v>525</v>
      </c>
      <c r="D64" s="94">
        <f>'Table 5 Flows to Evap &amp; WTP'!K70-'Table 5 Flows to Evap &amp; WTP'!N70-'Table 5 Flows to Evap &amp; WTP'!M70</f>
        <v>350</v>
      </c>
      <c r="E64" s="94">
        <v>269.5</v>
      </c>
      <c r="F64" s="94">
        <f t="shared" si="8"/>
        <v>619.5</v>
      </c>
      <c r="G64" s="110">
        <f t="shared" si="6"/>
        <v>0.2</v>
      </c>
      <c r="H64" s="94">
        <f t="shared" si="7"/>
        <v>123.9</v>
      </c>
      <c r="I64" s="100">
        <f t="shared" si="1"/>
        <v>495.6</v>
      </c>
      <c r="J64" s="94">
        <f t="shared" si="2"/>
        <v>255.5</v>
      </c>
      <c r="K64" s="111">
        <f t="shared" si="9"/>
        <v>751.1</v>
      </c>
      <c r="L64" s="36"/>
      <c r="M64" s="36"/>
      <c r="N64" s="14"/>
      <c r="O64" s="34">
        <f>'Table 7 WTP Sulfate Balance'!I66</f>
        <v>499.84156570363467</v>
      </c>
      <c r="P64" s="44">
        <f t="shared" si="4"/>
        <v>7.003728813559321</v>
      </c>
      <c r="Q64" s="44">
        <f t="shared" si="5"/>
        <v>7.1997576887232047</v>
      </c>
      <c r="R64"/>
    </row>
    <row r="65" spans="2:18" ht="13.5" hidden="1" thickTop="1" x14ac:dyDescent="0.2">
      <c r="B65" s="92">
        <f>'Table 5 Flows to Evap &amp; WTP'!B71</f>
        <v>66</v>
      </c>
      <c r="C65" s="94">
        <f>'Table 5 Flows to Evap &amp; WTP'!N71+'Table 5 Flows to Evap &amp; WTP'!M71</f>
        <v>525</v>
      </c>
      <c r="D65" s="94">
        <f>'Table 5 Flows to Evap &amp; WTP'!K71-'Table 5 Flows to Evap &amp; WTP'!N71-'Table 5 Flows to Evap &amp; WTP'!M71</f>
        <v>350</v>
      </c>
      <c r="E65" s="94">
        <v>269.5</v>
      </c>
      <c r="F65" s="94">
        <f t="shared" si="8"/>
        <v>619.5</v>
      </c>
      <c r="G65" s="110">
        <f t="shared" si="6"/>
        <v>0.2</v>
      </c>
      <c r="H65" s="94">
        <f t="shared" si="7"/>
        <v>123.9</v>
      </c>
      <c r="I65" s="100">
        <f t="shared" si="1"/>
        <v>495.6</v>
      </c>
      <c r="J65" s="94">
        <f t="shared" si="2"/>
        <v>255.5</v>
      </c>
      <c r="K65" s="111">
        <f t="shared" si="9"/>
        <v>751.1</v>
      </c>
      <c r="L65" s="36"/>
      <c r="M65" s="36"/>
      <c r="N65" s="14"/>
      <c r="O65" s="34">
        <f>'Table 7 WTP Sulfate Balance'!I67</f>
        <v>499.84156570363467</v>
      </c>
      <c r="P65" s="44">
        <f t="shared" si="4"/>
        <v>7.003728813559321</v>
      </c>
      <c r="Q65" s="44">
        <f t="shared" si="5"/>
        <v>7.1997576887232047</v>
      </c>
      <c r="R65"/>
    </row>
    <row r="66" spans="2:18" ht="13.5" hidden="1" thickTop="1" x14ac:dyDescent="0.2">
      <c r="B66" s="92">
        <f>'Table 5 Flows to Evap &amp; WTP'!B72</f>
        <v>67</v>
      </c>
      <c r="C66" s="94">
        <f>'Table 5 Flows to Evap &amp; WTP'!N72+'Table 5 Flows to Evap &amp; WTP'!M72</f>
        <v>525</v>
      </c>
      <c r="D66" s="94">
        <f>'Table 5 Flows to Evap &amp; WTP'!K72-'Table 5 Flows to Evap &amp; WTP'!N72-'Table 5 Flows to Evap &amp; WTP'!M72</f>
        <v>350</v>
      </c>
      <c r="E66" s="94">
        <v>269.5</v>
      </c>
      <c r="F66" s="94">
        <f t="shared" si="8"/>
        <v>619.5</v>
      </c>
      <c r="G66" s="110">
        <f t="shared" si="6"/>
        <v>0.2</v>
      </c>
      <c r="H66" s="94">
        <f t="shared" si="7"/>
        <v>123.9</v>
      </c>
      <c r="I66" s="100">
        <f t="shared" si="1"/>
        <v>495.6</v>
      </c>
      <c r="J66" s="94">
        <f t="shared" si="2"/>
        <v>255.5</v>
      </c>
      <c r="K66" s="111">
        <f t="shared" si="9"/>
        <v>751.1</v>
      </c>
      <c r="L66" s="36"/>
      <c r="M66" s="36"/>
      <c r="N66" s="14"/>
      <c r="O66" s="34">
        <f>'Table 7 WTP Sulfate Balance'!I68</f>
        <v>499.84156570363467</v>
      </c>
      <c r="P66" s="44">
        <f t="shared" si="4"/>
        <v>7.003728813559321</v>
      </c>
      <c r="Q66" s="44">
        <f t="shared" si="5"/>
        <v>7.1997576887232047</v>
      </c>
      <c r="R66"/>
    </row>
    <row r="67" spans="2:18" ht="13.5" hidden="1" thickTop="1" x14ac:dyDescent="0.2">
      <c r="B67" s="92">
        <f>'Table 5 Flows to Evap &amp; WTP'!B73</f>
        <v>68</v>
      </c>
      <c r="C67" s="94">
        <f>'Table 5 Flows to Evap &amp; WTP'!N73+'Table 5 Flows to Evap &amp; WTP'!M73</f>
        <v>525</v>
      </c>
      <c r="D67" s="94">
        <f>'Table 5 Flows to Evap &amp; WTP'!K73-'Table 5 Flows to Evap &amp; WTP'!N73-'Table 5 Flows to Evap &amp; WTP'!M73</f>
        <v>350</v>
      </c>
      <c r="E67" s="94">
        <v>269.5</v>
      </c>
      <c r="F67" s="94">
        <f t="shared" si="8"/>
        <v>619.5</v>
      </c>
      <c r="G67" s="110">
        <f t="shared" si="6"/>
        <v>0.2</v>
      </c>
      <c r="H67" s="94">
        <f t="shared" si="7"/>
        <v>123.9</v>
      </c>
      <c r="I67" s="100">
        <f t="shared" si="1"/>
        <v>495.6</v>
      </c>
      <c r="J67" s="94">
        <f t="shared" si="2"/>
        <v>255.5</v>
      </c>
      <c r="K67" s="111">
        <f t="shared" si="9"/>
        <v>751.1</v>
      </c>
      <c r="L67" s="36"/>
      <c r="M67" s="36"/>
      <c r="N67" s="14"/>
      <c r="O67" s="34">
        <f>'Table 7 WTP Sulfate Balance'!I69</f>
        <v>499.84156570363467</v>
      </c>
      <c r="P67" s="44">
        <f t="shared" si="4"/>
        <v>7.003728813559321</v>
      </c>
      <c r="Q67" s="44">
        <f t="shared" si="5"/>
        <v>7.1997576887232047</v>
      </c>
      <c r="R67"/>
    </row>
    <row r="68" spans="2:18" ht="13.5" hidden="1" thickTop="1" x14ac:dyDescent="0.2">
      <c r="B68" s="92">
        <f>'Table 5 Flows to Evap &amp; WTP'!B74</f>
        <v>69</v>
      </c>
      <c r="C68" s="94">
        <f>'Table 5 Flows to Evap &amp; WTP'!N74+'Table 5 Flows to Evap &amp; WTP'!M74</f>
        <v>525</v>
      </c>
      <c r="D68" s="94">
        <f>'Table 5 Flows to Evap &amp; WTP'!K74-'Table 5 Flows to Evap &amp; WTP'!N74-'Table 5 Flows to Evap &amp; WTP'!M74</f>
        <v>350</v>
      </c>
      <c r="E68" s="94">
        <v>269.5</v>
      </c>
      <c r="F68" s="94">
        <f t="shared" si="8"/>
        <v>619.5</v>
      </c>
      <c r="G68" s="110">
        <f t="shared" si="6"/>
        <v>0.2</v>
      </c>
      <c r="H68" s="94">
        <f t="shared" si="7"/>
        <v>123.9</v>
      </c>
      <c r="I68" s="100">
        <f t="shared" si="1"/>
        <v>495.6</v>
      </c>
      <c r="J68" s="94">
        <f t="shared" si="2"/>
        <v>255.5</v>
      </c>
      <c r="K68" s="111">
        <f t="shared" si="9"/>
        <v>751.1</v>
      </c>
      <c r="L68" s="36"/>
      <c r="M68" s="36"/>
      <c r="N68" s="14"/>
      <c r="O68" s="34">
        <f>'Table 7 WTP Sulfate Balance'!I70</f>
        <v>499.84156570363467</v>
      </c>
      <c r="P68" s="44">
        <f t="shared" si="4"/>
        <v>7.003728813559321</v>
      </c>
      <c r="Q68" s="44">
        <f t="shared" si="5"/>
        <v>7.1997576887232047</v>
      </c>
      <c r="R68"/>
    </row>
    <row r="69" spans="2:18" ht="13.5" hidden="1" thickTop="1" x14ac:dyDescent="0.2">
      <c r="B69" s="92">
        <f>'Table 5 Flows to Evap &amp; WTP'!B75</f>
        <v>70</v>
      </c>
      <c r="C69" s="94">
        <f>'Table 5 Flows to Evap &amp; WTP'!N75+'Table 5 Flows to Evap &amp; WTP'!M75</f>
        <v>525</v>
      </c>
      <c r="D69" s="94">
        <f>'Table 5 Flows to Evap &amp; WTP'!K75-'Table 5 Flows to Evap &amp; WTP'!N75-'Table 5 Flows to Evap &amp; WTP'!M75</f>
        <v>350</v>
      </c>
      <c r="E69" s="94">
        <v>269.5</v>
      </c>
      <c r="F69" s="94">
        <f t="shared" si="8"/>
        <v>619.5</v>
      </c>
      <c r="G69" s="110">
        <f t="shared" si="6"/>
        <v>0.2</v>
      </c>
      <c r="H69" s="94">
        <f t="shared" si="7"/>
        <v>123.9</v>
      </c>
      <c r="I69" s="100">
        <f t="shared" si="1"/>
        <v>495.6</v>
      </c>
      <c r="J69" s="94">
        <f t="shared" si="2"/>
        <v>255.5</v>
      </c>
      <c r="K69" s="111">
        <f t="shared" ref="K69:K99" si="10">I69+J69</f>
        <v>751.1</v>
      </c>
      <c r="L69" s="36"/>
      <c r="M69" s="36"/>
      <c r="N69" s="14"/>
      <c r="O69" s="34">
        <f>'Table 7 WTP Sulfate Balance'!I71</f>
        <v>499.84156570363467</v>
      </c>
      <c r="P69" s="44">
        <f t="shared" si="4"/>
        <v>7.003728813559321</v>
      </c>
      <c r="Q69" s="44">
        <f t="shared" si="5"/>
        <v>7.1997576887232047</v>
      </c>
      <c r="R69"/>
    </row>
    <row r="70" spans="2:18" ht="13.5" hidden="1" thickTop="1" x14ac:dyDescent="0.2">
      <c r="B70" s="92">
        <f>'Table 5 Flows to Evap &amp; WTP'!B76</f>
        <v>71</v>
      </c>
      <c r="C70" s="94">
        <f>'Table 5 Flows to Evap &amp; WTP'!N76+'Table 5 Flows to Evap &amp; WTP'!M76</f>
        <v>525</v>
      </c>
      <c r="D70" s="94">
        <f>'Table 5 Flows to Evap &amp; WTP'!K76-'Table 5 Flows to Evap &amp; WTP'!N76-'Table 5 Flows to Evap &amp; WTP'!M76</f>
        <v>350</v>
      </c>
      <c r="E70" s="94">
        <v>269.5</v>
      </c>
      <c r="F70" s="94">
        <f t="shared" si="8"/>
        <v>619.5</v>
      </c>
      <c r="G70" s="110">
        <f t="shared" si="6"/>
        <v>0.2</v>
      </c>
      <c r="H70" s="94">
        <f t="shared" si="7"/>
        <v>123.9</v>
      </c>
      <c r="I70" s="100">
        <f t="shared" ref="I70:I99" si="11">F70-H70</f>
        <v>495.6</v>
      </c>
      <c r="J70" s="94">
        <f t="shared" ref="J70:J99" si="12">C70-E70</f>
        <v>255.5</v>
      </c>
      <c r="K70" s="111">
        <f t="shared" si="10"/>
        <v>751.1</v>
      </c>
      <c r="L70" s="36"/>
      <c r="M70" s="36"/>
      <c r="N70" s="14"/>
      <c r="O70" s="34">
        <f>'Table 7 WTP Sulfate Balance'!I72</f>
        <v>499.84156570363467</v>
      </c>
      <c r="P70" s="44">
        <f t="shared" ref="P70:P99" si="13">((E70*7.58)+(D70*6.56))/F70</f>
        <v>7.003728813559321</v>
      </c>
      <c r="Q70" s="44">
        <f t="shared" ref="Q70:Q99" si="14">((P70*I70)+(7.58*J70))/K70</f>
        <v>7.1997576887232047</v>
      </c>
      <c r="R70"/>
    </row>
    <row r="71" spans="2:18" ht="13.5" hidden="1" thickTop="1" x14ac:dyDescent="0.2">
      <c r="B71" s="92">
        <f>'Table 5 Flows to Evap &amp; WTP'!B77</f>
        <v>72</v>
      </c>
      <c r="C71" s="94">
        <f>'Table 5 Flows to Evap &amp; WTP'!N77+'Table 5 Flows to Evap &amp; WTP'!M77</f>
        <v>525</v>
      </c>
      <c r="D71" s="94">
        <f>'Table 5 Flows to Evap &amp; WTP'!K77-'Table 5 Flows to Evap &amp; WTP'!N77-'Table 5 Flows to Evap &amp; WTP'!M77</f>
        <v>350</v>
      </c>
      <c r="E71" s="94">
        <v>269.5</v>
      </c>
      <c r="F71" s="94">
        <f t="shared" si="8"/>
        <v>619.5</v>
      </c>
      <c r="G71" s="110">
        <f t="shared" ref="G71:G99" si="15">G70</f>
        <v>0.2</v>
      </c>
      <c r="H71" s="94">
        <f t="shared" si="7"/>
        <v>123.9</v>
      </c>
      <c r="I71" s="100">
        <f t="shared" si="11"/>
        <v>495.6</v>
      </c>
      <c r="J71" s="94">
        <f t="shared" si="12"/>
        <v>255.5</v>
      </c>
      <c r="K71" s="111">
        <f t="shared" si="10"/>
        <v>751.1</v>
      </c>
      <c r="L71" s="36"/>
      <c r="M71" s="36"/>
      <c r="N71" s="14"/>
      <c r="O71" s="34">
        <f>'Table 7 WTP Sulfate Balance'!I73</f>
        <v>499.84156570363467</v>
      </c>
      <c r="P71" s="44">
        <f t="shared" si="13"/>
        <v>7.003728813559321</v>
      </c>
      <c r="Q71" s="44">
        <f t="shared" si="14"/>
        <v>7.1997576887232047</v>
      </c>
      <c r="R71"/>
    </row>
    <row r="72" spans="2:18" ht="13.5" hidden="1" thickTop="1" x14ac:dyDescent="0.2">
      <c r="B72" s="92">
        <f>'Table 5 Flows to Evap &amp; WTP'!B78</f>
        <v>73</v>
      </c>
      <c r="C72" s="94">
        <f>'Table 5 Flows to Evap &amp; WTP'!N78+'Table 5 Flows to Evap &amp; WTP'!M78</f>
        <v>525</v>
      </c>
      <c r="D72" s="94">
        <f>'Table 5 Flows to Evap &amp; WTP'!K78-'Table 5 Flows to Evap &amp; WTP'!N78-'Table 5 Flows to Evap &amp; WTP'!M78</f>
        <v>350</v>
      </c>
      <c r="E72" s="94">
        <v>269.5</v>
      </c>
      <c r="F72" s="94">
        <f t="shared" si="8"/>
        <v>619.5</v>
      </c>
      <c r="G72" s="110">
        <f t="shared" si="15"/>
        <v>0.2</v>
      </c>
      <c r="H72" s="94">
        <f t="shared" ref="H72:H99" si="16">F72*G72</f>
        <v>123.9</v>
      </c>
      <c r="I72" s="100">
        <f t="shared" si="11"/>
        <v>495.6</v>
      </c>
      <c r="J72" s="94">
        <f t="shared" si="12"/>
        <v>255.5</v>
      </c>
      <c r="K72" s="111">
        <f t="shared" si="10"/>
        <v>751.1</v>
      </c>
      <c r="L72" s="36"/>
      <c r="M72" s="36"/>
      <c r="N72" s="14"/>
      <c r="O72" s="34">
        <f>'Table 7 WTP Sulfate Balance'!I74</f>
        <v>499.84156570363467</v>
      </c>
      <c r="P72" s="44">
        <f t="shared" si="13"/>
        <v>7.003728813559321</v>
      </c>
      <c r="Q72" s="44">
        <f t="shared" si="14"/>
        <v>7.1997576887232047</v>
      </c>
      <c r="R72"/>
    </row>
    <row r="73" spans="2:18" ht="13.5" hidden="1" thickTop="1" x14ac:dyDescent="0.2">
      <c r="B73" s="92">
        <f>'Table 5 Flows to Evap &amp; WTP'!B79</f>
        <v>74</v>
      </c>
      <c r="C73" s="94">
        <f>'Table 5 Flows to Evap &amp; WTP'!N79+'Table 5 Flows to Evap &amp; WTP'!M79</f>
        <v>525</v>
      </c>
      <c r="D73" s="94">
        <f>'Table 5 Flows to Evap &amp; WTP'!K79-'Table 5 Flows to Evap &amp; WTP'!N79-'Table 5 Flows to Evap &amp; WTP'!M79</f>
        <v>350</v>
      </c>
      <c r="E73" s="94">
        <v>269.5</v>
      </c>
      <c r="F73" s="94">
        <f t="shared" si="8"/>
        <v>619.5</v>
      </c>
      <c r="G73" s="110">
        <f t="shared" si="15"/>
        <v>0.2</v>
      </c>
      <c r="H73" s="94">
        <f t="shared" si="16"/>
        <v>123.9</v>
      </c>
      <c r="I73" s="100">
        <f t="shared" si="11"/>
        <v>495.6</v>
      </c>
      <c r="J73" s="94">
        <f t="shared" si="12"/>
        <v>255.5</v>
      </c>
      <c r="K73" s="111">
        <f t="shared" si="10"/>
        <v>751.1</v>
      </c>
      <c r="L73" s="36"/>
      <c r="M73" s="36"/>
      <c r="N73" s="14"/>
      <c r="O73" s="34">
        <f>'Table 7 WTP Sulfate Balance'!I75</f>
        <v>499.84156570363467</v>
      </c>
      <c r="P73" s="44">
        <f t="shared" si="13"/>
        <v>7.003728813559321</v>
      </c>
      <c r="Q73" s="44">
        <f t="shared" si="14"/>
        <v>7.1997576887232047</v>
      </c>
      <c r="R73"/>
    </row>
    <row r="74" spans="2:18" ht="13.5" hidden="1" thickTop="1" x14ac:dyDescent="0.2">
      <c r="B74" s="92">
        <f>'Table 5 Flows to Evap &amp; WTP'!B80</f>
        <v>75</v>
      </c>
      <c r="C74" s="94">
        <f>'Table 5 Flows to Evap &amp; WTP'!N80+'Table 5 Flows to Evap &amp; WTP'!M80</f>
        <v>525</v>
      </c>
      <c r="D74" s="94">
        <f>'Table 5 Flows to Evap &amp; WTP'!K80-'Table 5 Flows to Evap &amp; WTP'!N80-'Table 5 Flows to Evap &amp; WTP'!M80</f>
        <v>350</v>
      </c>
      <c r="E74" s="94">
        <v>269.5</v>
      </c>
      <c r="F74" s="94">
        <f t="shared" ref="F74:F99" si="17">E74+D74</f>
        <v>619.5</v>
      </c>
      <c r="G74" s="110">
        <f t="shared" si="15"/>
        <v>0.2</v>
      </c>
      <c r="H74" s="94">
        <f t="shared" si="16"/>
        <v>123.9</v>
      </c>
      <c r="I74" s="100">
        <f t="shared" si="11"/>
        <v>495.6</v>
      </c>
      <c r="J74" s="94">
        <f t="shared" si="12"/>
        <v>255.5</v>
      </c>
      <c r="K74" s="111">
        <f t="shared" si="10"/>
        <v>751.1</v>
      </c>
      <c r="L74" s="36"/>
      <c r="M74" s="36"/>
      <c r="N74" s="14"/>
      <c r="O74" s="34">
        <f>'Table 7 WTP Sulfate Balance'!I76</f>
        <v>499.84156570363467</v>
      </c>
      <c r="P74" s="44">
        <f t="shared" si="13"/>
        <v>7.003728813559321</v>
      </c>
      <c r="Q74" s="44">
        <f t="shared" si="14"/>
        <v>7.1997576887232047</v>
      </c>
      <c r="R74"/>
    </row>
    <row r="75" spans="2:18" ht="13.5" hidden="1" thickTop="1" x14ac:dyDescent="0.2">
      <c r="B75" s="92">
        <f>'Table 5 Flows to Evap &amp; WTP'!B81</f>
        <v>76</v>
      </c>
      <c r="C75" s="94">
        <f>'Table 5 Flows to Evap &amp; WTP'!N81+'Table 5 Flows to Evap &amp; WTP'!M81</f>
        <v>525</v>
      </c>
      <c r="D75" s="94">
        <f>'Table 5 Flows to Evap &amp; WTP'!K81-'Table 5 Flows to Evap &amp; WTP'!N81-'Table 5 Flows to Evap &amp; WTP'!M81</f>
        <v>350</v>
      </c>
      <c r="E75" s="94">
        <v>269.5</v>
      </c>
      <c r="F75" s="94">
        <f t="shared" si="17"/>
        <v>619.5</v>
      </c>
      <c r="G75" s="110">
        <f t="shared" si="15"/>
        <v>0.2</v>
      </c>
      <c r="H75" s="94">
        <f t="shared" si="16"/>
        <v>123.9</v>
      </c>
      <c r="I75" s="100">
        <f t="shared" si="11"/>
        <v>495.6</v>
      </c>
      <c r="J75" s="94">
        <f t="shared" si="12"/>
        <v>255.5</v>
      </c>
      <c r="K75" s="111">
        <f t="shared" si="10"/>
        <v>751.1</v>
      </c>
      <c r="L75" s="36"/>
      <c r="M75" s="36"/>
      <c r="N75" s="14"/>
      <c r="O75" s="34">
        <f>'Table 7 WTP Sulfate Balance'!I77</f>
        <v>499.84156570363467</v>
      </c>
      <c r="P75" s="44">
        <f t="shared" si="13"/>
        <v>7.003728813559321</v>
      </c>
      <c r="Q75" s="44">
        <f t="shared" si="14"/>
        <v>7.1997576887232047</v>
      </c>
      <c r="R75"/>
    </row>
    <row r="76" spans="2:18" ht="13.5" hidden="1" thickTop="1" x14ac:dyDescent="0.2">
      <c r="B76" s="92">
        <f>'Table 5 Flows to Evap &amp; WTP'!B82</f>
        <v>77</v>
      </c>
      <c r="C76" s="94">
        <f>'Table 5 Flows to Evap &amp; WTP'!N82+'Table 5 Flows to Evap &amp; WTP'!M82</f>
        <v>525</v>
      </c>
      <c r="D76" s="94">
        <f>'Table 5 Flows to Evap &amp; WTP'!K82-'Table 5 Flows to Evap &amp; WTP'!N82-'Table 5 Flows to Evap &amp; WTP'!M82</f>
        <v>350</v>
      </c>
      <c r="E76" s="94">
        <v>269.5</v>
      </c>
      <c r="F76" s="94">
        <f t="shared" si="17"/>
        <v>619.5</v>
      </c>
      <c r="G76" s="110">
        <f t="shared" si="15"/>
        <v>0.2</v>
      </c>
      <c r="H76" s="94">
        <f t="shared" si="16"/>
        <v>123.9</v>
      </c>
      <c r="I76" s="100">
        <f t="shared" si="11"/>
        <v>495.6</v>
      </c>
      <c r="J76" s="94">
        <f t="shared" si="12"/>
        <v>255.5</v>
      </c>
      <c r="K76" s="111">
        <f t="shared" si="10"/>
        <v>751.1</v>
      </c>
      <c r="L76" s="36"/>
      <c r="M76" s="36"/>
      <c r="N76" s="14"/>
      <c r="O76" s="34">
        <f>'Table 7 WTP Sulfate Balance'!I78</f>
        <v>499.84156570363467</v>
      </c>
      <c r="P76" s="44">
        <f t="shared" si="13"/>
        <v>7.003728813559321</v>
      </c>
      <c r="Q76" s="44">
        <f t="shared" si="14"/>
        <v>7.1997576887232047</v>
      </c>
      <c r="R76"/>
    </row>
    <row r="77" spans="2:18" ht="13.5" hidden="1" thickTop="1" x14ac:dyDescent="0.2">
      <c r="B77" s="92">
        <f>'Table 5 Flows to Evap &amp; WTP'!B83</f>
        <v>78</v>
      </c>
      <c r="C77" s="94">
        <f>'Table 5 Flows to Evap &amp; WTP'!N83+'Table 5 Flows to Evap &amp; WTP'!M83</f>
        <v>525</v>
      </c>
      <c r="D77" s="94">
        <f>'Table 5 Flows to Evap &amp; WTP'!K83-'Table 5 Flows to Evap &amp; WTP'!N83-'Table 5 Flows to Evap &amp; WTP'!M83</f>
        <v>350</v>
      </c>
      <c r="E77" s="94">
        <v>269.5</v>
      </c>
      <c r="F77" s="94">
        <f t="shared" si="17"/>
        <v>619.5</v>
      </c>
      <c r="G77" s="110">
        <f t="shared" si="15"/>
        <v>0.2</v>
      </c>
      <c r="H77" s="94">
        <f t="shared" si="16"/>
        <v>123.9</v>
      </c>
      <c r="I77" s="100">
        <f t="shared" si="11"/>
        <v>495.6</v>
      </c>
      <c r="J77" s="94">
        <f t="shared" si="12"/>
        <v>255.5</v>
      </c>
      <c r="K77" s="111">
        <f t="shared" si="10"/>
        <v>751.1</v>
      </c>
      <c r="L77" s="36"/>
      <c r="M77" s="36"/>
      <c r="N77" s="14"/>
      <c r="O77" s="34">
        <f>'Table 7 WTP Sulfate Balance'!I79</f>
        <v>499.84156570363467</v>
      </c>
      <c r="P77" s="44">
        <f t="shared" si="13"/>
        <v>7.003728813559321</v>
      </c>
      <c r="Q77" s="44">
        <f t="shared" si="14"/>
        <v>7.1997576887232047</v>
      </c>
      <c r="R77"/>
    </row>
    <row r="78" spans="2:18" ht="13.5" hidden="1" thickTop="1" x14ac:dyDescent="0.2">
      <c r="B78" s="92">
        <f>'Table 5 Flows to Evap &amp; WTP'!B84</f>
        <v>79</v>
      </c>
      <c r="C78" s="94">
        <f>'Table 5 Flows to Evap &amp; WTP'!N84+'Table 5 Flows to Evap &amp; WTP'!M84</f>
        <v>525</v>
      </c>
      <c r="D78" s="94">
        <f>'Table 5 Flows to Evap &amp; WTP'!K84-'Table 5 Flows to Evap &amp; WTP'!N84-'Table 5 Flows to Evap &amp; WTP'!M84</f>
        <v>350</v>
      </c>
      <c r="E78" s="94">
        <v>269.5</v>
      </c>
      <c r="F78" s="94">
        <f t="shared" si="17"/>
        <v>619.5</v>
      </c>
      <c r="G78" s="110">
        <f t="shared" si="15"/>
        <v>0.2</v>
      </c>
      <c r="H78" s="94">
        <f t="shared" si="16"/>
        <v>123.9</v>
      </c>
      <c r="I78" s="100">
        <f t="shared" si="11"/>
        <v>495.6</v>
      </c>
      <c r="J78" s="94">
        <f t="shared" si="12"/>
        <v>255.5</v>
      </c>
      <c r="K78" s="111">
        <f t="shared" si="10"/>
        <v>751.1</v>
      </c>
      <c r="L78" s="36"/>
      <c r="M78" s="36"/>
      <c r="N78" s="14"/>
      <c r="O78" s="34">
        <f>'Table 7 WTP Sulfate Balance'!I80</f>
        <v>499.84156570363467</v>
      </c>
      <c r="P78" s="44">
        <f t="shared" si="13"/>
        <v>7.003728813559321</v>
      </c>
      <c r="Q78" s="44">
        <f t="shared" si="14"/>
        <v>7.1997576887232047</v>
      </c>
      <c r="R78"/>
    </row>
    <row r="79" spans="2:18" ht="13.5" hidden="1" thickTop="1" x14ac:dyDescent="0.2">
      <c r="B79" s="92">
        <f>'Table 5 Flows to Evap &amp; WTP'!B85</f>
        <v>80</v>
      </c>
      <c r="C79" s="94">
        <f>'Table 5 Flows to Evap &amp; WTP'!N85+'Table 5 Flows to Evap &amp; WTP'!M85</f>
        <v>525</v>
      </c>
      <c r="D79" s="94">
        <f>'Table 5 Flows to Evap &amp; WTP'!K85-'Table 5 Flows to Evap &amp; WTP'!N85-'Table 5 Flows to Evap &amp; WTP'!M85</f>
        <v>350</v>
      </c>
      <c r="E79" s="94">
        <v>269.5</v>
      </c>
      <c r="F79" s="94">
        <f t="shared" si="17"/>
        <v>619.5</v>
      </c>
      <c r="G79" s="110">
        <f t="shared" si="15"/>
        <v>0.2</v>
      </c>
      <c r="H79" s="94">
        <f t="shared" si="16"/>
        <v>123.9</v>
      </c>
      <c r="I79" s="100">
        <f t="shared" si="11"/>
        <v>495.6</v>
      </c>
      <c r="J79" s="94">
        <f t="shared" si="12"/>
        <v>255.5</v>
      </c>
      <c r="K79" s="111">
        <f t="shared" si="10"/>
        <v>751.1</v>
      </c>
      <c r="L79" s="36"/>
      <c r="M79" s="36"/>
      <c r="N79" s="14"/>
      <c r="O79" s="34">
        <f>'Table 7 WTP Sulfate Balance'!I81</f>
        <v>499.84156570363467</v>
      </c>
      <c r="P79" s="44">
        <f t="shared" si="13"/>
        <v>7.003728813559321</v>
      </c>
      <c r="Q79" s="44">
        <f t="shared" si="14"/>
        <v>7.1997576887232047</v>
      </c>
      <c r="R79"/>
    </row>
    <row r="80" spans="2:18" ht="13.5" hidden="1" thickTop="1" x14ac:dyDescent="0.2">
      <c r="B80" s="92">
        <f>'Table 5 Flows to Evap &amp; WTP'!B86</f>
        <v>81</v>
      </c>
      <c r="C80" s="94">
        <f>'Table 5 Flows to Evap &amp; WTP'!N86+'Table 5 Flows to Evap &amp; WTP'!M86</f>
        <v>525</v>
      </c>
      <c r="D80" s="94">
        <f>'Table 5 Flows to Evap &amp; WTP'!K86-'Table 5 Flows to Evap &amp; WTP'!N86-'Table 5 Flows to Evap &amp; WTP'!M86</f>
        <v>350</v>
      </c>
      <c r="E80" s="94">
        <v>269.5</v>
      </c>
      <c r="F80" s="94">
        <f t="shared" si="17"/>
        <v>619.5</v>
      </c>
      <c r="G80" s="110">
        <f t="shared" si="15"/>
        <v>0.2</v>
      </c>
      <c r="H80" s="94">
        <f t="shared" si="16"/>
        <v>123.9</v>
      </c>
      <c r="I80" s="100">
        <f t="shared" si="11"/>
        <v>495.6</v>
      </c>
      <c r="J80" s="94">
        <f t="shared" si="12"/>
        <v>255.5</v>
      </c>
      <c r="K80" s="111">
        <f t="shared" si="10"/>
        <v>751.1</v>
      </c>
      <c r="L80" s="36"/>
      <c r="M80" s="36"/>
      <c r="N80" s="14"/>
      <c r="O80" s="34">
        <f>'Table 7 WTP Sulfate Balance'!I82</f>
        <v>499.84156570363467</v>
      </c>
      <c r="P80" s="44">
        <f t="shared" si="13"/>
        <v>7.003728813559321</v>
      </c>
      <c r="Q80" s="44">
        <f t="shared" si="14"/>
        <v>7.1997576887232047</v>
      </c>
      <c r="R80"/>
    </row>
    <row r="81" spans="2:18" ht="13.5" hidden="1" thickTop="1" x14ac:dyDescent="0.2">
      <c r="B81" s="92">
        <f>'Table 5 Flows to Evap &amp; WTP'!B87</f>
        <v>82</v>
      </c>
      <c r="C81" s="94">
        <f>'Table 5 Flows to Evap &amp; WTP'!N87+'Table 5 Flows to Evap &amp; WTP'!M87</f>
        <v>525</v>
      </c>
      <c r="D81" s="94">
        <f>'Table 5 Flows to Evap &amp; WTP'!K87-'Table 5 Flows to Evap &amp; WTP'!N87-'Table 5 Flows to Evap &amp; WTP'!M87</f>
        <v>350</v>
      </c>
      <c r="E81" s="94">
        <v>269.5</v>
      </c>
      <c r="F81" s="94">
        <f t="shared" si="17"/>
        <v>619.5</v>
      </c>
      <c r="G81" s="110">
        <f t="shared" si="15"/>
        <v>0.2</v>
      </c>
      <c r="H81" s="94">
        <f t="shared" si="16"/>
        <v>123.9</v>
      </c>
      <c r="I81" s="100">
        <f t="shared" si="11"/>
        <v>495.6</v>
      </c>
      <c r="J81" s="94">
        <f t="shared" si="12"/>
        <v>255.5</v>
      </c>
      <c r="K81" s="111">
        <f t="shared" si="10"/>
        <v>751.1</v>
      </c>
      <c r="L81" s="36"/>
      <c r="M81" s="36"/>
      <c r="N81" s="14"/>
      <c r="O81" s="34">
        <f>'Table 7 WTP Sulfate Balance'!I83</f>
        <v>499.84156570363467</v>
      </c>
      <c r="P81" s="44">
        <f t="shared" si="13"/>
        <v>7.003728813559321</v>
      </c>
      <c r="Q81" s="44">
        <f t="shared" si="14"/>
        <v>7.1997576887232047</v>
      </c>
      <c r="R81"/>
    </row>
    <row r="82" spans="2:18" ht="13.5" hidden="1" thickTop="1" x14ac:dyDescent="0.2">
      <c r="B82" s="92">
        <f>'Table 5 Flows to Evap &amp; WTP'!B88</f>
        <v>83</v>
      </c>
      <c r="C82" s="94">
        <f>'Table 5 Flows to Evap &amp; WTP'!N88+'Table 5 Flows to Evap &amp; WTP'!M88</f>
        <v>525</v>
      </c>
      <c r="D82" s="94">
        <f>'Table 5 Flows to Evap &amp; WTP'!K88-'Table 5 Flows to Evap &amp; WTP'!N88-'Table 5 Flows to Evap &amp; WTP'!M88</f>
        <v>350</v>
      </c>
      <c r="E82" s="94">
        <v>269.5</v>
      </c>
      <c r="F82" s="94">
        <f t="shared" si="17"/>
        <v>619.5</v>
      </c>
      <c r="G82" s="110">
        <f t="shared" si="15"/>
        <v>0.2</v>
      </c>
      <c r="H82" s="94">
        <f t="shared" si="16"/>
        <v>123.9</v>
      </c>
      <c r="I82" s="100">
        <f t="shared" si="11"/>
        <v>495.6</v>
      </c>
      <c r="J82" s="94">
        <f t="shared" si="12"/>
        <v>255.5</v>
      </c>
      <c r="K82" s="111">
        <f t="shared" si="10"/>
        <v>751.1</v>
      </c>
      <c r="L82" s="36"/>
      <c r="M82" s="36"/>
      <c r="N82" s="14"/>
      <c r="O82" s="34">
        <f>'Table 7 WTP Sulfate Balance'!I84</f>
        <v>499.84156570363467</v>
      </c>
      <c r="P82" s="44">
        <f t="shared" si="13"/>
        <v>7.003728813559321</v>
      </c>
      <c r="Q82" s="44">
        <f t="shared" si="14"/>
        <v>7.1997576887232047</v>
      </c>
      <c r="R82"/>
    </row>
    <row r="83" spans="2:18" ht="13.5" hidden="1" thickTop="1" x14ac:dyDescent="0.2">
      <c r="B83" s="92">
        <f>'Table 5 Flows to Evap &amp; WTP'!B89</f>
        <v>84</v>
      </c>
      <c r="C83" s="94">
        <f>'Table 5 Flows to Evap &amp; WTP'!N89+'Table 5 Flows to Evap &amp; WTP'!M89</f>
        <v>525</v>
      </c>
      <c r="D83" s="94">
        <f>'Table 5 Flows to Evap &amp; WTP'!K89-'Table 5 Flows to Evap &amp; WTP'!N89-'Table 5 Flows to Evap &amp; WTP'!M89</f>
        <v>350</v>
      </c>
      <c r="E83" s="94">
        <v>269.5</v>
      </c>
      <c r="F83" s="94">
        <f t="shared" si="17"/>
        <v>619.5</v>
      </c>
      <c r="G83" s="110">
        <f t="shared" si="15"/>
        <v>0.2</v>
      </c>
      <c r="H83" s="94">
        <f t="shared" si="16"/>
        <v>123.9</v>
      </c>
      <c r="I83" s="100">
        <f t="shared" si="11"/>
        <v>495.6</v>
      </c>
      <c r="J83" s="94">
        <f t="shared" si="12"/>
        <v>255.5</v>
      </c>
      <c r="K83" s="111">
        <f t="shared" si="10"/>
        <v>751.1</v>
      </c>
      <c r="L83" s="36"/>
      <c r="M83" s="36"/>
      <c r="N83" s="14"/>
      <c r="O83" s="34">
        <f>'Table 7 WTP Sulfate Balance'!I85</f>
        <v>499.84156570363467</v>
      </c>
      <c r="P83" s="44">
        <f t="shared" si="13"/>
        <v>7.003728813559321</v>
      </c>
      <c r="Q83" s="44">
        <f t="shared" si="14"/>
        <v>7.1997576887232047</v>
      </c>
      <c r="R83"/>
    </row>
    <row r="84" spans="2:18" ht="13.5" hidden="1" thickTop="1" x14ac:dyDescent="0.2">
      <c r="B84" s="92">
        <f>'Table 5 Flows to Evap &amp; WTP'!B90</f>
        <v>85</v>
      </c>
      <c r="C84" s="94">
        <f>'Table 5 Flows to Evap &amp; WTP'!N90+'Table 5 Flows to Evap &amp; WTP'!M90</f>
        <v>525</v>
      </c>
      <c r="D84" s="94">
        <f>'Table 5 Flows to Evap &amp; WTP'!K90-'Table 5 Flows to Evap &amp; WTP'!N90-'Table 5 Flows to Evap &amp; WTP'!M90</f>
        <v>350</v>
      </c>
      <c r="E84" s="94">
        <v>269.5</v>
      </c>
      <c r="F84" s="94">
        <f t="shared" si="17"/>
        <v>619.5</v>
      </c>
      <c r="G84" s="110">
        <f t="shared" si="15"/>
        <v>0.2</v>
      </c>
      <c r="H84" s="94">
        <f t="shared" si="16"/>
        <v>123.9</v>
      </c>
      <c r="I84" s="100">
        <f t="shared" si="11"/>
        <v>495.6</v>
      </c>
      <c r="J84" s="94">
        <f t="shared" si="12"/>
        <v>255.5</v>
      </c>
      <c r="K84" s="111">
        <f t="shared" si="10"/>
        <v>751.1</v>
      </c>
      <c r="L84" s="36"/>
      <c r="M84" s="36"/>
      <c r="N84" s="14"/>
      <c r="O84" s="34">
        <f>'Table 7 WTP Sulfate Balance'!I86</f>
        <v>499.84156570363467</v>
      </c>
      <c r="P84" s="44">
        <f t="shared" si="13"/>
        <v>7.003728813559321</v>
      </c>
      <c r="Q84" s="44">
        <f t="shared" si="14"/>
        <v>7.1997576887232047</v>
      </c>
      <c r="R84"/>
    </row>
    <row r="85" spans="2:18" ht="13.5" hidden="1" thickTop="1" x14ac:dyDescent="0.2">
      <c r="B85" s="92">
        <f>'Table 5 Flows to Evap &amp; WTP'!B91</f>
        <v>86</v>
      </c>
      <c r="C85" s="94">
        <f>'Table 5 Flows to Evap &amp; WTP'!N91+'Table 5 Flows to Evap &amp; WTP'!M91</f>
        <v>525</v>
      </c>
      <c r="D85" s="94">
        <f>'Table 5 Flows to Evap &amp; WTP'!K91-'Table 5 Flows to Evap &amp; WTP'!N91-'Table 5 Flows to Evap &amp; WTP'!M91</f>
        <v>350</v>
      </c>
      <c r="E85" s="94">
        <v>269.5</v>
      </c>
      <c r="F85" s="94">
        <f t="shared" si="17"/>
        <v>619.5</v>
      </c>
      <c r="G85" s="110">
        <f t="shared" si="15"/>
        <v>0.2</v>
      </c>
      <c r="H85" s="94">
        <f t="shared" si="16"/>
        <v>123.9</v>
      </c>
      <c r="I85" s="100">
        <f t="shared" si="11"/>
        <v>495.6</v>
      </c>
      <c r="J85" s="94">
        <f t="shared" si="12"/>
        <v>255.5</v>
      </c>
      <c r="K85" s="111">
        <f t="shared" si="10"/>
        <v>751.1</v>
      </c>
      <c r="L85" s="36"/>
      <c r="M85" s="36"/>
      <c r="N85" s="14"/>
      <c r="O85" s="34">
        <f>'Table 7 WTP Sulfate Balance'!I87</f>
        <v>499.84156570363467</v>
      </c>
      <c r="P85" s="44">
        <f t="shared" si="13"/>
        <v>7.003728813559321</v>
      </c>
      <c r="Q85" s="44">
        <f t="shared" si="14"/>
        <v>7.1997576887232047</v>
      </c>
      <c r="R85"/>
    </row>
    <row r="86" spans="2:18" ht="13.5" hidden="1" thickTop="1" x14ac:dyDescent="0.2">
      <c r="B86" s="92">
        <f>'Table 5 Flows to Evap &amp; WTP'!B92</f>
        <v>87</v>
      </c>
      <c r="C86" s="94">
        <f>'Table 5 Flows to Evap &amp; WTP'!N92+'Table 5 Flows to Evap &amp; WTP'!M92</f>
        <v>525</v>
      </c>
      <c r="D86" s="94">
        <f>'Table 5 Flows to Evap &amp; WTP'!K92-'Table 5 Flows to Evap &amp; WTP'!N92-'Table 5 Flows to Evap &amp; WTP'!M92</f>
        <v>350</v>
      </c>
      <c r="E86" s="94">
        <v>269.5</v>
      </c>
      <c r="F86" s="94">
        <f t="shared" si="17"/>
        <v>619.5</v>
      </c>
      <c r="G86" s="110">
        <f t="shared" si="15"/>
        <v>0.2</v>
      </c>
      <c r="H86" s="94">
        <f t="shared" si="16"/>
        <v>123.9</v>
      </c>
      <c r="I86" s="100">
        <f t="shared" si="11"/>
        <v>495.6</v>
      </c>
      <c r="J86" s="94">
        <f t="shared" si="12"/>
        <v>255.5</v>
      </c>
      <c r="K86" s="111">
        <f t="shared" si="10"/>
        <v>751.1</v>
      </c>
      <c r="L86" s="36"/>
      <c r="M86" s="36"/>
      <c r="N86" s="14"/>
      <c r="O86" s="34">
        <f>'Table 7 WTP Sulfate Balance'!I88</f>
        <v>499.84156570363467</v>
      </c>
      <c r="P86" s="44">
        <f t="shared" si="13"/>
        <v>7.003728813559321</v>
      </c>
      <c r="Q86" s="44">
        <f t="shared" si="14"/>
        <v>7.1997576887232047</v>
      </c>
      <c r="R86"/>
    </row>
    <row r="87" spans="2:18" ht="13.5" hidden="1" thickTop="1" x14ac:dyDescent="0.2">
      <c r="B87" s="92">
        <f>'Table 5 Flows to Evap &amp; WTP'!B93</f>
        <v>88</v>
      </c>
      <c r="C87" s="94">
        <f>'Table 5 Flows to Evap &amp; WTP'!N93+'Table 5 Flows to Evap &amp; WTP'!M93</f>
        <v>525</v>
      </c>
      <c r="D87" s="94">
        <f>'Table 5 Flows to Evap &amp; WTP'!K93-'Table 5 Flows to Evap &amp; WTP'!N93-'Table 5 Flows to Evap &amp; WTP'!M93</f>
        <v>350</v>
      </c>
      <c r="E87" s="94">
        <v>269.5</v>
      </c>
      <c r="F87" s="94">
        <f t="shared" si="17"/>
        <v>619.5</v>
      </c>
      <c r="G87" s="110">
        <f t="shared" si="15"/>
        <v>0.2</v>
      </c>
      <c r="H87" s="94">
        <f t="shared" si="16"/>
        <v>123.9</v>
      </c>
      <c r="I87" s="100">
        <f t="shared" si="11"/>
        <v>495.6</v>
      </c>
      <c r="J87" s="94">
        <f t="shared" si="12"/>
        <v>255.5</v>
      </c>
      <c r="K87" s="111">
        <f t="shared" si="10"/>
        <v>751.1</v>
      </c>
      <c r="L87" s="36"/>
      <c r="M87" s="36"/>
      <c r="N87" s="14"/>
      <c r="O87" s="34">
        <f>'Table 7 WTP Sulfate Balance'!I89</f>
        <v>499.84156570363467</v>
      </c>
      <c r="P87" s="44">
        <f t="shared" si="13"/>
        <v>7.003728813559321</v>
      </c>
      <c r="Q87" s="44">
        <f t="shared" si="14"/>
        <v>7.1997576887232047</v>
      </c>
      <c r="R87"/>
    </row>
    <row r="88" spans="2:18" ht="13.5" hidden="1" thickTop="1" x14ac:dyDescent="0.2">
      <c r="B88" s="92">
        <f>'Table 5 Flows to Evap &amp; WTP'!B94</f>
        <v>89</v>
      </c>
      <c r="C88" s="94">
        <f>'Table 5 Flows to Evap &amp; WTP'!N94+'Table 5 Flows to Evap &amp; WTP'!M94</f>
        <v>525</v>
      </c>
      <c r="D88" s="94">
        <f>'Table 5 Flows to Evap &amp; WTP'!K94-'Table 5 Flows to Evap &amp; WTP'!N94-'Table 5 Flows to Evap &amp; WTP'!M94</f>
        <v>350</v>
      </c>
      <c r="E88" s="94">
        <v>269.5</v>
      </c>
      <c r="F88" s="94">
        <f t="shared" si="17"/>
        <v>619.5</v>
      </c>
      <c r="G88" s="110">
        <f t="shared" si="15"/>
        <v>0.2</v>
      </c>
      <c r="H88" s="94">
        <f t="shared" si="16"/>
        <v>123.9</v>
      </c>
      <c r="I88" s="100">
        <f t="shared" si="11"/>
        <v>495.6</v>
      </c>
      <c r="J88" s="94">
        <f t="shared" si="12"/>
        <v>255.5</v>
      </c>
      <c r="K88" s="111">
        <f t="shared" si="10"/>
        <v>751.1</v>
      </c>
      <c r="L88" s="36"/>
      <c r="M88" s="36"/>
      <c r="N88" s="14"/>
      <c r="O88" s="34">
        <f>'Table 7 WTP Sulfate Balance'!I90</f>
        <v>499.84156570363467</v>
      </c>
      <c r="P88" s="44">
        <f t="shared" si="13"/>
        <v>7.003728813559321</v>
      </c>
      <c r="Q88" s="44">
        <f t="shared" si="14"/>
        <v>7.1997576887232047</v>
      </c>
      <c r="R88"/>
    </row>
    <row r="89" spans="2:18" ht="13.5" hidden="1" thickTop="1" x14ac:dyDescent="0.2">
      <c r="B89" s="92">
        <f>'Table 5 Flows to Evap &amp; WTP'!B95</f>
        <v>90</v>
      </c>
      <c r="C89" s="94">
        <f>'Table 5 Flows to Evap &amp; WTP'!N95+'Table 5 Flows to Evap &amp; WTP'!M95</f>
        <v>525</v>
      </c>
      <c r="D89" s="94">
        <f>'Table 5 Flows to Evap &amp; WTP'!K95-'Table 5 Flows to Evap &amp; WTP'!N95-'Table 5 Flows to Evap &amp; WTP'!M95</f>
        <v>350</v>
      </c>
      <c r="E89" s="94">
        <v>269.5</v>
      </c>
      <c r="F89" s="94">
        <f t="shared" si="17"/>
        <v>619.5</v>
      </c>
      <c r="G89" s="110">
        <f t="shared" si="15"/>
        <v>0.2</v>
      </c>
      <c r="H89" s="94">
        <f t="shared" si="16"/>
        <v>123.9</v>
      </c>
      <c r="I89" s="100">
        <f t="shared" si="11"/>
        <v>495.6</v>
      </c>
      <c r="J89" s="94">
        <f t="shared" si="12"/>
        <v>255.5</v>
      </c>
      <c r="K89" s="111">
        <f t="shared" si="10"/>
        <v>751.1</v>
      </c>
      <c r="L89" s="36"/>
      <c r="M89" s="36"/>
      <c r="N89" s="14"/>
      <c r="O89" s="34">
        <f>'Table 7 WTP Sulfate Balance'!I91</f>
        <v>499.84156570363467</v>
      </c>
      <c r="P89" s="44">
        <f t="shared" si="13"/>
        <v>7.003728813559321</v>
      </c>
      <c r="Q89" s="44">
        <f t="shared" si="14"/>
        <v>7.1997576887232047</v>
      </c>
      <c r="R89"/>
    </row>
    <row r="90" spans="2:18" ht="13.5" hidden="1" thickTop="1" x14ac:dyDescent="0.2">
      <c r="B90" s="92">
        <f>'Table 5 Flows to Evap &amp; WTP'!B96</f>
        <v>91</v>
      </c>
      <c r="C90" s="94">
        <f>'Table 5 Flows to Evap &amp; WTP'!N96+'Table 5 Flows to Evap &amp; WTP'!M96</f>
        <v>525</v>
      </c>
      <c r="D90" s="94">
        <f>'Table 5 Flows to Evap &amp; WTP'!K96-'Table 5 Flows to Evap &amp; WTP'!N96-'Table 5 Flows to Evap &amp; WTP'!M96</f>
        <v>350</v>
      </c>
      <c r="E90" s="94">
        <v>269.5</v>
      </c>
      <c r="F90" s="94">
        <f t="shared" si="17"/>
        <v>619.5</v>
      </c>
      <c r="G90" s="110">
        <f t="shared" si="15"/>
        <v>0.2</v>
      </c>
      <c r="H90" s="94">
        <f t="shared" si="16"/>
        <v>123.9</v>
      </c>
      <c r="I90" s="100">
        <f t="shared" si="11"/>
        <v>495.6</v>
      </c>
      <c r="J90" s="94">
        <f t="shared" si="12"/>
        <v>255.5</v>
      </c>
      <c r="K90" s="111">
        <f t="shared" si="10"/>
        <v>751.1</v>
      </c>
      <c r="L90" s="36"/>
      <c r="M90" s="36"/>
      <c r="N90" s="14"/>
      <c r="O90" s="34">
        <f>'Table 7 WTP Sulfate Balance'!I92</f>
        <v>499.84156570363467</v>
      </c>
      <c r="P90" s="44">
        <f t="shared" si="13"/>
        <v>7.003728813559321</v>
      </c>
      <c r="Q90" s="44">
        <f t="shared" si="14"/>
        <v>7.1997576887232047</v>
      </c>
      <c r="R90"/>
    </row>
    <row r="91" spans="2:18" ht="13.5" hidden="1" thickTop="1" x14ac:dyDescent="0.2">
      <c r="B91" s="92">
        <f>'Table 5 Flows to Evap &amp; WTP'!B97</f>
        <v>92</v>
      </c>
      <c r="C91" s="94">
        <f>'Table 5 Flows to Evap &amp; WTP'!N97+'Table 5 Flows to Evap &amp; WTP'!M97</f>
        <v>525</v>
      </c>
      <c r="D91" s="94">
        <f>'Table 5 Flows to Evap &amp; WTP'!K97-'Table 5 Flows to Evap &amp; WTP'!N97-'Table 5 Flows to Evap &amp; WTP'!M97</f>
        <v>350</v>
      </c>
      <c r="E91" s="94">
        <v>269.5</v>
      </c>
      <c r="F91" s="94">
        <f t="shared" si="17"/>
        <v>619.5</v>
      </c>
      <c r="G91" s="110">
        <f t="shared" si="15"/>
        <v>0.2</v>
      </c>
      <c r="H91" s="94">
        <f t="shared" si="16"/>
        <v>123.9</v>
      </c>
      <c r="I91" s="100">
        <f t="shared" si="11"/>
        <v>495.6</v>
      </c>
      <c r="J91" s="94">
        <f t="shared" si="12"/>
        <v>255.5</v>
      </c>
      <c r="K91" s="111">
        <f t="shared" si="10"/>
        <v>751.1</v>
      </c>
      <c r="L91" s="36"/>
      <c r="M91" s="36"/>
      <c r="N91" s="14"/>
      <c r="O91" s="34">
        <f>'Table 7 WTP Sulfate Balance'!I93</f>
        <v>499.84156570363467</v>
      </c>
      <c r="P91" s="44">
        <f t="shared" si="13"/>
        <v>7.003728813559321</v>
      </c>
      <c r="Q91" s="44">
        <f t="shared" si="14"/>
        <v>7.1997576887232047</v>
      </c>
      <c r="R91"/>
    </row>
    <row r="92" spans="2:18" ht="13.5" hidden="1" thickTop="1" x14ac:dyDescent="0.2">
      <c r="B92" s="92">
        <f>'Table 5 Flows to Evap &amp; WTP'!B98</f>
        <v>93</v>
      </c>
      <c r="C92" s="94">
        <f>'Table 5 Flows to Evap &amp; WTP'!N98+'Table 5 Flows to Evap &amp; WTP'!M98</f>
        <v>525</v>
      </c>
      <c r="D92" s="94">
        <f>'Table 5 Flows to Evap &amp; WTP'!K98-'Table 5 Flows to Evap &amp; WTP'!N98-'Table 5 Flows to Evap &amp; WTP'!M98</f>
        <v>350</v>
      </c>
      <c r="E92" s="94">
        <v>269.5</v>
      </c>
      <c r="F92" s="94">
        <f t="shared" si="17"/>
        <v>619.5</v>
      </c>
      <c r="G92" s="110">
        <f t="shared" si="15"/>
        <v>0.2</v>
      </c>
      <c r="H92" s="94">
        <f t="shared" si="16"/>
        <v>123.9</v>
      </c>
      <c r="I92" s="100">
        <f t="shared" si="11"/>
        <v>495.6</v>
      </c>
      <c r="J92" s="94">
        <f t="shared" si="12"/>
        <v>255.5</v>
      </c>
      <c r="K92" s="111">
        <f t="shared" si="10"/>
        <v>751.1</v>
      </c>
      <c r="L92" s="36"/>
      <c r="M92" s="36"/>
      <c r="N92" s="14"/>
      <c r="O92" s="34">
        <f>'Table 7 WTP Sulfate Balance'!I94</f>
        <v>499.84156570363467</v>
      </c>
      <c r="P92" s="44">
        <f t="shared" si="13"/>
        <v>7.003728813559321</v>
      </c>
      <c r="Q92" s="44">
        <f t="shared" si="14"/>
        <v>7.1997576887232047</v>
      </c>
      <c r="R92"/>
    </row>
    <row r="93" spans="2:18" ht="13.5" hidden="1" thickTop="1" x14ac:dyDescent="0.2">
      <c r="B93" s="92">
        <f>'Table 5 Flows to Evap &amp; WTP'!B99</f>
        <v>94</v>
      </c>
      <c r="C93" s="94">
        <f>'Table 5 Flows to Evap &amp; WTP'!N99+'Table 5 Flows to Evap &amp; WTP'!M99</f>
        <v>525</v>
      </c>
      <c r="D93" s="94">
        <f>'Table 5 Flows to Evap &amp; WTP'!K99-'Table 5 Flows to Evap &amp; WTP'!N99-'Table 5 Flows to Evap &amp; WTP'!M99</f>
        <v>350</v>
      </c>
      <c r="E93" s="94">
        <v>269.5</v>
      </c>
      <c r="F93" s="94">
        <f t="shared" si="17"/>
        <v>619.5</v>
      </c>
      <c r="G93" s="110">
        <f t="shared" si="15"/>
        <v>0.2</v>
      </c>
      <c r="H93" s="94">
        <f t="shared" si="16"/>
        <v>123.9</v>
      </c>
      <c r="I93" s="100">
        <f t="shared" si="11"/>
        <v>495.6</v>
      </c>
      <c r="J93" s="94">
        <f t="shared" si="12"/>
        <v>255.5</v>
      </c>
      <c r="K93" s="111">
        <f t="shared" si="10"/>
        <v>751.1</v>
      </c>
      <c r="L93" s="36"/>
      <c r="M93" s="36"/>
      <c r="N93" s="14"/>
      <c r="O93" s="34">
        <f>'Table 7 WTP Sulfate Balance'!I95</f>
        <v>499.84156570363467</v>
      </c>
      <c r="P93" s="44">
        <f t="shared" si="13"/>
        <v>7.003728813559321</v>
      </c>
      <c r="Q93" s="44">
        <f t="shared" si="14"/>
        <v>7.1997576887232047</v>
      </c>
      <c r="R93"/>
    </row>
    <row r="94" spans="2:18" ht="13.5" hidden="1" thickTop="1" x14ac:dyDescent="0.2">
      <c r="B94" s="92">
        <f>'Table 5 Flows to Evap &amp; WTP'!B100</f>
        <v>95</v>
      </c>
      <c r="C94" s="94">
        <f>'Table 5 Flows to Evap &amp; WTP'!N100+'Table 5 Flows to Evap &amp; WTP'!M100</f>
        <v>525</v>
      </c>
      <c r="D94" s="94">
        <f>'Table 5 Flows to Evap &amp; WTP'!K100-'Table 5 Flows to Evap &amp; WTP'!N100-'Table 5 Flows to Evap &amp; WTP'!M100</f>
        <v>350</v>
      </c>
      <c r="E94" s="94">
        <v>269.5</v>
      </c>
      <c r="F94" s="94">
        <f t="shared" si="17"/>
        <v>619.5</v>
      </c>
      <c r="G94" s="110">
        <f t="shared" si="15"/>
        <v>0.2</v>
      </c>
      <c r="H94" s="94">
        <f t="shared" si="16"/>
        <v>123.9</v>
      </c>
      <c r="I94" s="100">
        <f t="shared" si="11"/>
        <v>495.6</v>
      </c>
      <c r="J94" s="94">
        <f t="shared" si="12"/>
        <v>255.5</v>
      </c>
      <c r="K94" s="111">
        <f t="shared" si="10"/>
        <v>751.1</v>
      </c>
      <c r="L94" s="36"/>
      <c r="M94" s="36"/>
      <c r="N94" s="14"/>
      <c r="O94" s="34">
        <f>'Table 7 WTP Sulfate Balance'!I96</f>
        <v>499.84156570363467</v>
      </c>
      <c r="P94" s="44">
        <f t="shared" si="13"/>
        <v>7.003728813559321</v>
      </c>
      <c r="Q94" s="44">
        <f t="shared" si="14"/>
        <v>7.1997576887232047</v>
      </c>
      <c r="R94"/>
    </row>
    <row r="95" spans="2:18" ht="13.5" hidden="1" thickTop="1" x14ac:dyDescent="0.2">
      <c r="B95" s="92">
        <f>'Table 5 Flows to Evap &amp; WTP'!B101</f>
        <v>96</v>
      </c>
      <c r="C95" s="94">
        <f>'Table 5 Flows to Evap &amp; WTP'!N101+'Table 5 Flows to Evap &amp; WTP'!M101</f>
        <v>525</v>
      </c>
      <c r="D95" s="94">
        <f>'Table 5 Flows to Evap &amp; WTP'!K101-'Table 5 Flows to Evap &amp; WTP'!N101-'Table 5 Flows to Evap &amp; WTP'!M101</f>
        <v>350</v>
      </c>
      <c r="E95" s="94">
        <v>269.5</v>
      </c>
      <c r="F95" s="94">
        <f t="shared" si="17"/>
        <v>619.5</v>
      </c>
      <c r="G95" s="110">
        <f t="shared" si="15"/>
        <v>0.2</v>
      </c>
      <c r="H95" s="94">
        <f t="shared" si="16"/>
        <v>123.9</v>
      </c>
      <c r="I95" s="100">
        <f t="shared" si="11"/>
        <v>495.6</v>
      </c>
      <c r="J95" s="94">
        <f t="shared" si="12"/>
        <v>255.5</v>
      </c>
      <c r="K95" s="111">
        <f t="shared" si="10"/>
        <v>751.1</v>
      </c>
      <c r="L95" s="36"/>
      <c r="M95" s="36"/>
      <c r="N95" s="14"/>
      <c r="O95" s="34">
        <f>'Table 7 WTP Sulfate Balance'!I97</f>
        <v>499.84156570363467</v>
      </c>
      <c r="P95" s="44">
        <f t="shared" si="13"/>
        <v>7.003728813559321</v>
      </c>
      <c r="Q95" s="44">
        <f t="shared" si="14"/>
        <v>7.1997576887232047</v>
      </c>
      <c r="R95"/>
    </row>
    <row r="96" spans="2:18" ht="13.5" hidden="1" thickTop="1" x14ac:dyDescent="0.2">
      <c r="B96" s="92">
        <f>'Table 5 Flows to Evap &amp; WTP'!B102</f>
        <v>97</v>
      </c>
      <c r="C96" s="94">
        <f>'Table 5 Flows to Evap &amp; WTP'!N102+'Table 5 Flows to Evap &amp; WTP'!M102</f>
        <v>525</v>
      </c>
      <c r="D96" s="94">
        <f>'Table 5 Flows to Evap &amp; WTP'!K102-'Table 5 Flows to Evap &amp; WTP'!N102-'Table 5 Flows to Evap &amp; WTP'!M102</f>
        <v>350</v>
      </c>
      <c r="E96" s="94">
        <v>269.5</v>
      </c>
      <c r="F96" s="94">
        <f t="shared" si="17"/>
        <v>619.5</v>
      </c>
      <c r="G96" s="110">
        <f t="shared" si="15"/>
        <v>0.2</v>
      </c>
      <c r="H96" s="94">
        <f t="shared" si="16"/>
        <v>123.9</v>
      </c>
      <c r="I96" s="100">
        <f t="shared" si="11"/>
        <v>495.6</v>
      </c>
      <c r="J96" s="94">
        <f t="shared" si="12"/>
        <v>255.5</v>
      </c>
      <c r="K96" s="111">
        <f t="shared" si="10"/>
        <v>751.1</v>
      </c>
      <c r="L96" s="36"/>
      <c r="M96" s="36"/>
      <c r="N96" s="14"/>
      <c r="O96" s="34">
        <f>'Table 7 WTP Sulfate Balance'!I98</f>
        <v>499.84156570363467</v>
      </c>
      <c r="P96" s="44">
        <f t="shared" si="13"/>
        <v>7.003728813559321</v>
      </c>
      <c r="Q96" s="44">
        <f t="shared" si="14"/>
        <v>7.1997576887232047</v>
      </c>
      <c r="R96"/>
    </row>
    <row r="97" spans="2:18" ht="13.5" hidden="1" thickTop="1" x14ac:dyDescent="0.2">
      <c r="B97" s="92">
        <f>'Table 5 Flows to Evap &amp; WTP'!B103</f>
        <v>98</v>
      </c>
      <c r="C97" s="94">
        <f>'Table 5 Flows to Evap &amp; WTP'!N103+'Table 5 Flows to Evap &amp; WTP'!M103</f>
        <v>525</v>
      </c>
      <c r="D97" s="94">
        <f>'Table 5 Flows to Evap &amp; WTP'!K103-'Table 5 Flows to Evap &amp; WTP'!N103-'Table 5 Flows to Evap &amp; WTP'!M103</f>
        <v>350</v>
      </c>
      <c r="E97" s="94">
        <v>269.5</v>
      </c>
      <c r="F97" s="94">
        <f t="shared" si="17"/>
        <v>619.5</v>
      </c>
      <c r="G97" s="110">
        <f t="shared" si="15"/>
        <v>0.2</v>
      </c>
      <c r="H97" s="94">
        <f t="shared" si="16"/>
        <v>123.9</v>
      </c>
      <c r="I97" s="100">
        <f t="shared" si="11"/>
        <v>495.6</v>
      </c>
      <c r="J97" s="94">
        <f t="shared" si="12"/>
        <v>255.5</v>
      </c>
      <c r="K97" s="111">
        <f t="shared" si="10"/>
        <v>751.1</v>
      </c>
      <c r="L97" s="36"/>
      <c r="M97" s="36"/>
      <c r="N97" s="14"/>
      <c r="O97" s="34">
        <f>'Table 7 WTP Sulfate Balance'!I99</f>
        <v>499.84156570363467</v>
      </c>
      <c r="P97" s="44">
        <f t="shared" si="13"/>
        <v>7.003728813559321</v>
      </c>
      <c r="Q97" s="44">
        <f t="shared" si="14"/>
        <v>7.1997576887232047</v>
      </c>
      <c r="R97"/>
    </row>
    <row r="98" spans="2:18" ht="13.5" hidden="1" thickTop="1" x14ac:dyDescent="0.2">
      <c r="B98" s="92">
        <f>'Table 5 Flows to Evap &amp; WTP'!B104</f>
        <v>99</v>
      </c>
      <c r="C98" s="94">
        <f>'Table 5 Flows to Evap &amp; WTP'!N104+'Table 5 Flows to Evap &amp; WTP'!M104</f>
        <v>525</v>
      </c>
      <c r="D98" s="94">
        <f>'Table 5 Flows to Evap &amp; WTP'!K104-'Table 5 Flows to Evap &amp; WTP'!N104-'Table 5 Flows to Evap &amp; WTP'!M104</f>
        <v>350</v>
      </c>
      <c r="E98" s="94">
        <v>269.5</v>
      </c>
      <c r="F98" s="94">
        <f t="shared" si="17"/>
        <v>619.5</v>
      </c>
      <c r="G98" s="110">
        <f t="shared" si="15"/>
        <v>0.2</v>
      </c>
      <c r="H98" s="94">
        <f t="shared" si="16"/>
        <v>123.9</v>
      </c>
      <c r="I98" s="100">
        <f t="shared" si="11"/>
        <v>495.6</v>
      </c>
      <c r="J98" s="94">
        <f t="shared" si="12"/>
        <v>255.5</v>
      </c>
      <c r="K98" s="111">
        <f t="shared" si="10"/>
        <v>751.1</v>
      </c>
      <c r="L98" s="36"/>
      <c r="M98" s="36"/>
      <c r="N98" s="14"/>
      <c r="O98" s="34">
        <f>'Table 7 WTP Sulfate Balance'!I100</f>
        <v>499.84156570363467</v>
      </c>
      <c r="P98" s="44">
        <f t="shared" si="13"/>
        <v>7.003728813559321</v>
      </c>
      <c r="Q98" s="44">
        <f t="shared" si="14"/>
        <v>7.1997576887232047</v>
      </c>
      <c r="R98"/>
    </row>
    <row r="99" spans="2:18" ht="14.25" hidden="1" thickTop="1" thickBot="1" x14ac:dyDescent="0.25">
      <c r="B99" s="95">
        <f>'Table 5 Flows to Evap &amp; WTP'!B105</f>
        <v>100</v>
      </c>
      <c r="C99" s="98">
        <f>'Table 5 Flows to Evap &amp; WTP'!N105+'Table 5 Flows to Evap &amp; WTP'!M105</f>
        <v>525</v>
      </c>
      <c r="D99" s="98">
        <f>'Table 5 Flows to Evap &amp; WTP'!K105-'Table 5 Flows to Evap &amp; WTP'!N105-'Table 5 Flows to Evap &amp; WTP'!M105</f>
        <v>350</v>
      </c>
      <c r="E99" s="98">
        <v>269.5</v>
      </c>
      <c r="F99" s="98">
        <f t="shared" si="17"/>
        <v>619.5</v>
      </c>
      <c r="G99" s="112">
        <f t="shared" si="15"/>
        <v>0.2</v>
      </c>
      <c r="H99" s="98">
        <f t="shared" si="16"/>
        <v>123.9</v>
      </c>
      <c r="I99" s="103">
        <f t="shared" si="11"/>
        <v>495.6</v>
      </c>
      <c r="J99" s="98">
        <f t="shared" si="12"/>
        <v>255.5</v>
      </c>
      <c r="K99" s="113">
        <f t="shared" si="10"/>
        <v>751.1</v>
      </c>
      <c r="L99" s="36"/>
      <c r="M99" s="36"/>
      <c r="N99" s="14"/>
      <c r="O99" s="49">
        <v>500</v>
      </c>
      <c r="P99" s="44">
        <f t="shared" si="13"/>
        <v>7.003728813559321</v>
      </c>
      <c r="Q99" s="44">
        <f t="shared" si="14"/>
        <v>7.1997576887232047</v>
      </c>
      <c r="R99"/>
    </row>
    <row r="100" spans="2:18" ht="13.5" thickTop="1" x14ac:dyDescent="0.2">
      <c r="B100" s="18"/>
      <c r="C100" s="18"/>
      <c r="D100" s="18"/>
      <c r="E100" s="18"/>
      <c r="F100" s="19"/>
      <c r="G100" s="18"/>
      <c r="H100" s="18"/>
      <c r="I100" s="18"/>
      <c r="J100" s="18"/>
      <c r="K100" s="18"/>
      <c r="L100" s="18"/>
      <c r="M100" s="36"/>
      <c r="N100" s="18"/>
      <c r="O100" s="18"/>
      <c r="P100" s="27"/>
      <c r="Q100"/>
      <c r="R100"/>
    </row>
    <row r="101" spans="2:18" x14ac:dyDescent="0.2">
      <c r="B101" s="18"/>
      <c r="C101" s="18"/>
      <c r="D101" s="19"/>
      <c r="E101" s="19"/>
      <c r="F101" s="19"/>
      <c r="G101" s="19"/>
      <c r="H101" s="18"/>
      <c r="I101" s="27"/>
      <c r="J101" s="19"/>
      <c r="K101" s="19"/>
      <c r="L101" s="19"/>
      <c r="M101" s="18"/>
      <c r="N101" s="19"/>
      <c r="O101" s="19"/>
      <c r="P101" s="27"/>
    </row>
    <row r="102" spans="2:18" x14ac:dyDescent="0.2">
      <c r="B102" s="18"/>
      <c r="H102" s="18"/>
      <c r="M102" s="19"/>
    </row>
    <row r="103" spans="2:18" x14ac:dyDescent="0.2">
      <c r="B103" s="18"/>
      <c r="H103" s="18"/>
    </row>
    <row r="104" spans="2:18" x14ac:dyDescent="0.2">
      <c r="B104" s="18"/>
      <c r="H104" s="18"/>
    </row>
    <row r="105" spans="2:18" x14ac:dyDescent="0.2">
      <c r="B105" s="18"/>
      <c r="H105" s="18"/>
    </row>
    <row r="106" spans="2:18" x14ac:dyDescent="0.2">
      <c r="B106" s="18"/>
      <c r="H106" s="18"/>
    </row>
    <row r="107" spans="2:18" x14ac:dyDescent="0.2">
      <c r="B107" s="18"/>
      <c r="H107" s="18"/>
    </row>
    <row r="108" spans="2:18" x14ac:dyDescent="0.2">
      <c r="B108" s="18"/>
      <c r="H108" s="18"/>
    </row>
    <row r="109" spans="2:18" x14ac:dyDescent="0.2">
      <c r="B109" s="18"/>
      <c r="H109" s="18"/>
    </row>
    <row r="110" spans="2:18" x14ac:dyDescent="0.2">
      <c r="B110" s="18"/>
      <c r="H110" s="18"/>
    </row>
    <row r="111" spans="2:18" x14ac:dyDescent="0.2">
      <c r="B111" s="18"/>
      <c r="H111" s="18"/>
    </row>
    <row r="112" spans="2:18" x14ac:dyDescent="0.2">
      <c r="B112" s="18"/>
      <c r="H112" s="18"/>
    </row>
    <row r="113" spans="2:8" x14ac:dyDescent="0.2">
      <c r="B113" s="18"/>
      <c r="H113" s="18"/>
    </row>
    <row r="114" spans="2:8" x14ac:dyDescent="0.2">
      <c r="B114" s="18"/>
      <c r="H114" s="18"/>
    </row>
    <row r="115" spans="2:8" x14ac:dyDescent="0.2">
      <c r="B115" s="18"/>
      <c r="H115" s="18"/>
    </row>
    <row r="116" spans="2:8" x14ac:dyDescent="0.2">
      <c r="B116" s="18"/>
      <c r="H116" s="18"/>
    </row>
    <row r="117" spans="2:8" x14ac:dyDescent="0.2">
      <c r="B117" s="18"/>
      <c r="H117" s="18"/>
    </row>
    <row r="118" spans="2:8" x14ac:dyDescent="0.2">
      <c r="B118" s="18"/>
      <c r="H118" s="18"/>
    </row>
    <row r="119" spans="2:8" x14ac:dyDescent="0.2">
      <c r="B119" s="18"/>
      <c r="H119" s="18"/>
    </row>
    <row r="120" spans="2:8" x14ac:dyDescent="0.2">
      <c r="B120" s="18"/>
      <c r="H120" s="18"/>
    </row>
    <row r="121" spans="2:8" x14ac:dyDescent="0.2">
      <c r="B121" s="18"/>
      <c r="H121" s="18"/>
    </row>
    <row r="122" spans="2:8" x14ac:dyDescent="0.2">
      <c r="B122" s="18"/>
      <c r="H122" s="18"/>
    </row>
    <row r="123" spans="2:8" x14ac:dyDescent="0.2">
      <c r="B123" s="18"/>
      <c r="H123" s="18"/>
    </row>
    <row r="124" spans="2:8" x14ac:dyDescent="0.2">
      <c r="B124" s="18"/>
      <c r="H124" s="18"/>
    </row>
    <row r="125" spans="2:8" x14ac:dyDescent="0.2">
      <c r="B125" s="18"/>
      <c r="H125" s="18"/>
    </row>
    <row r="126" spans="2:8" x14ac:dyDescent="0.2">
      <c r="B126" s="18"/>
      <c r="H126" s="18"/>
    </row>
    <row r="127" spans="2:8" x14ac:dyDescent="0.2">
      <c r="B127" s="18"/>
      <c r="H127" s="18"/>
    </row>
    <row r="128" spans="2:8" x14ac:dyDescent="0.2">
      <c r="B128" s="18"/>
      <c r="H128" s="18"/>
    </row>
    <row r="129" spans="2:8" x14ac:dyDescent="0.2">
      <c r="B129" s="18"/>
      <c r="H129" s="18"/>
    </row>
    <row r="130" spans="2:8" x14ac:dyDescent="0.2">
      <c r="B130" s="18"/>
      <c r="H130" s="18"/>
    </row>
    <row r="131" spans="2:8" x14ac:dyDescent="0.2">
      <c r="B131" s="18"/>
      <c r="H131" s="18"/>
    </row>
    <row r="132" spans="2:8" x14ac:dyDescent="0.2">
      <c r="B132" s="18"/>
      <c r="H132" s="18"/>
    </row>
    <row r="133" spans="2:8" x14ac:dyDescent="0.2">
      <c r="B133" s="18"/>
      <c r="H133" s="18"/>
    </row>
    <row r="134" spans="2:8" x14ac:dyDescent="0.2">
      <c r="B134" s="18"/>
      <c r="H134" s="18"/>
    </row>
    <row r="135" spans="2:8" x14ac:dyDescent="0.2">
      <c r="B135" s="18"/>
      <c r="H135" s="18"/>
    </row>
    <row r="136" spans="2:8" x14ac:dyDescent="0.2">
      <c r="B136" s="18"/>
      <c r="H136" s="18"/>
    </row>
  </sheetData>
  <mergeCells count="4">
    <mergeCell ref="B2:B3"/>
    <mergeCell ref="I2:K2"/>
    <mergeCell ref="D2:F2"/>
    <mergeCell ref="G2:H2"/>
  </mergeCells>
  <phoneticPr fontId="9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8D44-CF17-4D69-B8A1-F47E33EC8D61}">
  <dimension ref="B2:N102"/>
  <sheetViews>
    <sheetView topLeftCell="A102" zoomScale="160" zoomScaleNormal="160" workbookViewId="0">
      <selection activeCell="K5" sqref="K5"/>
    </sheetView>
  </sheetViews>
  <sheetFormatPr defaultRowHeight="12.75" x14ac:dyDescent="0.2"/>
  <cols>
    <col min="1" max="1" width="4.33203125" customWidth="1"/>
    <col min="2" max="2" width="5.83203125" customWidth="1"/>
    <col min="3" max="5" width="11.83203125" style="1" customWidth="1"/>
    <col min="6" max="9" width="11.83203125" style="2" customWidth="1"/>
    <col min="11" max="11" width="12" bestFit="1" customWidth="1"/>
    <col min="12" max="12" width="10" bestFit="1" customWidth="1"/>
  </cols>
  <sheetData>
    <row r="2" spans="2:14" ht="9" customHeight="1" x14ac:dyDescent="0.2">
      <c r="B2" s="4"/>
      <c r="C2" s="4"/>
      <c r="D2" s="4"/>
      <c r="E2" s="4"/>
      <c r="F2" s="4"/>
      <c r="G2" s="4"/>
      <c r="H2" s="4"/>
      <c r="I2" s="4"/>
    </row>
    <row r="3" spans="2:14" ht="9.6" customHeight="1" thickBot="1" x14ac:dyDescent="0.25">
      <c r="B3" s="9"/>
      <c r="C3" s="8"/>
      <c r="D3" s="8"/>
      <c r="E3" s="8"/>
      <c r="F3" s="8"/>
      <c r="G3" s="8"/>
      <c r="H3" s="8"/>
      <c r="I3" s="8"/>
    </row>
    <row r="4" spans="2:14" ht="15" thickTop="1" x14ac:dyDescent="0.2">
      <c r="B4" s="687"/>
      <c r="C4" s="690" t="s">
        <v>182</v>
      </c>
      <c r="D4" s="691"/>
      <c r="E4" s="690" t="s">
        <v>183</v>
      </c>
      <c r="F4" s="691"/>
      <c r="G4" s="684"/>
      <c r="H4" s="690" t="s">
        <v>184</v>
      </c>
      <c r="I4" s="692"/>
    </row>
    <row r="5" spans="2:14" ht="28.15" customHeight="1" thickBot="1" x14ac:dyDescent="0.25">
      <c r="B5" s="688"/>
      <c r="C5" s="378" t="s">
        <v>185</v>
      </c>
      <c r="D5" s="378" t="s">
        <v>186</v>
      </c>
      <c r="E5" s="378" t="s">
        <v>187</v>
      </c>
      <c r="F5" s="378" t="s">
        <v>188</v>
      </c>
      <c r="G5" s="378" t="s">
        <v>189</v>
      </c>
      <c r="H5" s="378" t="s">
        <v>190</v>
      </c>
      <c r="I5" s="379" t="s">
        <v>29</v>
      </c>
    </row>
    <row r="6" spans="2:14" ht="15" thickBot="1" x14ac:dyDescent="0.25">
      <c r="B6" s="380" t="s">
        <v>67</v>
      </c>
      <c r="C6" s="381" t="s">
        <v>82</v>
      </c>
      <c r="D6" s="381" t="s">
        <v>82</v>
      </c>
      <c r="E6" s="381" t="s">
        <v>82</v>
      </c>
      <c r="F6" s="381" t="s">
        <v>82</v>
      </c>
      <c r="G6" s="381" t="s">
        <v>82</v>
      </c>
      <c r="H6" s="381" t="s">
        <v>82</v>
      </c>
      <c r="I6" s="382" t="s">
        <v>82</v>
      </c>
    </row>
    <row r="7" spans="2:14" ht="14.25" x14ac:dyDescent="0.2">
      <c r="B7" s="340">
        <f>'Table 5 Flows to Evap &amp; WTP'!B11</f>
        <v>6</v>
      </c>
      <c r="C7" s="360">
        <f>AVERAGE('Table 3 Water Quality'!$D$4:$D$5)</f>
        <v>1450</v>
      </c>
      <c r="D7" s="360">
        <f>AVERAGE('Table 3 Water Quality'!$D$9)</f>
        <v>1571</v>
      </c>
      <c r="E7" s="360">
        <f>((C7*'Table 6 WTP Flow Balance'!E5)+('Table 7 WTP Sulfate Balance'!D7*'Table 6 WTP Flow Balance'!D5))/('Table 6 WTP Flow Balance'!E5+'Table 6 WTP Flow Balance'!D5)</f>
        <v>1488.8532110091744</v>
      </c>
      <c r="F7" s="383">
        <v>10</v>
      </c>
      <c r="G7" s="360">
        <f>((E7*'Table 6 WTP Flow Balance'!F5)-(F7*'Table 6 WTP Flow Balance'!I5))/'Table 6 WTP Flow Balance'!H5</f>
        <v>7404.2660550458713</v>
      </c>
      <c r="H7" s="360">
        <f>C7</f>
        <v>1450</v>
      </c>
      <c r="I7" s="384">
        <f>((F7*'Table 6 WTP Flow Balance'!I5)+(H7*'Table 6 WTP Flow Balance'!J5))/'Table 6 WTP Flow Balance'!K5</f>
        <v>499.67665365129676</v>
      </c>
    </row>
    <row r="8" spans="2:14" ht="14.25" x14ac:dyDescent="0.2">
      <c r="B8" s="345">
        <f>'Table 5 Flows to Evap &amp; WTP'!B12</f>
        <v>7</v>
      </c>
      <c r="C8" s="156">
        <f>AVERAGE('Table 3 Water Quality'!$D$4:$D$5)</f>
        <v>1450</v>
      </c>
      <c r="D8" s="156">
        <f>AVERAGE('Table 3 Water Quality'!$D$9)</f>
        <v>1571</v>
      </c>
      <c r="E8" s="156">
        <f>((C8*'Table 6 WTP Flow Balance'!E6)+('Table 7 WTP Sulfate Balance'!D8*'Table 6 WTP Flow Balance'!D6))/('Table 6 WTP Flow Balance'!E6+'Table 6 WTP Flow Balance'!D6)</f>
        <v>1490.5263157894738</v>
      </c>
      <c r="F8" s="157">
        <v>10</v>
      </c>
      <c r="G8" s="156">
        <f>((E8*'Table 6 WTP Flow Balance'!F6)-(F8*'Table 6 WTP Flow Balance'!I6))/'Table 6 WTP Flow Balance'!H6</f>
        <v>7412.6315789473683</v>
      </c>
      <c r="H8" s="156">
        <f t="shared" ref="H8:H71" si="0">C8</f>
        <v>1450</v>
      </c>
      <c r="I8" s="385">
        <f>((F8*'Table 6 WTP Flow Balance'!I6)+(H8*'Table 6 WTP Flow Balance'!J6))/'Table 6 WTP Flow Balance'!K6</f>
        <v>500.39471537200365</v>
      </c>
      <c r="N8" s="5"/>
    </row>
    <row r="9" spans="2:14" ht="14.25" x14ac:dyDescent="0.2">
      <c r="B9" s="345">
        <f>'Table 5 Flows to Evap &amp; WTP'!B13</f>
        <v>8</v>
      </c>
      <c r="C9" s="156">
        <f>AVERAGE('Table 3 Water Quality'!$D$4:$D$5)</f>
        <v>1450</v>
      </c>
      <c r="D9" s="156">
        <f>AVERAGE('Table 3 Water Quality'!$D$9)</f>
        <v>1571</v>
      </c>
      <c r="E9" s="156">
        <f>((C9*'Table 6 WTP Flow Balance'!E7)+('Table 7 WTP Sulfate Balance'!D9*'Table 6 WTP Flow Balance'!D7))/('Table 6 WTP Flow Balance'!E7+'Table 6 WTP Flow Balance'!D7)</f>
        <v>1492.1812749003984</v>
      </c>
      <c r="F9" s="157">
        <v>10</v>
      </c>
      <c r="G9" s="156">
        <f>((E9*'Table 6 WTP Flow Balance'!F7)-(F9*'Table 6 WTP Flow Balance'!I7))/'Table 6 WTP Flow Balance'!H7</f>
        <v>7420.9063745019912</v>
      </c>
      <c r="H9" s="156">
        <f t="shared" si="0"/>
        <v>1450</v>
      </c>
      <c r="I9" s="385">
        <f>((F9*'Table 6 WTP Flow Balance'!I7)+(H9*'Table 6 WTP Flow Balance'!J7))/'Table 6 WTP Flow Balance'!K7</f>
        <v>499.67024910021865</v>
      </c>
    </row>
    <row r="10" spans="2:14" ht="14.25" x14ac:dyDescent="0.2">
      <c r="B10" s="345">
        <f>'Table 5 Flows to Evap &amp; WTP'!B14</f>
        <v>9</v>
      </c>
      <c r="C10" s="156">
        <f>AVERAGE('Table 3 Water Quality'!$D$4:$D$5)</f>
        <v>1450</v>
      </c>
      <c r="D10" s="156">
        <f>AVERAGE('Table 3 Water Quality'!$D$9)</f>
        <v>1571</v>
      </c>
      <c r="E10" s="156">
        <f>((C10*'Table 6 WTP Flow Balance'!E8)+('Table 7 WTP Sulfate Balance'!D10*'Table 6 WTP Flow Balance'!D8))/('Table 6 WTP Flow Balance'!E8+'Table 6 WTP Flow Balance'!D8)</f>
        <v>1493.9087610160705</v>
      </c>
      <c r="F10" s="157">
        <v>10</v>
      </c>
      <c r="G10" s="156">
        <f>((E10*'Table 6 WTP Flow Balance'!F8)-(F10*'Table 6 WTP Flow Balance'!I8))/'Table 6 WTP Flow Balance'!H8</f>
        <v>7429.5438050803523</v>
      </c>
      <c r="H10" s="156">
        <f t="shared" si="0"/>
        <v>1450</v>
      </c>
      <c r="I10" s="385">
        <f>((F10*'Table 6 WTP Flow Balance'!I8)+(H10*'Table 6 WTP Flow Balance'!J8))/'Table 6 WTP Flow Balance'!K8</f>
        <v>500.05778197146702</v>
      </c>
    </row>
    <row r="11" spans="2:14" ht="14.25" x14ac:dyDescent="0.2">
      <c r="B11" s="345">
        <f>'Table 5 Flows to Evap &amp; WTP'!B15</f>
        <v>10</v>
      </c>
      <c r="C11" s="156">
        <f>AVERAGE('Table 3 Water Quality'!$D$4:$D$5)</f>
        <v>1450</v>
      </c>
      <c r="D11" s="156">
        <f>AVERAGE('Table 3 Water Quality'!$D$9)</f>
        <v>1571</v>
      </c>
      <c r="E11" s="156">
        <f>((C11*'Table 6 WTP Flow Balance'!E9)+('Table 7 WTP Sulfate Balance'!D11*'Table 6 WTP Flow Balance'!D9))/('Table 6 WTP Flow Balance'!E9+'Table 6 WTP Flow Balance'!D9)</f>
        <v>1495.6357758620691</v>
      </c>
      <c r="F11" s="157">
        <v>10</v>
      </c>
      <c r="G11" s="156">
        <f>((E11*'Table 6 WTP Flow Balance'!F9)-(F11*'Table 6 WTP Flow Balance'!I9))/'Table 6 WTP Flow Balance'!H9</f>
        <v>7438.1788793103442</v>
      </c>
      <c r="H11" s="156">
        <f t="shared" si="0"/>
        <v>1450</v>
      </c>
      <c r="I11" s="385">
        <f>((F11*'Table 6 WTP Flow Balance'!I9)+(H11*'Table 6 WTP Flow Balance'!J9))/'Table 6 WTP Flow Balance'!K9</f>
        <v>499.71254118067958</v>
      </c>
    </row>
    <row r="12" spans="2:14" ht="14.25" x14ac:dyDescent="0.2">
      <c r="B12" s="345">
        <f>'Table 5 Flows to Evap &amp; WTP'!B16</f>
        <v>11</v>
      </c>
      <c r="C12" s="156">
        <f>AVERAGE('Table 3 Water Quality'!$D$4:$D$5)</f>
        <v>1450</v>
      </c>
      <c r="D12" s="156">
        <f>AVERAGE('Table 3 Water Quality'!$D$9)</f>
        <v>1571</v>
      </c>
      <c r="E12" s="156">
        <f>((C12*'Table 6 WTP Flow Balance'!E10)+('Table 7 WTP Sulfate Balance'!D12*'Table 6 WTP Flow Balance'!D10))/('Table 6 WTP Flow Balance'!E10+'Table 6 WTP Flow Balance'!D10)</f>
        <v>1497.4244120940648</v>
      </c>
      <c r="F12" s="157">
        <v>10</v>
      </c>
      <c r="G12" s="156">
        <f>((E12*'Table 6 WTP Flow Balance'!F10)-(F12*'Table 6 WTP Flow Balance'!I10))/'Table 6 WTP Flow Balance'!H10</f>
        <v>7447.122060470324</v>
      </c>
      <c r="H12" s="156">
        <f t="shared" si="0"/>
        <v>1450</v>
      </c>
      <c r="I12" s="385">
        <f>((F12*'Table 6 WTP Flow Balance'!I10)+(H12*'Table 6 WTP Flow Balance'!J10))/'Table 6 WTP Flow Balance'!K10</f>
        <v>500.1818237271392</v>
      </c>
    </row>
    <row r="13" spans="2:14" ht="14.25" x14ac:dyDescent="0.2">
      <c r="B13" s="345">
        <f>'Table 5 Flows to Evap &amp; WTP'!B17</f>
        <v>12</v>
      </c>
      <c r="C13" s="156">
        <f>AVERAGE('Table 3 Water Quality'!$D$4:$D$5)</f>
        <v>1450</v>
      </c>
      <c r="D13" s="156">
        <f>AVERAGE('Table 3 Water Quality'!$D$9)</f>
        <v>1571</v>
      </c>
      <c r="E13" s="156">
        <f>((C13*'Table 6 WTP Flow Balance'!E11)+('Table 7 WTP Sulfate Balance'!D13*'Table 6 WTP Flow Balance'!D11))/('Table 6 WTP Flow Balance'!E11+'Table 6 WTP Flow Balance'!D11)</f>
        <v>1499.2155723416618</v>
      </c>
      <c r="F13" s="157">
        <v>10</v>
      </c>
      <c r="G13" s="156">
        <f>((E13*'Table 6 WTP Flow Balance'!F11)-(F13*'Table 6 WTP Flow Balance'!I11))/'Table 6 WTP Flow Balance'!H11</f>
        <v>7456.0778617083079</v>
      </c>
      <c r="H13" s="156">
        <f t="shared" si="0"/>
        <v>1450</v>
      </c>
      <c r="I13" s="385">
        <f>((F13*'Table 6 WTP Flow Balance'!I11)+(H13*'Table 6 WTP Flow Balance'!J11))/'Table 6 WTP Flow Balance'!K11</f>
        <v>500.05707530301834</v>
      </c>
    </row>
    <row r="14" spans="2:14" ht="14.25" x14ac:dyDescent="0.2">
      <c r="B14" s="345">
        <f>'Table 5 Flows to Evap &amp; WTP'!B18</f>
        <v>13</v>
      </c>
      <c r="C14" s="156">
        <f>AVERAGE('Table 3 Water Quality'!$D$4:$D$5)</f>
        <v>1450</v>
      </c>
      <c r="D14" s="156">
        <f>AVERAGE('Table 3 Water Quality'!$D$9)</f>
        <v>1571</v>
      </c>
      <c r="E14" s="156">
        <f>((C14*'Table 6 WTP Flow Balance'!E12)+('Table 7 WTP Sulfate Balance'!D14*'Table 6 WTP Flow Balance'!D12))/('Table 6 WTP Flow Balance'!E12+'Table 6 WTP Flow Balance'!D12)</f>
        <v>1501.0240963855422</v>
      </c>
      <c r="F14" s="157">
        <v>10</v>
      </c>
      <c r="G14" s="156">
        <f>((E14*'Table 6 WTP Flow Balance'!F12)-(F14*'Table 6 WTP Flow Balance'!I12))/'Table 6 WTP Flow Balance'!H12</f>
        <v>7465.1204819277109</v>
      </c>
      <c r="H14" s="156">
        <f t="shared" si="0"/>
        <v>1450</v>
      </c>
      <c r="I14" s="385">
        <f>((F14*'Table 6 WTP Flow Balance'!I12)+(H14*'Table 6 WTP Flow Balance'!J12))/'Table 6 WTP Flow Balance'!K12</f>
        <v>499.73787814682879</v>
      </c>
    </row>
    <row r="15" spans="2:14" ht="14.25" x14ac:dyDescent="0.2">
      <c r="B15" s="345">
        <f>'Table 5 Flows to Evap &amp; WTP'!B19</f>
        <v>14</v>
      </c>
      <c r="C15" s="156">
        <f>AVERAGE('Table 3 Water Quality'!$D$4:$D$5)</f>
        <v>1450</v>
      </c>
      <c r="D15" s="156">
        <f>AVERAGE('Table 3 Water Quality'!$D$9)</f>
        <v>1571</v>
      </c>
      <c r="E15" s="156">
        <f>((C15*'Table 6 WTP Flow Balance'!E13)+('Table 7 WTP Sulfate Balance'!D15*'Table 6 WTP Flow Balance'!D13))/('Table 6 WTP Flow Balance'!E13+'Table 6 WTP Flow Balance'!D13)</f>
        <v>1502.8714107365793</v>
      </c>
      <c r="F15" s="157">
        <v>10</v>
      </c>
      <c r="G15" s="156">
        <f>((E15*'Table 6 WTP Flow Balance'!F13)-(F15*'Table 6 WTP Flow Balance'!I13))/'Table 6 WTP Flow Balance'!H13</f>
        <v>7474.3570536828956</v>
      </c>
      <c r="H15" s="156">
        <f t="shared" si="0"/>
        <v>1450</v>
      </c>
      <c r="I15" s="385">
        <f>((F15*'Table 6 WTP Flow Balance'!I13)+(H15*'Table 6 WTP Flow Balance'!J13))/'Table 6 WTP Flow Balance'!K13</f>
        <v>499.70814736343408</v>
      </c>
    </row>
    <row r="16" spans="2:14" ht="14.25" x14ac:dyDescent="0.2">
      <c r="B16" s="345">
        <f>'Table 5 Flows to Evap &amp; WTP'!B20</f>
        <v>15</v>
      </c>
      <c r="C16" s="156">
        <f>AVERAGE('Table 3 Water Quality'!$D$4:$D$5)</f>
        <v>1450</v>
      </c>
      <c r="D16" s="156">
        <f>AVERAGE('Table 3 Water Quality'!$D$9)</f>
        <v>1571</v>
      </c>
      <c r="E16" s="156">
        <f>((C16*'Table 6 WTP Flow Balance'!E14)+('Table 7 WTP Sulfate Balance'!D16*'Table 6 WTP Flow Balance'!D14))/('Table 6 WTP Flow Balance'!E14+'Table 6 WTP Flow Balance'!D14)</f>
        <v>1504.7511312217196</v>
      </c>
      <c r="F16" s="157">
        <v>10</v>
      </c>
      <c r="G16" s="156">
        <f>((E16*'Table 6 WTP Flow Balance'!F14)-(F16*'Table 6 WTP Flow Balance'!I14))/'Table 6 WTP Flow Balance'!H14</f>
        <v>7483.7556561085967</v>
      </c>
      <c r="H16" s="156">
        <f t="shared" si="0"/>
        <v>1450</v>
      </c>
      <c r="I16" s="385">
        <f>((F16*'Table 6 WTP Flow Balance'!I14)+(H16*'Table 6 WTP Flow Balance'!J14))/'Table 6 WTP Flow Balance'!K14</f>
        <v>499.81154023677902</v>
      </c>
    </row>
    <row r="17" spans="2:9" ht="14.25" x14ac:dyDescent="0.2">
      <c r="B17" s="345">
        <f>'Table 5 Flows to Evap &amp; WTP'!B21</f>
        <v>16</v>
      </c>
      <c r="C17" s="156">
        <f>AVERAGE('Table 3 Water Quality'!$D$4:$D$5)</f>
        <v>1450</v>
      </c>
      <c r="D17" s="156">
        <f>AVERAGE('Table 3 Water Quality'!$D$9)</f>
        <v>1571</v>
      </c>
      <c r="E17" s="156">
        <f>((C17*'Table 6 WTP Flow Balance'!E15)+('Table 7 WTP Sulfate Balance'!D17*'Table 6 WTP Flow Balance'!D15))/('Table 6 WTP Flow Balance'!E15+'Table 6 WTP Flow Balance'!D15)</f>
        <v>1506.6555183946489</v>
      </c>
      <c r="F17" s="157">
        <v>10</v>
      </c>
      <c r="G17" s="156">
        <f>((E17*'Table 6 WTP Flow Balance'!F15)-(F17*'Table 6 WTP Flow Balance'!I15))/'Table 6 WTP Flow Balance'!H15</f>
        <v>7493.2775919732439</v>
      </c>
      <c r="H17" s="156">
        <f t="shared" si="0"/>
        <v>1450</v>
      </c>
      <c r="I17" s="385">
        <f>((F17*'Table 6 WTP Flow Balance'!I15)+(H17*'Table 6 WTP Flow Balance'!J15))/'Table 6 WTP Flow Balance'!K15</f>
        <v>499.91515939228231</v>
      </c>
    </row>
    <row r="18" spans="2:9" ht="14.25" x14ac:dyDescent="0.2">
      <c r="B18" s="345">
        <f>'Table 5 Flows to Evap &amp; WTP'!B22</f>
        <v>17</v>
      </c>
      <c r="C18" s="156">
        <f>AVERAGE('Table 3 Water Quality'!$D$4:$D$5)</f>
        <v>1450</v>
      </c>
      <c r="D18" s="156">
        <f>AVERAGE('Table 3 Water Quality'!$D$9)</f>
        <v>1571</v>
      </c>
      <c r="E18" s="156">
        <f>((C18*'Table 6 WTP Flow Balance'!E16)+('Table 7 WTP Sulfate Balance'!D18*'Table 6 WTP Flow Balance'!D16))/('Table 6 WTP Flow Balance'!E16+'Table 6 WTP Flow Balance'!D16)</f>
        <v>1508.5753803596128</v>
      </c>
      <c r="F18" s="157">
        <v>10</v>
      </c>
      <c r="G18" s="156">
        <f>((E18*'Table 6 WTP Flow Balance'!F16)-(F18*'Table 6 WTP Flow Balance'!I16))/'Table 6 WTP Flow Balance'!H16</f>
        <v>7502.876901798064</v>
      </c>
      <c r="H18" s="156">
        <f t="shared" si="0"/>
        <v>1450</v>
      </c>
      <c r="I18" s="385">
        <f>((F18*'Table 6 WTP Flow Balance'!I16)+(H18*'Table 6 WTP Flow Balance'!J16))/'Table 6 WTP Flow Balance'!K16</f>
        <v>499.84576796659638</v>
      </c>
    </row>
    <row r="19" spans="2:9" ht="14.25" x14ac:dyDescent="0.2">
      <c r="B19" s="345">
        <f>'Table 5 Flows to Evap &amp; WTP'!B23</f>
        <v>18</v>
      </c>
      <c r="C19" s="156">
        <f>AVERAGE('Table 3 Water Quality'!$D$4:$D$5)</f>
        <v>1450</v>
      </c>
      <c r="D19" s="156">
        <f>AVERAGE('Table 3 Water Quality'!$D$9)</f>
        <v>1571</v>
      </c>
      <c r="E19" s="156">
        <f>((C19*'Table 6 WTP Flow Balance'!E17)+('Table 7 WTP Sulfate Balance'!D19*'Table 6 WTP Flow Balance'!D17))/('Table 6 WTP Flow Balance'!E17+'Table 6 WTP Flow Balance'!D17)</f>
        <v>1510.5432451751251</v>
      </c>
      <c r="F19" s="157">
        <v>10</v>
      </c>
      <c r="G19" s="156">
        <f>((E19*'Table 6 WTP Flow Balance'!F17)-(F19*'Table 6 WTP Flow Balance'!I17))/'Table 6 WTP Flow Balance'!H17</f>
        <v>7512.7162258756252</v>
      </c>
      <c r="H19" s="156">
        <f t="shared" si="0"/>
        <v>1450</v>
      </c>
      <c r="I19" s="385">
        <f>((F19*'Table 6 WTP Flow Balance'!I17)+(H19*'Table 6 WTP Flow Balance'!J17))/'Table 6 WTP Flow Balance'!K17</f>
        <v>500.24114292500934</v>
      </c>
    </row>
    <row r="20" spans="2:9" ht="14.25" x14ac:dyDescent="0.2">
      <c r="B20" s="345">
        <f>'Table 5 Flows to Evap &amp; WTP'!B24</f>
        <v>19</v>
      </c>
      <c r="C20" s="156">
        <f>AVERAGE('Table 3 Water Quality'!$D$4:$D$5)</f>
        <v>1450</v>
      </c>
      <c r="D20" s="156">
        <f>AVERAGE('Table 3 Water Quality'!$D$9)</f>
        <v>1571</v>
      </c>
      <c r="E20" s="156">
        <f>((C20*'Table 6 WTP Flow Balance'!E18)+('Table 7 WTP Sulfate Balance'!D20*'Table 6 WTP Flow Balance'!D18))/('Table 6 WTP Flow Balance'!E18+'Table 6 WTP Flow Balance'!D18)</f>
        <v>1512.509225092251</v>
      </c>
      <c r="F20" s="157">
        <v>10</v>
      </c>
      <c r="G20" s="156">
        <f>((E20*'Table 6 WTP Flow Balance'!F18)-(F20*'Table 6 WTP Flow Balance'!I18))/'Table 6 WTP Flow Balance'!H18</f>
        <v>7522.5461254612546</v>
      </c>
      <c r="H20" s="156">
        <f t="shared" si="0"/>
        <v>1450</v>
      </c>
      <c r="I20" s="385">
        <f>((F20*'Table 6 WTP Flow Balance'!I18)+(H20*'Table 6 WTP Flow Balance'!J18))/'Table 6 WTP Flow Balance'!K18</f>
        <v>500.19014111240983</v>
      </c>
    </row>
    <row r="21" spans="2:9" ht="14.25" x14ac:dyDescent="0.2">
      <c r="B21" s="345">
        <f>'Table 5 Flows to Evap &amp; WTP'!B25</f>
        <v>20</v>
      </c>
      <c r="C21" s="156">
        <f>AVERAGE('Table 3 Water Quality'!$D$4:$D$5)</f>
        <v>1450</v>
      </c>
      <c r="D21" s="156">
        <f>AVERAGE('Table 3 Water Quality'!$D$9)</f>
        <v>1571</v>
      </c>
      <c r="E21" s="156">
        <f>((C21*'Table 6 WTP Flow Balance'!E19)+('Table 7 WTP Sulfate Balance'!D21*'Table 6 WTP Flow Balance'!D19))/('Table 6 WTP Flow Balance'!E19+'Table 6 WTP Flow Balance'!D19)</f>
        <v>1514.4596651445966</v>
      </c>
      <c r="F21" s="157">
        <v>10</v>
      </c>
      <c r="G21" s="156">
        <f>((E21*'Table 6 WTP Flow Balance'!F19)-(F21*'Table 6 WTP Flow Balance'!I19))/'Table 6 WTP Flow Balance'!H19</f>
        <v>7532.2983257229826</v>
      </c>
      <c r="H21" s="156">
        <f t="shared" si="0"/>
        <v>1450</v>
      </c>
      <c r="I21" s="385">
        <f>((F21*'Table 6 WTP Flow Balance'!I19)+(H21*'Table 6 WTP Flow Balance'!J19))/'Table 6 WTP Flow Balance'!K19</f>
        <v>499.51631849951809</v>
      </c>
    </row>
    <row r="22" spans="2:9" ht="14.25" x14ac:dyDescent="0.2">
      <c r="B22" s="345">
        <f>'Table 5 Flows to Evap &amp; WTP'!B26</f>
        <v>21</v>
      </c>
      <c r="C22" s="156">
        <f>AVERAGE('Table 3 Water Quality'!$D$4:$D$5)</f>
        <v>1450</v>
      </c>
      <c r="D22" s="156">
        <f>AVERAGE('Table 3 Water Quality'!$D$9)</f>
        <v>1571</v>
      </c>
      <c r="E22" s="156">
        <f>((C22*'Table 6 WTP Flow Balance'!E20)+('Table 7 WTP Sulfate Balance'!D22*'Table 6 WTP Flow Balance'!D20))/('Table 6 WTP Flow Balance'!E20+'Table 6 WTP Flow Balance'!D20)</f>
        <v>1515.1037663335896</v>
      </c>
      <c r="F22" s="157">
        <v>10</v>
      </c>
      <c r="G22" s="156">
        <f>((E22*'Table 6 WTP Flow Balance'!F20)-(F22*'Table 6 WTP Flow Balance'!I20))/'Table 6 WTP Flow Balance'!H20</f>
        <v>7535.5188316679487</v>
      </c>
      <c r="H22" s="156">
        <f t="shared" si="0"/>
        <v>1450</v>
      </c>
      <c r="I22" s="385">
        <f>((F22*'Table 6 WTP Flow Balance'!I20)+(H22*'Table 6 WTP Flow Balance'!J20))/'Table 6 WTP Flow Balance'!K20</f>
        <v>500.3431301617598</v>
      </c>
    </row>
    <row r="23" spans="2:9" ht="14.25" x14ac:dyDescent="0.2">
      <c r="B23" s="345">
        <f>'Table 5 Flows to Evap &amp; WTP'!B27</f>
        <v>22</v>
      </c>
      <c r="C23" s="156">
        <f>AVERAGE('Table 3 Water Quality'!$D$4:$D$5)</f>
        <v>1450</v>
      </c>
      <c r="D23" s="156">
        <f>AVERAGE('Table 3 Water Quality'!$D$9)</f>
        <v>1571</v>
      </c>
      <c r="E23" s="156">
        <f>((C23*'Table 6 WTP Flow Balance'!E21)+('Table 7 WTP Sulfate Balance'!D23*'Table 6 WTP Flow Balance'!D21))/('Table 6 WTP Flow Balance'!E21+'Table 6 WTP Flow Balance'!D21)</f>
        <v>1515.1538461538462</v>
      </c>
      <c r="F23" s="157">
        <v>10</v>
      </c>
      <c r="G23" s="156">
        <f>((E23*'Table 6 WTP Flow Balance'!F21)-(F23*'Table 6 WTP Flow Balance'!I21))/'Table 6 WTP Flow Balance'!H21</f>
        <v>7535.7692307692305</v>
      </c>
      <c r="H23" s="156">
        <f t="shared" si="0"/>
        <v>1450</v>
      </c>
      <c r="I23" s="385">
        <f>((F23*'Table 6 WTP Flow Balance'!I21)+(H23*'Table 6 WTP Flow Balance'!J21))/'Table 6 WTP Flow Balance'!K21</f>
        <v>499.5784098985954</v>
      </c>
    </row>
    <row r="24" spans="2:9" ht="14.25" x14ac:dyDescent="0.2">
      <c r="B24" s="345">
        <f>'Table 5 Flows to Evap &amp; WTP'!B28</f>
        <v>23</v>
      </c>
      <c r="C24" s="156">
        <f>AVERAGE('Table 3 Water Quality'!$D$4:$D$5)</f>
        <v>1450</v>
      </c>
      <c r="D24" s="156">
        <f>AVERAGE('Table 3 Water Quality'!$D$9)</f>
        <v>1571</v>
      </c>
      <c r="E24" s="156">
        <f>((C24*'Table 6 WTP Flow Balance'!E22)+('Table 7 WTP Sulfate Balance'!D24*'Table 6 WTP Flow Balance'!D22))/('Table 6 WTP Flow Balance'!E22+'Table 6 WTP Flow Balance'!D22)</f>
        <v>1515.2542372881355</v>
      </c>
      <c r="F24" s="157">
        <v>10</v>
      </c>
      <c r="G24" s="156">
        <f>((E24*'Table 6 WTP Flow Balance'!F22)-(F24*'Table 6 WTP Flow Balance'!I22))/'Table 6 WTP Flow Balance'!H22</f>
        <v>7536.2711864406774</v>
      </c>
      <c r="H24" s="156">
        <f t="shared" si="0"/>
        <v>1450</v>
      </c>
      <c r="I24" s="385">
        <f>((F24*'Table 6 WTP Flow Balance'!I22)+(H24*'Table 6 WTP Flow Balance'!J22))/'Table 6 WTP Flow Balance'!K22</f>
        <v>499.73901814365621</v>
      </c>
    </row>
    <row r="25" spans="2:9" ht="14.25" x14ac:dyDescent="0.2">
      <c r="B25" s="345">
        <f>'Table 5 Flows to Evap &amp; WTP'!B29</f>
        <v>24</v>
      </c>
      <c r="C25" s="156">
        <f>AVERAGE('Table 3 Water Quality'!$D$4:$D$5)</f>
        <v>1450</v>
      </c>
      <c r="D25" s="156">
        <f>AVERAGE('Table 3 Water Quality'!$D$9)</f>
        <v>1571</v>
      </c>
      <c r="E25" s="156">
        <f>((C25*'Table 6 WTP Flow Balance'!E23)+('Table 7 WTP Sulfate Balance'!D25*'Table 6 WTP Flow Balance'!D23))/('Table 6 WTP Flow Balance'!E23+'Table 6 WTP Flow Balance'!D23)</f>
        <v>1515.3549382716049</v>
      </c>
      <c r="F25" s="157">
        <v>10</v>
      </c>
      <c r="G25" s="156">
        <f>((E25*'Table 6 WTP Flow Balance'!F23)-(F25*'Table 6 WTP Flow Balance'!I23))/'Table 6 WTP Flow Balance'!H23</f>
        <v>7536.7746913580249</v>
      </c>
      <c r="H25" s="156">
        <f t="shared" si="0"/>
        <v>1450</v>
      </c>
      <c r="I25" s="385">
        <f>((F25*'Table 6 WTP Flow Balance'!I23)+(H25*'Table 6 WTP Flow Balance'!J23))/'Table 6 WTP Flow Balance'!K23</f>
        <v>499.95483498978047</v>
      </c>
    </row>
    <row r="26" spans="2:9" ht="14.25" x14ac:dyDescent="0.2">
      <c r="B26" s="345">
        <f>'Table 5 Flows to Evap &amp; WTP'!B30</f>
        <v>25</v>
      </c>
      <c r="C26" s="156">
        <f>AVERAGE('Table 3 Water Quality'!$D$4:$D$5)</f>
        <v>1450</v>
      </c>
      <c r="D26" s="156">
        <f>AVERAGE('Table 3 Water Quality'!$D$9)</f>
        <v>1571</v>
      </c>
      <c r="E26" s="156">
        <f>((C26*'Table 6 WTP Flow Balance'!E24)+('Table 7 WTP Sulfate Balance'!D26*'Table 6 WTP Flow Balance'!D24))/('Table 6 WTP Flow Balance'!E24+'Table 6 WTP Flow Balance'!D24)</f>
        <v>1515.4559505409582</v>
      </c>
      <c r="F26" s="157">
        <v>10</v>
      </c>
      <c r="G26" s="156">
        <f>((E26*'Table 6 WTP Flow Balance'!F24)-(F26*'Table 6 WTP Flow Balance'!I24))/'Table 6 WTP Flow Balance'!H24</f>
        <v>7537.2797527047906</v>
      </c>
      <c r="H26" s="156">
        <f t="shared" si="0"/>
        <v>1450</v>
      </c>
      <c r="I26" s="385">
        <f>((F26*'Table 6 WTP Flow Balance'!I24)+(H26*'Table 6 WTP Flow Balance'!J24))/'Table 6 WTP Flow Balance'!K24</f>
        <v>500.21369748084021</v>
      </c>
    </row>
    <row r="27" spans="2:9" ht="14.25" x14ac:dyDescent="0.2">
      <c r="B27" s="345">
        <f>'Table 5 Flows to Evap &amp; WTP'!B31</f>
        <v>26</v>
      </c>
      <c r="C27" s="156">
        <f>AVERAGE('Table 3 Water Quality'!$D$4:$D$5)</f>
        <v>1450</v>
      </c>
      <c r="D27" s="156">
        <f>AVERAGE('Table 3 Water Quality'!$D$9)</f>
        <v>1571</v>
      </c>
      <c r="E27" s="156">
        <f>((C27*'Table 6 WTP Flow Balance'!E25)+('Table 7 WTP Sulfate Balance'!D27*'Table 6 WTP Flow Balance'!D25))/('Table 6 WTP Flow Balance'!E25+'Table 6 WTP Flow Balance'!D25)</f>
        <v>1515.5065738592421</v>
      </c>
      <c r="F27" s="157">
        <v>10</v>
      </c>
      <c r="G27" s="156">
        <f>((E27*'Table 6 WTP Flow Balance'!F25)-(F27*'Table 6 WTP Flow Balance'!I25))/'Table 6 WTP Flow Balance'!H25</f>
        <v>7537.5328692962094</v>
      </c>
      <c r="H27" s="156">
        <f t="shared" si="0"/>
        <v>1450</v>
      </c>
      <c r="I27" s="385">
        <f>((F27*'Table 6 WTP Flow Balance'!I25)+(H27*'Table 6 WTP Flow Balance'!J25))/'Table 6 WTP Flow Balance'!K25</f>
        <v>499.65048698361483</v>
      </c>
    </row>
    <row r="28" spans="2:9" ht="14.25" x14ac:dyDescent="0.2">
      <c r="B28" s="345">
        <f>'Table 5 Flows to Evap &amp; WTP'!B32</f>
        <v>27</v>
      </c>
      <c r="C28" s="156">
        <f>AVERAGE('Table 3 Water Quality'!$D$4:$D$5)</f>
        <v>1450</v>
      </c>
      <c r="D28" s="156">
        <f>AVERAGE('Table 3 Water Quality'!$D$9)</f>
        <v>1571</v>
      </c>
      <c r="E28" s="156">
        <f>((C28*'Table 6 WTP Flow Balance'!E26)+('Table 7 WTP Sulfate Balance'!D28*'Table 6 WTP Flow Balance'!D26))/('Table 6 WTP Flow Balance'!E26+'Table 6 WTP Flow Balance'!D26)</f>
        <v>1515.6080557707203</v>
      </c>
      <c r="F28" s="157">
        <v>10</v>
      </c>
      <c r="G28" s="156">
        <f>((E28*'Table 6 WTP Flow Balance'!F26)-(F28*'Table 6 WTP Flow Balance'!I26))/'Table 6 WTP Flow Balance'!H26</f>
        <v>7538.0402788536021</v>
      </c>
      <c r="H28" s="156">
        <f t="shared" si="0"/>
        <v>1450</v>
      </c>
      <c r="I28" s="385">
        <f>((F28*'Table 6 WTP Flow Balance'!I26)+(H28*'Table 6 WTP Flow Balance'!J26))/'Table 6 WTP Flow Balance'!K26</f>
        <v>499.96671711467593</v>
      </c>
    </row>
    <row r="29" spans="2:9" ht="14.25" x14ac:dyDescent="0.2">
      <c r="B29" s="345">
        <f>'Table 5 Flows to Evap &amp; WTP'!B33</f>
        <v>28</v>
      </c>
      <c r="C29" s="156">
        <f>AVERAGE('Table 3 Water Quality'!$D$4:$D$5)</f>
        <v>1450</v>
      </c>
      <c r="D29" s="156">
        <f>AVERAGE('Table 3 Water Quality'!$D$9)</f>
        <v>1571</v>
      </c>
      <c r="E29" s="156">
        <f>((C29*'Table 6 WTP Flow Balance'!E27)+('Table 7 WTP Sulfate Balance'!D29*'Table 6 WTP Flow Balance'!D27))/('Table 6 WTP Flow Balance'!E27+'Table 6 WTP Flow Balance'!D27)</f>
        <v>1515.7098525989138</v>
      </c>
      <c r="F29" s="157">
        <v>10</v>
      </c>
      <c r="G29" s="156">
        <f>((E29*'Table 6 WTP Flow Balance'!F27)-(F29*'Table 6 WTP Flow Balance'!I27))/'Table 6 WTP Flow Balance'!H27</f>
        <v>7538.5492629945693</v>
      </c>
      <c r="H29" s="156">
        <f t="shared" si="0"/>
        <v>1450</v>
      </c>
      <c r="I29" s="385">
        <f>((F29*'Table 6 WTP Flow Balance'!I27)+(H29*'Table 6 WTP Flow Balance'!J27))/'Table 6 WTP Flow Balance'!K27</f>
        <v>500.30047298735445</v>
      </c>
    </row>
    <row r="30" spans="2:9" ht="14.25" x14ac:dyDescent="0.2">
      <c r="B30" s="345">
        <f>'Table 5 Flows to Evap &amp; WTP'!B34</f>
        <v>29</v>
      </c>
      <c r="C30" s="156">
        <f>AVERAGE('Table 3 Water Quality'!$D$4:$D$5)</f>
        <v>1450</v>
      </c>
      <c r="D30" s="156">
        <f>AVERAGE('Table 3 Water Quality'!$D$9)</f>
        <v>1571</v>
      </c>
      <c r="E30" s="156">
        <f>((C30*'Table 6 WTP Flow Balance'!E28)+('Table 7 WTP Sulfate Balance'!D30*'Table 6 WTP Flow Balance'!D28))/('Table 6 WTP Flow Balance'!E28+'Table 6 WTP Flow Balance'!D28)</f>
        <v>1515.7608695652175</v>
      </c>
      <c r="F30" s="157">
        <v>10</v>
      </c>
      <c r="G30" s="156">
        <f>((E30*'Table 6 WTP Flow Balance'!F28)-(F30*'Table 6 WTP Flow Balance'!I28))/'Table 6 WTP Flow Balance'!H28</f>
        <v>7538.804347826087</v>
      </c>
      <c r="H30" s="156">
        <f t="shared" si="0"/>
        <v>1450</v>
      </c>
      <c r="I30" s="385">
        <f>((F30*'Table 6 WTP Flow Balance'!I28)+(H30*'Table 6 WTP Flow Balance'!J28))/'Table 6 WTP Flow Balance'!K28</f>
        <v>499.7921798686437</v>
      </c>
    </row>
    <row r="31" spans="2:9" ht="14.25" x14ac:dyDescent="0.2">
      <c r="B31" s="345">
        <f>'Table 5 Flows to Evap &amp; WTP'!B35</f>
        <v>30</v>
      </c>
      <c r="C31" s="156">
        <f>AVERAGE('Table 3 Water Quality'!$D$4:$D$5)</f>
        <v>1450</v>
      </c>
      <c r="D31" s="156">
        <f>AVERAGE('Table 3 Water Quality'!$D$9)</f>
        <v>1571</v>
      </c>
      <c r="E31" s="156">
        <f>((C31*'Table 6 WTP Flow Balance'!E29)+('Table 7 WTP Sulfate Balance'!D31*'Table 6 WTP Flow Balance'!D29))/('Table 6 WTP Flow Balance'!E29+'Table 6 WTP Flow Balance'!D29)</f>
        <v>1515.8631415241057</v>
      </c>
      <c r="F31" s="157">
        <v>10</v>
      </c>
      <c r="G31" s="156">
        <f>((E31*'Table 6 WTP Flow Balance'!F29)-(F31*'Table 6 WTP Flow Balance'!I29))/'Table 6 WTP Flow Balance'!H29</f>
        <v>7539.3157076205289</v>
      </c>
      <c r="H31" s="156">
        <f t="shared" si="0"/>
        <v>1450</v>
      </c>
      <c r="I31" s="385">
        <f>((F31*'Table 6 WTP Flow Balance'!I29)+(H31*'Table 6 WTP Flow Balance'!J29))/'Table 6 WTP Flow Balance'!K29</f>
        <v>500.16177754398768</v>
      </c>
    </row>
    <row r="32" spans="2:9" ht="14.25" x14ac:dyDescent="0.2">
      <c r="B32" s="345">
        <f>'Table 5 Flows to Evap &amp; WTP'!B36</f>
        <v>31</v>
      </c>
      <c r="C32" s="156">
        <f>AVERAGE('Table 3 Water Quality'!$D$4:$D$5)</f>
        <v>1450</v>
      </c>
      <c r="D32" s="156">
        <f>AVERAGE('Table 3 Water Quality'!$D$9)</f>
        <v>1571</v>
      </c>
      <c r="E32" s="156">
        <f>((C32*'Table 6 WTP Flow Balance'!E30)+('Table 7 WTP Sulfate Balance'!D32*'Table 6 WTP Flow Balance'!D30))/('Table 6 WTP Flow Balance'!E30+'Table 6 WTP Flow Balance'!D30)</f>
        <v>1515.9143968871595</v>
      </c>
      <c r="F32" s="157">
        <v>10</v>
      </c>
      <c r="G32" s="156">
        <f>((E32*'Table 6 WTP Flow Balance'!F30)-(F32*'Table 6 WTP Flow Balance'!I30))/'Table 6 WTP Flow Balance'!H30</f>
        <v>7539.5719844357973</v>
      </c>
      <c r="H32" s="156">
        <f t="shared" si="0"/>
        <v>1450</v>
      </c>
      <c r="I32" s="385">
        <f>((F32*'Table 6 WTP Flow Balance'!I30)+(H32*'Table 6 WTP Flow Balance'!J30))/'Table 6 WTP Flow Balance'!K30</f>
        <v>499.69007503341891</v>
      </c>
    </row>
    <row r="33" spans="2:9" ht="14.25" x14ac:dyDescent="0.2">
      <c r="B33" s="345">
        <f>'Table 5 Flows to Evap &amp; WTP'!B37</f>
        <v>32</v>
      </c>
      <c r="C33" s="156">
        <f>AVERAGE('Table 3 Water Quality'!$D$4:$D$5)</f>
        <v>1450</v>
      </c>
      <c r="D33" s="156">
        <f>AVERAGE('Table 3 Water Quality'!$D$9)</f>
        <v>1571</v>
      </c>
      <c r="E33" s="156">
        <f>((C33*'Table 6 WTP Flow Balance'!E31)+('Table 7 WTP Sulfate Balance'!D33*'Table 6 WTP Flow Balance'!D31))/('Table 6 WTP Flow Balance'!E31+'Table 6 WTP Flow Balance'!D31)</f>
        <v>1516.0171473109899</v>
      </c>
      <c r="F33" s="157">
        <v>10</v>
      </c>
      <c r="G33" s="156">
        <f>((E33*'Table 6 WTP Flow Balance'!F31)-(F33*'Table 6 WTP Flow Balance'!I31))/'Table 6 WTP Flow Balance'!H31</f>
        <v>7540.0857365549491</v>
      </c>
      <c r="H33" s="156">
        <f t="shared" si="0"/>
        <v>1450</v>
      </c>
      <c r="I33" s="385">
        <f>((F33*'Table 6 WTP Flow Balance'!I31)+(H33*'Table 6 WTP Flow Balance'!J31))/'Table 6 WTP Flow Balance'!K31</f>
        <v>500.10155267021321</v>
      </c>
    </row>
    <row r="34" spans="2:9" ht="14.25" x14ac:dyDescent="0.2">
      <c r="B34" s="345">
        <f>'Table 5 Flows to Evap &amp; WTP'!B38</f>
        <v>33</v>
      </c>
      <c r="C34" s="156">
        <f>AVERAGE('Table 3 Water Quality'!$D$4:$D$5)</f>
        <v>1450</v>
      </c>
      <c r="D34" s="156">
        <f>AVERAGE('Table 3 Water Quality'!$D$9)</f>
        <v>1571</v>
      </c>
      <c r="E34" s="156">
        <f>((C34*'Table 6 WTP Flow Balance'!E32)+('Table 7 WTP Sulfate Balance'!D34*'Table 6 WTP Flow Balance'!D32))/('Table 6 WTP Flow Balance'!E32+'Table 6 WTP Flow Balance'!D32)</f>
        <v>1516.0686427457099</v>
      </c>
      <c r="F34" s="157">
        <v>10</v>
      </c>
      <c r="G34" s="156">
        <f>((E34*'Table 6 WTP Flow Balance'!F32)-(F34*'Table 6 WTP Flow Balance'!I32))/'Table 6 WTP Flow Balance'!H32</f>
        <v>7540.3432137285481</v>
      </c>
      <c r="H34" s="156">
        <f t="shared" si="0"/>
        <v>1450</v>
      </c>
      <c r="I34" s="385">
        <f>((F34*'Table 6 WTP Flow Balance'!I32)+(H34*'Table 6 WTP Flow Balance'!J32))/'Table 6 WTP Flow Balance'!K32</f>
        <v>499.67989956710051</v>
      </c>
    </row>
    <row r="35" spans="2:9" ht="14.25" x14ac:dyDescent="0.2">
      <c r="B35" s="345">
        <f>'Table 5 Flows to Evap &amp; WTP'!B39</f>
        <v>34</v>
      </c>
      <c r="C35" s="156">
        <f>AVERAGE('Table 3 Water Quality'!$D$4:$D$5)</f>
        <v>1450</v>
      </c>
      <c r="D35" s="156">
        <f>AVERAGE('Table 3 Water Quality'!$D$9)</f>
        <v>1571</v>
      </c>
      <c r="E35" s="156">
        <f>((C35*'Table 6 WTP Flow Balance'!E33)+('Table 7 WTP Sulfate Balance'!D35*'Table 6 WTP Flow Balance'!D33))/('Table 6 WTP Flow Balance'!E33+'Table 6 WTP Flow Balance'!D33)</f>
        <v>1516.171875</v>
      </c>
      <c r="F35" s="157">
        <v>10</v>
      </c>
      <c r="G35" s="156">
        <f>((E35*'Table 6 WTP Flow Balance'!F33)-(F35*'Table 6 WTP Flow Balance'!I33))/'Table 6 WTP Flow Balance'!H33</f>
        <v>7540.859375</v>
      </c>
      <c r="H35" s="156">
        <f t="shared" si="0"/>
        <v>1450</v>
      </c>
      <c r="I35" s="385">
        <f>((F35*'Table 6 WTP Flow Balance'!I33)+(H35*'Table 6 WTP Flow Balance'!J33))/'Table 6 WTP Flow Balance'!K33</f>
        <v>500.15980064056038</v>
      </c>
    </row>
    <row r="36" spans="2:9" ht="14.25" x14ac:dyDescent="0.2">
      <c r="B36" s="345">
        <f>'Table 5 Flows to Evap &amp; WTP'!B40</f>
        <v>35</v>
      </c>
      <c r="C36" s="156">
        <f>AVERAGE('Table 3 Water Quality'!$D$4:$D$5)</f>
        <v>1450</v>
      </c>
      <c r="D36" s="156">
        <f>AVERAGE('Table 3 Water Quality'!$D$9)</f>
        <v>1571</v>
      </c>
      <c r="E36" s="156">
        <f>((C36*'Table 6 WTP Flow Balance'!E34)+('Table 7 WTP Sulfate Balance'!D36*'Table 6 WTP Flow Balance'!D34))/('Table 6 WTP Flow Balance'!E34+'Table 6 WTP Flow Balance'!D34)</f>
        <v>1516.2236121970288</v>
      </c>
      <c r="F36" s="157">
        <v>10</v>
      </c>
      <c r="G36" s="156">
        <f>((E36*'Table 6 WTP Flow Balance'!F34)-(F36*'Table 6 WTP Flow Balance'!I34))/'Table 6 WTP Flow Balance'!H34</f>
        <v>7541.1180609851444</v>
      </c>
      <c r="H36" s="156">
        <f t="shared" si="0"/>
        <v>1450</v>
      </c>
      <c r="I36" s="385">
        <f>((F36*'Table 6 WTP Flow Balance'!I34)+(H36*'Table 6 WTP Flow Balance'!J34))/'Table 6 WTP Flow Balance'!K34</f>
        <v>499.81738069698247</v>
      </c>
    </row>
    <row r="37" spans="2:9" ht="14.25" x14ac:dyDescent="0.2">
      <c r="B37" s="345">
        <f>'Table 5 Flows to Evap &amp; WTP'!B41</f>
        <v>36</v>
      </c>
      <c r="C37" s="156">
        <f>AVERAGE('Table 3 Water Quality'!$D$4:$D$5)</f>
        <v>1450</v>
      </c>
      <c r="D37" s="156">
        <f>AVERAGE('Table 3 Water Quality'!$D$9)</f>
        <v>1571</v>
      </c>
      <c r="E37" s="156">
        <f>((C37*'Table 6 WTP Flow Balance'!E35)+('Table 7 WTP Sulfate Balance'!D37*'Table 6 WTP Flow Balance'!D35))/('Table 6 WTP Flow Balance'!E35+'Table 6 WTP Flow Balance'!D35)</f>
        <v>1516.327329678935</v>
      </c>
      <c r="F37" s="157">
        <v>10</v>
      </c>
      <c r="G37" s="156">
        <f>((E37*'Table 6 WTP Flow Balance'!F35)-(F37*'Table 6 WTP Flow Balance'!I35))/'Table 6 WTP Flow Balance'!H35</f>
        <v>7541.6366483946749</v>
      </c>
      <c r="H37" s="156">
        <f t="shared" si="0"/>
        <v>1450</v>
      </c>
      <c r="I37" s="385">
        <f>((F37*'Table 6 WTP Flow Balance'!I35)+(H37*'Table 6 WTP Flow Balance'!J35))/'Table 6 WTP Flow Balance'!K35</f>
        <v>500.35855959479449</v>
      </c>
    </row>
    <row r="38" spans="2:9" ht="14.25" x14ac:dyDescent="0.2">
      <c r="B38" s="345">
        <f>'Table 5 Flows to Evap &amp; WTP'!B42</f>
        <v>37</v>
      </c>
      <c r="C38" s="156">
        <f>AVERAGE('Table 3 Water Quality'!$D$4:$D$5)</f>
        <v>1450</v>
      </c>
      <c r="D38" s="156">
        <f>AVERAGE('Table 3 Water Quality'!$D$9)</f>
        <v>1571</v>
      </c>
      <c r="E38" s="156">
        <f>((C38*'Table 6 WTP Flow Balance'!E36)+('Table 7 WTP Sulfate Balance'!D38*'Table 6 WTP Flow Balance'!D36))/('Table 6 WTP Flow Balance'!E36+'Table 6 WTP Flow Balance'!D36)</f>
        <v>1516.3793103448277</v>
      </c>
      <c r="F38" s="157">
        <v>10</v>
      </c>
      <c r="G38" s="156">
        <f>((E38*'Table 6 WTP Flow Balance'!F36)-(F38*'Table 6 WTP Flow Balance'!I36))/'Table 6 WTP Flow Balance'!H36</f>
        <v>7541.8965517241377</v>
      </c>
      <c r="H38" s="156">
        <f t="shared" si="0"/>
        <v>1450</v>
      </c>
      <c r="I38" s="385">
        <f>((F38*'Table 6 WTP Flow Balance'!I36)+(H38*'Table 6 WTP Flow Balance'!J36))/'Table 6 WTP Flow Balance'!K36</f>
        <v>500.03337256206419</v>
      </c>
    </row>
    <row r="39" spans="2:9" ht="14.25" x14ac:dyDescent="0.2">
      <c r="B39" s="345">
        <f>'Table 5 Flows to Evap &amp; WTP'!B43</f>
        <v>38</v>
      </c>
      <c r="C39" s="156">
        <f>AVERAGE('Table 3 Water Quality'!$D$4:$D$5)</f>
        <v>1450</v>
      </c>
      <c r="D39" s="156">
        <f>AVERAGE('Table 3 Water Quality'!$D$9)</f>
        <v>1571</v>
      </c>
      <c r="E39" s="156">
        <f>((C39*'Table 6 WTP Flow Balance'!E37)+('Table 7 WTP Sulfate Balance'!D39*'Table 6 WTP Flow Balance'!D37))/('Table 6 WTP Flow Balance'!E37+'Table 6 WTP Flow Balance'!D37)</f>
        <v>1516.4313725490197</v>
      </c>
      <c r="F39" s="157">
        <v>10</v>
      </c>
      <c r="G39" s="156">
        <f>((E39*'Table 6 WTP Flow Balance'!F37)-(F39*'Table 6 WTP Flow Balance'!I37))/'Table 6 WTP Flow Balance'!H37</f>
        <v>7542.1568627450979</v>
      </c>
      <c r="H39" s="156">
        <f t="shared" si="0"/>
        <v>1450</v>
      </c>
      <c r="I39" s="385">
        <f>((F39*'Table 6 WTP Flow Balance'!I37)+(H39*'Table 6 WTP Flow Balance'!J37))/'Table 6 WTP Flow Balance'!K37</f>
        <v>499.71211976048977</v>
      </c>
    </row>
    <row r="40" spans="2:9" ht="14.25" x14ac:dyDescent="0.2">
      <c r="B40" s="345">
        <f>'Table 5 Flows to Evap &amp; WTP'!B44</f>
        <v>39</v>
      </c>
      <c r="C40" s="156">
        <f>AVERAGE('Table 3 Water Quality'!$D$4:$D$5)</f>
        <v>1450</v>
      </c>
      <c r="D40" s="156">
        <f>AVERAGE('Table 3 Water Quality'!$D$9)</f>
        <v>1571</v>
      </c>
      <c r="E40" s="156">
        <f>((C40*'Table 6 WTP Flow Balance'!E38)+('Table 7 WTP Sulfate Balance'!D40*'Table 6 WTP Flow Balance'!D38))/('Table 6 WTP Flow Balance'!E38+'Table 6 WTP Flow Balance'!D38)</f>
        <v>1516.5357423409268</v>
      </c>
      <c r="F40" s="157">
        <v>10</v>
      </c>
      <c r="G40" s="156">
        <f>((E40*'Table 6 WTP Flow Balance'!F38)-(F40*'Table 6 WTP Flow Balance'!I38))/'Table 6 WTP Flow Balance'!H38</f>
        <v>7542.6787117046333</v>
      </c>
      <c r="H40" s="156">
        <f t="shared" si="0"/>
        <v>1450</v>
      </c>
      <c r="I40" s="385">
        <f>((F40*'Table 6 WTP Flow Balance'!I38)+(H40*'Table 6 WTP Flow Balance'!J38))/'Table 6 WTP Flow Balance'!K38</f>
        <v>500.26630668243888</v>
      </c>
    </row>
    <row r="41" spans="2:9" ht="14.25" x14ac:dyDescent="0.2">
      <c r="B41" s="345">
        <f>'Table 5 Flows to Evap &amp; WTP'!B45</f>
        <v>40</v>
      </c>
      <c r="C41" s="156">
        <f>AVERAGE('Table 3 Water Quality'!$D$4:$D$5)</f>
        <v>1450</v>
      </c>
      <c r="D41" s="156">
        <f>AVERAGE('Table 3 Water Quality'!$D$9)</f>
        <v>1571</v>
      </c>
      <c r="E41" s="156">
        <f>((C41*'Table 6 WTP Flow Balance'!E39)+('Table 7 WTP Sulfate Balance'!D41*'Table 6 WTP Flow Balance'!D39))/('Table 6 WTP Flow Balance'!E39+'Table 6 WTP Flow Balance'!D39)</f>
        <v>1516.5880503144654</v>
      </c>
      <c r="F41" s="157">
        <v>10</v>
      </c>
      <c r="G41" s="156">
        <f>((E41*'Table 6 WTP Flow Balance'!F39)-(F41*'Table 6 WTP Flow Balance'!I39))/'Table 6 WTP Flow Balance'!H39</f>
        <v>7542.9402515723268</v>
      </c>
      <c r="H41" s="156">
        <f t="shared" si="0"/>
        <v>1450</v>
      </c>
      <c r="I41" s="385">
        <f>((F41*'Table 6 WTP Flow Balance'!I39)+(H41*'Table 6 WTP Flow Balance'!J39))/'Table 6 WTP Flow Balance'!K39</f>
        <v>499.96063456870633</v>
      </c>
    </row>
    <row r="42" spans="2:9" ht="14.25" x14ac:dyDescent="0.2">
      <c r="B42" s="345">
        <f>'Table 5 Flows to Evap &amp; WTP'!B46</f>
        <v>41</v>
      </c>
      <c r="C42" s="156">
        <f>AVERAGE('Table 3 Water Quality'!$D$4:$D$5)</f>
        <v>1450</v>
      </c>
      <c r="D42" s="156">
        <f>AVERAGE('Table 3 Water Quality'!$D$9)</f>
        <v>1571</v>
      </c>
      <c r="E42" s="156">
        <f>((C42*'Table 6 WTP Flow Balance'!E40)+('Table 7 WTP Sulfate Balance'!D42*'Table 6 WTP Flow Balance'!D40))/('Table 6 WTP Flow Balance'!E40+'Table 6 WTP Flow Balance'!D40)</f>
        <v>1516.6404405979545</v>
      </c>
      <c r="F42" s="157">
        <v>10</v>
      </c>
      <c r="G42" s="156">
        <f>((E42*'Table 6 WTP Flow Balance'!F40)-(F42*'Table 6 WTP Flow Balance'!I40))/'Table 6 WTP Flow Balance'!H40</f>
        <v>7543.2022029897726</v>
      </c>
      <c r="H42" s="156">
        <f t="shared" si="0"/>
        <v>1450</v>
      </c>
      <c r="I42" s="385">
        <f>((F42*'Table 6 WTP Flow Balance'!I40)+(H42*'Table 6 WTP Flow Balance'!J40))/'Table 6 WTP Flow Balance'!K40</f>
        <v>499.66816323198174</v>
      </c>
    </row>
    <row r="43" spans="2:9" ht="14.25" x14ac:dyDescent="0.2">
      <c r="B43" s="345">
        <f>'Table 5 Flows to Evap &amp; WTP'!B47</f>
        <v>42</v>
      </c>
      <c r="C43" s="156">
        <f>AVERAGE('Table 3 Water Quality'!$D$4:$D$5)</f>
        <v>1450</v>
      </c>
      <c r="D43" s="156">
        <f>AVERAGE('Table 3 Water Quality'!$D$9)</f>
        <v>1571</v>
      </c>
      <c r="E43" s="156">
        <f>((C43*'Table 6 WTP Flow Balance'!E41)+('Table 7 WTP Sulfate Balance'!D43*'Table 6 WTP Flow Balance'!D41))/('Table 6 WTP Flow Balance'!E41+'Table 6 WTP Flow Balance'!D41)</f>
        <v>1516.7454688731284</v>
      </c>
      <c r="F43" s="157">
        <v>10</v>
      </c>
      <c r="G43" s="156">
        <f>((E43*'Table 6 WTP Flow Balance'!F41)-(F43*'Table 6 WTP Flow Balance'!I41))/'Table 6 WTP Flow Balance'!H41</f>
        <v>7543.7273443656422</v>
      </c>
      <c r="H43" s="156">
        <f t="shared" si="0"/>
        <v>1450</v>
      </c>
      <c r="I43" s="385">
        <f>((F43*'Table 6 WTP Flow Balance'!I41)+(H43*'Table 6 WTP Flow Balance'!J41))/'Table 6 WTP Flow Balance'!K41</f>
        <v>500.26515422711105</v>
      </c>
    </row>
    <row r="44" spans="2:9" ht="14.25" x14ac:dyDescent="0.2">
      <c r="B44" s="345">
        <f>'Table 5 Flows to Evap &amp; WTP'!B48</f>
        <v>43</v>
      </c>
      <c r="C44" s="156">
        <f>AVERAGE('Table 3 Water Quality'!$D$4:$D$5)</f>
        <v>1450</v>
      </c>
      <c r="D44" s="156">
        <f>AVERAGE('Table 3 Water Quality'!$D$9)</f>
        <v>1571</v>
      </c>
      <c r="E44" s="156">
        <f>((C44*'Table 6 WTP Flow Balance'!E42)+('Table 7 WTP Sulfate Balance'!D44*'Table 6 WTP Flow Balance'!D42))/('Table 6 WTP Flow Balance'!E42+'Table 6 WTP Flow Balance'!D42)</f>
        <v>1516.7981072555206</v>
      </c>
      <c r="F44" s="157">
        <v>10</v>
      </c>
      <c r="G44" s="156">
        <f>((E44*'Table 6 WTP Flow Balance'!F42)-(F44*'Table 6 WTP Flow Balance'!I42))/'Table 6 WTP Flow Balance'!H42</f>
        <v>7543.9905362776017</v>
      </c>
      <c r="H44" s="156">
        <f t="shared" si="0"/>
        <v>1450</v>
      </c>
      <c r="I44" s="385">
        <f>((F44*'Table 6 WTP Flow Balance'!I42)+(H44*'Table 6 WTP Flow Balance'!J42))/'Table 6 WTP Flow Balance'!K42</f>
        <v>500.00931090924837</v>
      </c>
    </row>
    <row r="45" spans="2:9" ht="14.25" x14ac:dyDescent="0.2">
      <c r="B45" s="345">
        <f>'Table 5 Flows to Evap &amp; WTP'!B49</f>
        <v>44</v>
      </c>
      <c r="C45" s="156">
        <f>AVERAGE('Table 3 Water Quality'!$D$4:$D$5)</f>
        <v>1450</v>
      </c>
      <c r="D45" s="156">
        <f>AVERAGE('Table 3 Water Quality'!$D$9)</f>
        <v>1571</v>
      </c>
      <c r="E45" s="156">
        <f>((C45*'Table 6 WTP Flow Balance'!E43)+('Table 7 WTP Sulfate Balance'!D45*'Table 6 WTP Flow Balance'!D43))/('Table 6 WTP Flow Balance'!E43+'Table 6 WTP Flow Balance'!D43)</f>
        <v>1516.8508287292818</v>
      </c>
      <c r="F45" s="157">
        <v>10</v>
      </c>
      <c r="G45" s="156">
        <f>((E45*'Table 6 WTP Flow Balance'!F43)-(F45*'Table 6 WTP Flow Balance'!I43))/'Table 6 WTP Flow Balance'!H43</f>
        <v>7544.2541436464089</v>
      </c>
      <c r="H45" s="156">
        <f t="shared" si="0"/>
        <v>1450</v>
      </c>
      <c r="I45" s="385">
        <f>((F45*'Table 6 WTP Flow Balance'!I43)+(H45*'Table 6 WTP Flow Balance'!J43))/'Table 6 WTP Flow Balance'!K43</f>
        <v>499.77172387231093</v>
      </c>
    </row>
    <row r="46" spans="2:9" ht="14.25" x14ac:dyDescent="0.2">
      <c r="B46" s="345">
        <f>'Table 5 Flows to Evap &amp; WTP'!B50</f>
        <v>45</v>
      </c>
      <c r="C46" s="156">
        <f>AVERAGE('Table 3 Water Quality'!$D$4:$D$5)</f>
        <v>1450</v>
      </c>
      <c r="D46" s="156">
        <f>AVERAGE('Table 3 Water Quality'!$D$9)</f>
        <v>1571</v>
      </c>
      <c r="E46" s="156">
        <f>((C46*'Table 6 WTP Flow Balance'!E44)+('Table 7 WTP Sulfate Balance'!D46*'Table 6 WTP Flow Balance'!D44))/('Table 6 WTP Flow Balance'!E44+'Table 6 WTP Flow Balance'!D44)</f>
        <v>1516.9565217391305</v>
      </c>
      <c r="F46" s="157">
        <v>10</v>
      </c>
      <c r="G46" s="156">
        <f>((E46*'Table 6 WTP Flow Balance'!F44)-(F46*'Table 6 WTP Flow Balance'!I44))/'Table 6 WTP Flow Balance'!H44</f>
        <v>7544.782608695652</v>
      </c>
      <c r="H46" s="156">
        <f t="shared" si="0"/>
        <v>1450</v>
      </c>
      <c r="I46" s="385">
        <f>((F46*'Table 6 WTP Flow Balance'!I44)+(H46*'Table 6 WTP Flow Balance'!J44))/'Table 6 WTP Flow Balance'!K44</f>
        <v>500.42954121208533</v>
      </c>
    </row>
    <row r="47" spans="2:9" ht="14.25" x14ac:dyDescent="0.2">
      <c r="B47" s="345">
        <f>'Table 5 Flows to Evap &amp; WTP'!B51</f>
        <v>46</v>
      </c>
      <c r="C47" s="156">
        <f>AVERAGE('Table 3 Water Quality'!$D$4:$D$5)</f>
        <v>1450</v>
      </c>
      <c r="D47" s="156">
        <f>AVERAGE('Table 3 Water Quality'!$D$9)</f>
        <v>1571</v>
      </c>
      <c r="E47" s="156">
        <f>((C47*'Table 6 WTP Flow Balance'!E45)+('Table 7 WTP Sulfate Balance'!D47*'Table 6 WTP Flow Balance'!D45))/('Table 6 WTP Flow Balance'!E45+'Table 6 WTP Flow Balance'!D45)</f>
        <v>1517.0094936708861</v>
      </c>
      <c r="F47" s="157">
        <v>10</v>
      </c>
      <c r="G47" s="156">
        <f>((E47*'Table 6 WTP Flow Balance'!F45)-(F47*'Table 6 WTP Flow Balance'!I45))/'Table 6 WTP Flow Balance'!H45</f>
        <v>7545.0474683544298</v>
      </c>
      <c r="H47" s="156">
        <f t="shared" si="0"/>
        <v>1450</v>
      </c>
      <c r="I47" s="385">
        <f>((F47*'Table 6 WTP Flow Balance'!I45)+(H47*'Table 6 WTP Flow Balance'!J45))/'Table 6 WTP Flow Balance'!K45</f>
        <v>500.23668211881045</v>
      </c>
    </row>
    <row r="48" spans="2:9" ht="14.25" x14ac:dyDescent="0.2">
      <c r="B48" s="345">
        <f>'Table 5 Flows to Evap &amp; WTP'!B52</f>
        <v>47</v>
      </c>
      <c r="C48" s="156">
        <f>AVERAGE('Table 3 Water Quality'!$D$4:$D$5)</f>
        <v>1450</v>
      </c>
      <c r="D48" s="156">
        <f>AVERAGE('Table 3 Water Quality'!$D$9)</f>
        <v>1571</v>
      </c>
      <c r="E48" s="156">
        <f>((C48*'Table 6 WTP Flow Balance'!E46)+('Table 7 WTP Sulfate Balance'!D48*'Table 6 WTP Flow Balance'!D46))/('Table 6 WTP Flow Balance'!E46+'Table 6 WTP Flow Balance'!D46)</f>
        <v>1517.0625494853523</v>
      </c>
      <c r="F48" s="157">
        <v>10</v>
      </c>
      <c r="G48" s="156">
        <f>((E48*'Table 6 WTP Flow Balance'!F46)-(F48*'Table 6 WTP Flow Balance'!I46))/'Table 6 WTP Flow Balance'!H46</f>
        <v>7545.3127474267612</v>
      </c>
      <c r="H48" s="156">
        <f t="shared" si="0"/>
        <v>1450</v>
      </c>
      <c r="I48" s="385">
        <f>((F48*'Table 6 WTP Flow Balance'!I46)+(H48*'Table 6 WTP Flow Balance'!J46))/'Table 6 WTP Flow Balance'!K46</f>
        <v>500.06536417626734</v>
      </c>
    </row>
    <row r="49" spans="2:9" ht="14.25" x14ac:dyDescent="0.2">
      <c r="B49" s="345">
        <f>'Table 5 Flows to Evap &amp; WTP'!B53</f>
        <v>48</v>
      </c>
      <c r="C49" s="156">
        <f>AVERAGE('Table 3 Water Quality'!$D$4:$D$5)</f>
        <v>1450</v>
      </c>
      <c r="D49" s="156">
        <f>AVERAGE('Table 3 Water Quality'!$D$9)</f>
        <v>1571</v>
      </c>
      <c r="E49" s="156">
        <f>((C49*'Table 6 WTP Flow Balance'!E47)+('Table 7 WTP Sulfate Balance'!D49*'Table 6 WTP Flow Balance'!D47))/('Table 6 WTP Flow Balance'!E47+'Table 6 WTP Flow Balance'!D47)</f>
        <v>1517.1156893819334</v>
      </c>
      <c r="F49" s="157">
        <v>10</v>
      </c>
      <c r="G49" s="156">
        <f>((E49*'Table 6 WTP Flow Balance'!F47)-(F49*'Table 6 WTP Flow Balance'!I47))/'Table 6 WTP Flow Balance'!H47</f>
        <v>7545.578446909667</v>
      </c>
      <c r="H49" s="156">
        <f t="shared" si="0"/>
        <v>1450</v>
      </c>
      <c r="I49" s="385">
        <f>((F49*'Table 6 WTP Flow Balance'!I47)+(H49*'Table 6 WTP Flow Balance'!J47))/'Table 6 WTP Flow Balance'!K47</f>
        <v>499.91396321437446</v>
      </c>
    </row>
    <row r="50" spans="2:9" ht="14.25" x14ac:dyDescent="0.2">
      <c r="B50" s="345">
        <f>'Table 5 Flows to Evap &amp; WTP'!B54</f>
        <v>49</v>
      </c>
      <c r="C50" s="156">
        <f>AVERAGE('Table 3 Water Quality'!$D$4:$D$5)</f>
        <v>1450</v>
      </c>
      <c r="D50" s="156">
        <f>AVERAGE('Table 3 Water Quality'!$D$9)</f>
        <v>1571</v>
      </c>
      <c r="E50" s="156">
        <f>((C50*'Table 6 WTP Flow Balance'!E48)+('Table 7 WTP Sulfate Balance'!D50*'Table 6 WTP Flow Balance'!D48))/('Table 6 WTP Flow Balance'!E48+'Table 6 WTP Flow Balance'!D48)</f>
        <v>1517.1689135606662</v>
      </c>
      <c r="F50" s="157">
        <v>10</v>
      </c>
      <c r="G50" s="156">
        <f>((E50*'Table 6 WTP Flow Balance'!F48)-(F50*'Table 6 WTP Flow Balance'!I48))/'Table 6 WTP Flow Balance'!H48</f>
        <v>7545.8445678033304</v>
      </c>
      <c r="H50" s="156">
        <f t="shared" si="0"/>
        <v>1450</v>
      </c>
      <c r="I50" s="385">
        <f>((F50*'Table 6 WTP Flow Balance'!I48)+(H50*'Table 6 WTP Flow Balance'!J48))/'Table 6 WTP Flow Balance'!K48</f>
        <v>499.78339035751691</v>
      </c>
    </row>
    <row r="51" spans="2:9" ht="14.25" x14ac:dyDescent="0.2">
      <c r="B51" s="345">
        <f>'Table 5 Flows to Evap &amp; WTP'!B55</f>
        <v>50</v>
      </c>
      <c r="C51" s="156">
        <f>AVERAGE('Table 3 Water Quality'!$D$4:$D$5)</f>
        <v>1450</v>
      </c>
      <c r="D51" s="156">
        <f>AVERAGE('Table 3 Water Quality'!$D$9)</f>
        <v>1571</v>
      </c>
      <c r="E51" s="156">
        <f>((C51*'Table 6 WTP Flow Balance'!E49)+('Table 7 WTP Sulfate Balance'!D51*'Table 6 WTP Flow Balance'!D49))/('Table 6 WTP Flow Balance'!E49+'Table 6 WTP Flow Balance'!D49)</f>
        <v>1517.2222222222222</v>
      </c>
      <c r="F51" s="157">
        <v>10</v>
      </c>
      <c r="G51" s="156">
        <f>((E51*'Table 6 WTP Flow Balance'!F49)-(F51*'Table 6 WTP Flow Balance'!I49))/'Table 6 WTP Flow Balance'!H49</f>
        <v>7546.1111111111113</v>
      </c>
      <c r="H51" s="156">
        <f t="shared" si="0"/>
        <v>1450</v>
      </c>
      <c r="I51" s="385">
        <f>((F51*'Table 6 WTP Flow Balance'!I49)+(H51*'Table 6 WTP Flow Balance'!J49))/'Table 6 WTP Flow Balance'!K49</f>
        <v>499.67428044126905</v>
      </c>
    </row>
    <row r="52" spans="2:9" ht="14.25" x14ac:dyDescent="0.2">
      <c r="B52" s="345">
        <f>'Table 5 Flows to Evap &amp; WTP'!B56</f>
        <v>51</v>
      </c>
      <c r="C52" s="156">
        <f>AVERAGE('Table 3 Water Quality'!$D$4:$D$5)</f>
        <v>1450</v>
      </c>
      <c r="D52" s="156">
        <f>AVERAGE('Table 3 Water Quality'!$D$9)</f>
        <v>1571</v>
      </c>
      <c r="E52" s="156">
        <f>((C52*'Table 6 WTP Flow Balance'!E50)+('Table 7 WTP Sulfate Balance'!D52*'Table 6 WTP Flow Balance'!D50))/('Table 6 WTP Flow Balance'!E50+'Table 6 WTP Flow Balance'!D50)</f>
        <v>1517.275615567911</v>
      </c>
      <c r="F52" s="157">
        <v>10</v>
      </c>
      <c r="G52" s="156">
        <f>((E52*'Table 6 WTP Flow Balance'!F50)-(F52*'Table 6 WTP Flow Balance'!I50))/'Table 6 WTP Flow Balance'!H50</f>
        <v>7546.3780778395549</v>
      </c>
      <c r="H52" s="156">
        <f t="shared" si="0"/>
        <v>1450</v>
      </c>
      <c r="I52" s="385">
        <f>((F52*'Table 6 WTP Flow Balance'!I50)+(H52*'Table 6 WTP Flow Balance'!J50))/'Table 6 WTP Flow Balance'!K50</f>
        <v>499.58441143801912</v>
      </c>
    </row>
    <row r="53" spans="2:9" ht="14.25" x14ac:dyDescent="0.2">
      <c r="B53" s="345">
        <f>'Table 5 Flows to Evap &amp; WTP'!B57</f>
        <v>52</v>
      </c>
      <c r="C53" s="156">
        <f>AVERAGE('Table 3 Water Quality'!$D$4:$D$5)</f>
        <v>1450</v>
      </c>
      <c r="D53" s="156">
        <f>AVERAGE('Table 3 Water Quality'!$D$9)</f>
        <v>1571</v>
      </c>
      <c r="E53" s="156">
        <f>((C53*'Table 6 WTP Flow Balance'!E51)+('Table 7 WTP Sulfate Balance'!D53*'Table 6 WTP Flow Balance'!D51))/('Table 6 WTP Flow Balance'!E51+'Table 6 WTP Flow Balance'!D51)</f>
        <v>1517.3290937996821</v>
      </c>
      <c r="F53" s="157">
        <v>10</v>
      </c>
      <c r="G53" s="156">
        <f>((E53*'Table 6 WTP Flow Balance'!F51)-(F53*'Table 6 WTP Flow Balance'!I51))/'Table 6 WTP Flow Balance'!H51</f>
        <v>7546.6454689984103</v>
      </c>
      <c r="H53" s="156">
        <f t="shared" si="0"/>
        <v>1450</v>
      </c>
      <c r="I53" s="385">
        <f>((F53*'Table 6 WTP Flow Balance'!I51)+(H53*'Table 6 WTP Flow Balance'!J51))/'Table 6 WTP Flow Balance'!K51</f>
        <v>499.51164405770044</v>
      </c>
    </row>
    <row r="54" spans="2:9" ht="14.25" x14ac:dyDescent="0.2">
      <c r="B54" s="345">
        <f>'Table 5 Flows to Evap &amp; WTP'!B58</f>
        <v>53</v>
      </c>
      <c r="C54" s="156">
        <f>AVERAGE('Table 3 Water Quality'!$D$4:$D$5)</f>
        <v>1450</v>
      </c>
      <c r="D54" s="156">
        <f>AVERAGE('Table 3 Water Quality'!$D$9)</f>
        <v>1571</v>
      </c>
      <c r="E54" s="156">
        <f>((C54*'Table 6 WTP Flow Balance'!E52)+('Table 7 WTP Sulfate Balance'!D54*'Table 6 WTP Flow Balance'!D52))/('Table 6 WTP Flow Balance'!E52+'Table 6 WTP Flow Balance'!D52)</f>
        <v>1517.436305732484</v>
      </c>
      <c r="F54" s="157">
        <v>10</v>
      </c>
      <c r="G54" s="156">
        <f>((E54*'Table 6 WTP Flow Balance'!F52)-(F54*'Table 6 WTP Flow Balance'!I52))/'Table 6 WTP Flow Balance'!H52</f>
        <v>7547.1815286624196</v>
      </c>
      <c r="H54" s="156">
        <f t="shared" si="0"/>
        <v>1450</v>
      </c>
      <c r="I54" s="385">
        <f>((F54*'Table 6 WTP Flow Balance'!I52)+(H54*'Table 6 WTP Flow Balance'!J52))/'Table 6 WTP Flow Balance'!K52</f>
        <v>500.33737129821895</v>
      </c>
    </row>
    <row r="55" spans="2:9" ht="14.25" x14ac:dyDescent="0.2">
      <c r="B55" s="345">
        <f>'Table 5 Flows to Evap &amp; WTP'!B59</f>
        <v>54</v>
      </c>
      <c r="C55" s="156">
        <f>AVERAGE('Table 3 Water Quality'!$D$4:$D$5)</f>
        <v>1450</v>
      </c>
      <c r="D55" s="156">
        <f>AVERAGE('Table 3 Water Quality'!$D$9)</f>
        <v>1571</v>
      </c>
      <c r="E55" s="156">
        <f>((C55*'Table 6 WTP Flow Balance'!E53)+('Table 7 WTP Sulfate Balance'!D55*'Table 6 WTP Flow Balance'!D53))/('Table 6 WTP Flow Balance'!E53+'Table 6 WTP Flow Balance'!D53)</f>
        <v>1517.4900398406373</v>
      </c>
      <c r="F55" s="157">
        <v>10</v>
      </c>
      <c r="G55" s="156">
        <f>((E55*'Table 6 WTP Flow Balance'!F53)-(F55*'Table 6 WTP Flow Balance'!I53))/'Table 6 WTP Flow Balance'!H53</f>
        <v>7547.4501992031865</v>
      </c>
      <c r="H55" s="156">
        <f t="shared" si="0"/>
        <v>1450</v>
      </c>
      <c r="I55" s="385">
        <f>((F55*'Table 6 WTP Flow Balance'!I53)+(H55*'Table 6 WTP Flow Balance'!J53))/'Table 6 WTP Flow Balance'!K53</f>
        <v>500.30113219380081</v>
      </c>
    </row>
    <row r="56" spans="2:9" ht="14.25" x14ac:dyDescent="0.2">
      <c r="B56" s="345">
        <f>'Table 5 Flows to Evap &amp; WTP'!B60</f>
        <v>55</v>
      </c>
      <c r="C56" s="156">
        <f>AVERAGE('Table 3 Water Quality'!$D$4:$D$5)</f>
        <v>1450</v>
      </c>
      <c r="D56" s="156">
        <f>AVERAGE('Table 3 Water Quality'!$D$9)</f>
        <v>1571</v>
      </c>
      <c r="E56" s="156">
        <f>((C56*'Table 6 WTP Flow Balance'!E54)+('Table 7 WTP Sulfate Balance'!D56*'Table 6 WTP Flow Balance'!D54))/('Table 6 WTP Flow Balance'!E54+'Table 6 WTP Flow Balance'!D54)</f>
        <v>1517.5438596491229</v>
      </c>
      <c r="F56" s="157">
        <v>10</v>
      </c>
      <c r="G56" s="156">
        <f>((E56*'Table 6 WTP Flow Balance'!F54)-(F56*'Table 6 WTP Flow Balance'!I54))/'Table 6 WTP Flow Balance'!H54</f>
        <v>7547.7192982456136</v>
      </c>
      <c r="H56" s="156">
        <f t="shared" si="0"/>
        <v>1450</v>
      </c>
      <c r="I56" s="385">
        <f>((F56*'Table 6 WTP Flow Balance'!I54)+(H56*'Table 6 WTP Flow Balance'!J54))/'Table 6 WTP Flow Balance'!K54</f>
        <v>500.28119042555727</v>
      </c>
    </row>
    <row r="57" spans="2:9" ht="14.25" x14ac:dyDescent="0.2">
      <c r="B57" s="345">
        <f>'Table 5 Flows to Evap &amp; WTP'!B61</f>
        <v>56</v>
      </c>
      <c r="C57" s="156">
        <f>AVERAGE('Table 3 Water Quality'!$D$4:$D$5)</f>
        <v>1450</v>
      </c>
      <c r="D57" s="156">
        <f>AVERAGE('Table 3 Water Quality'!$D$9)</f>
        <v>1571</v>
      </c>
      <c r="E57" s="156">
        <f>((C57*'Table 6 WTP Flow Balance'!E55)+('Table 7 WTP Sulfate Balance'!D57*'Table 6 WTP Flow Balance'!D55))/('Table 6 WTP Flow Balance'!E55+'Table 6 WTP Flow Balance'!D55)</f>
        <v>1517.5977653631285</v>
      </c>
      <c r="F57" s="157">
        <v>10</v>
      </c>
      <c r="G57" s="156">
        <f>((E57*'Table 6 WTP Flow Balance'!F55)-(F57*'Table 6 WTP Flow Balance'!I55))/'Table 6 WTP Flow Balance'!H55</f>
        <v>7547.9888268156419</v>
      </c>
      <c r="H57" s="156">
        <f t="shared" si="0"/>
        <v>1450</v>
      </c>
      <c r="I57" s="385">
        <f>((F57*'Table 6 WTP Flow Balance'!I55)+(H57*'Table 6 WTP Flow Balance'!J55))/'Table 6 WTP Flow Balance'!K55</f>
        <v>500.2759539528339</v>
      </c>
    </row>
    <row r="58" spans="2:9" ht="14.25" x14ac:dyDescent="0.2">
      <c r="B58" s="345">
        <f>'Table 5 Flows to Evap &amp; WTP'!B62</f>
        <v>57</v>
      </c>
      <c r="C58" s="156">
        <f>AVERAGE('Table 3 Water Quality'!$D$4:$D$5)</f>
        <v>1450</v>
      </c>
      <c r="D58" s="156">
        <f>AVERAGE('Table 3 Water Quality'!$D$9)</f>
        <v>1571</v>
      </c>
      <c r="E58" s="156">
        <f>((C58*'Table 6 WTP Flow Balance'!E56)+('Table 7 WTP Sulfate Balance'!D58*'Table 6 WTP Flow Balance'!D56))/('Table 6 WTP Flow Balance'!E56+'Table 6 WTP Flow Balance'!D56)</f>
        <v>1517.6517571884983</v>
      </c>
      <c r="F58" s="157">
        <v>10</v>
      </c>
      <c r="G58" s="156">
        <f>((E58*'Table 6 WTP Flow Balance'!F56)-(F58*'Table 6 WTP Flow Balance'!I56))/'Table 6 WTP Flow Balance'!H56</f>
        <v>7548.2587859424921</v>
      </c>
      <c r="H58" s="156">
        <f t="shared" si="0"/>
        <v>1450</v>
      </c>
      <c r="I58" s="385">
        <f>((F58*'Table 6 WTP Flow Balance'!I56)+(H58*'Table 6 WTP Flow Balance'!J56))/'Table 6 WTP Flow Balance'!K56</f>
        <v>500.28643901515676</v>
      </c>
    </row>
    <row r="59" spans="2:9" ht="14.25" x14ac:dyDescent="0.2">
      <c r="B59" s="345">
        <f>'Table 5 Flows to Evap &amp; WTP'!B63</f>
        <v>58</v>
      </c>
      <c r="C59" s="156">
        <f>AVERAGE('Table 3 Water Quality'!$D$4:$D$5)</f>
        <v>1450</v>
      </c>
      <c r="D59" s="156">
        <f>AVERAGE('Table 3 Water Quality'!$D$9)</f>
        <v>1571</v>
      </c>
      <c r="E59" s="156">
        <f>((C59*'Table 6 WTP Flow Balance'!E57)+('Table 7 WTP Sulfate Balance'!D59*'Table 6 WTP Flow Balance'!D57))/('Table 6 WTP Flow Balance'!E57+'Table 6 WTP Flow Balance'!D57)</f>
        <v>1517.7058353317345</v>
      </c>
      <c r="F59" s="157">
        <v>10</v>
      </c>
      <c r="G59" s="156">
        <f>((E59*'Table 6 WTP Flow Balance'!F57)-(F59*'Table 6 WTP Flow Balance'!I57))/'Table 6 WTP Flow Balance'!H57</f>
        <v>7548.5291766586724</v>
      </c>
      <c r="H59" s="156">
        <f t="shared" si="0"/>
        <v>1450</v>
      </c>
      <c r="I59" s="385">
        <f>((F59*'Table 6 WTP Flow Balance'!I57)+(H59*'Table 6 WTP Flow Balance'!J57))/'Table 6 WTP Flow Balance'!K57</f>
        <v>500.31375781334424</v>
      </c>
    </row>
    <row r="60" spans="2:9" ht="14.25" x14ac:dyDescent="0.2">
      <c r="B60" s="345">
        <f>'Table 5 Flows to Evap &amp; WTP'!B64</f>
        <v>59</v>
      </c>
      <c r="C60" s="156">
        <f>AVERAGE('Table 3 Water Quality'!$D$4:$D$5)</f>
        <v>1450</v>
      </c>
      <c r="D60" s="156">
        <f>AVERAGE('Table 3 Water Quality'!$D$9)</f>
        <v>1571</v>
      </c>
      <c r="E60" s="156">
        <f>((C60*'Table 6 WTP Flow Balance'!E58)+('Table 7 WTP Sulfate Balance'!D60*'Table 6 WTP Flow Balance'!D58))/('Table 6 WTP Flow Balance'!E58+'Table 6 WTP Flow Balance'!D58)</f>
        <v>1517.76</v>
      </c>
      <c r="F60" s="157">
        <v>10</v>
      </c>
      <c r="G60" s="156">
        <f>((E60*'Table 6 WTP Flow Balance'!F58)-(F60*'Table 6 WTP Flow Balance'!I58))/'Table 6 WTP Flow Balance'!H58</f>
        <v>7548.8</v>
      </c>
      <c r="H60" s="156">
        <f t="shared" si="0"/>
        <v>1450</v>
      </c>
      <c r="I60" s="385">
        <f>((F60*'Table 6 WTP Flow Balance'!I58)+(H60*'Table 6 WTP Flow Balance'!J58))/'Table 6 WTP Flow Balance'!K58</f>
        <v>500.35675744823635</v>
      </c>
    </row>
    <row r="61" spans="2:9" ht="14.25" x14ac:dyDescent="0.2">
      <c r="B61" s="345">
        <f>'Table 5 Flows to Evap &amp; WTP'!B65</f>
        <v>60</v>
      </c>
      <c r="C61" s="156">
        <f>AVERAGE('Table 3 Water Quality'!$D$4:$D$5)</f>
        <v>1450</v>
      </c>
      <c r="D61" s="156">
        <f>AVERAGE('Table 3 Water Quality'!$D$9)</f>
        <v>1571</v>
      </c>
      <c r="E61" s="156">
        <f>((C61*'Table 6 WTP Flow Balance'!E59)+('Table 7 WTP Sulfate Balance'!D61*'Table 6 WTP Flow Balance'!D59))/('Table 6 WTP Flow Balance'!E59+'Table 6 WTP Flow Balance'!D59)</f>
        <v>1517.8142514011208</v>
      </c>
      <c r="F61" s="157">
        <v>10</v>
      </c>
      <c r="G61" s="156">
        <f>((E61*'Table 6 WTP Flow Balance'!F59)-(F61*'Table 6 WTP Flow Balance'!I59))/'Table 6 WTP Flow Balance'!H59</f>
        <v>7549.0712570056039</v>
      </c>
      <c r="H61" s="156">
        <f t="shared" si="0"/>
        <v>1450</v>
      </c>
      <c r="I61" s="385">
        <f>((F61*'Table 6 WTP Flow Balance'!I59)+(H61*'Table 6 WTP Flow Balance'!J59))/'Table 6 WTP Flow Balance'!K59</f>
        <v>500.41442534615436</v>
      </c>
    </row>
    <row r="62" spans="2:9" ht="14.25" x14ac:dyDescent="0.2">
      <c r="B62" s="345">
        <f>'Table 5 Flows to Evap &amp; WTP'!B66</f>
        <v>61</v>
      </c>
      <c r="C62" s="156">
        <f>AVERAGE('Table 3 Water Quality'!$D$4:$D$5)</f>
        <v>1450</v>
      </c>
      <c r="D62" s="156">
        <f>AVERAGE('Table 3 Water Quality'!$D$9)</f>
        <v>1571</v>
      </c>
      <c r="E62" s="156">
        <f>((C62*'Table 6 WTP Flow Balance'!E60)+('Table 7 WTP Sulfate Balance'!D62*'Table 6 WTP Flow Balance'!D60))/('Table 6 WTP Flow Balance'!E60+'Table 6 WTP Flow Balance'!D60)</f>
        <v>1517.8685897435898</v>
      </c>
      <c r="F62" s="157">
        <v>10</v>
      </c>
      <c r="G62" s="156">
        <f>((E62*'Table 6 WTP Flow Balance'!F60)-(F62*'Table 6 WTP Flow Balance'!I60))/'Table 6 WTP Flow Balance'!H60</f>
        <v>7549.3429487179483</v>
      </c>
      <c r="H62" s="156">
        <f t="shared" si="0"/>
        <v>1450</v>
      </c>
      <c r="I62" s="385">
        <f>((F62*'Table 6 WTP Flow Balance'!I60)+(H62*'Table 6 WTP Flow Balance'!J60))/'Table 6 WTP Flow Balance'!K60</f>
        <v>500.48797395780502</v>
      </c>
    </row>
    <row r="63" spans="2:9" ht="14.25" x14ac:dyDescent="0.2">
      <c r="B63" s="345">
        <f>'Table 5 Flows to Evap &amp; WTP'!B67</f>
        <v>62</v>
      </c>
      <c r="C63" s="156">
        <f>AVERAGE('Table 3 Water Quality'!$D$4:$D$5)</f>
        <v>1450</v>
      </c>
      <c r="D63" s="156">
        <f>AVERAGE('Table 3 Water Quality'!$D$9)</f>
        <v>1571</v>
      </c>
      <c r="E63" s="156">
        <f>((C63*'Table 6 WTP Flow Balance'!E61)+('Table 7 WTP Sulfate Balance'!D63*'Table 6 WTP Flow Balance'!D61))/('Table 6 WTP Flow Balance'!E61+'Table 6 WTP Flow Balance'!D61)</f>
        <v>1518.1964573268922</v>
      </c>
      <c r="F63" s="157">
        <v>10</v>
      </c>
      <c r="G63" s="156">
        <f>((E63*'Table 6 WTP Flow Balance'!F61)-(F63*'Table 6 WTP Flow Balance'!I61))/'Table 6 WTP Flow Balance'!H61</f>
        <v>7550.9822866344603</v>
      </c>
      <c r="H63" s="156">
        <f t="shared" si="0"/>
        <v>1450</v>
      </c>
      <c r="I63" s="385">
        <f>((F63*'Table 6 WTP Flow Balance'!I61)+(H63*'Table 6 WTP Flow Balance'!J61))/'Table 6 WTP Flow Balance'!K61</f>
        <v>500.19297745898029</v>
      </c>
    </row>
    <row r="64" spans="2:9" ht="15" thickBot="1" x14ac:dyDescent="0.25">
      <c r="B64" s="348" t="str">
        <f>'Table 5 Flows to Evap &amp; WTP'!B68</f>
        <v>63-100</v>
      </c>
      <c r="C64" s="176">
        <f>AVERAGE('Table 3 Water Quality'!$D$4:$D$5)</f>
        <v>1450</v>
      </c>
      <c r="D64" s="176">
        <f>AVERAGE('Table 3 Water Quality'!$D$9)</f>
        <v>1571</v>
      </c>
      <c r="E64" s="176">
        <f>((C64*'Table 6 WTP Flow Balance'!E62)+('Table 7 WTP Sulfate Balance'!D64*'Table 6 WTP Flow Balance'!D62))/('Table 6 WTP Flow Balance'!E62+'Table 6 WTP Flow Balance'!D62)</f>
        <v>1518.361581920904</v>
      </c>
      <c r="F64" s="175">
        <v>10</v>
      </c>
      <c r="G64" s="176">
        <f>((E64*'Table 6 WTP Flow Balance'!F62)-(F64*'Table 6 WTP Flow Balance'!I62))/'Table 6 WTP Flow Balance'!H62</f>
        <v>7551.8079096045194</v>
      </c>
      <c r="H64" s="176">
        <f t="shared" si="0"/>
        <v>1450</v>
      </c>
      <c r="I64" s="386">
        <f>((F64*'Table 6 WTP Flow Balance'!I62)+(H64*'Table 6 WTP Flow Balance'!J62))/'Table 6 WTP Flow Balance'!K62</f>
        <v>499.84156570363467</v>
      </c>
    </row>
    <row r="65" spans="2:9" ht="13.5" hidden="1" thickTop="1" x14ac:dyDescent="0.2">
      <c r="B65" s="106">
        <f>'Table 5 Flows to Evap &amp; WTP'!B69</f>
        <v>64</v>
      </c>
      <c r="C65" s="114">
        <f>AVERAGE('Table 3 Water Quality'!$D$4:$D$5)</f>
        <v>1450</v>
      </c>
      <c r="D65" s="114">
        <f>AVERAGE('Table 3 Water Quality'!$D$9)</f>
        <v>1571</v>
      </c>
      <c r="E65" s="114">
        <f>((C65*'Table 6 WTP Flow Balance'!E63)+('Table 7 WTP Sulfate Balance'!D65*'Table 6 WTP Flow Balance'!D63))/('Table 6 WTP Flow Balance'!E63+'Table 6 WTP Flow Balance'!D63)</f>
        <v>1518.361581920904</v>
      </c>
      <c r="F65" s="121">
        <v>10</v>
      </c>
      <c r="G65" s="114">
        <f>((E65*'Table 6 WTP Flow Balance'!F63)-(F65*'Table 6 WTP Flow Balance'!I63))/'Table 6 WTP Flow Balance'!H63</f>
        <v>7551.8079096045194</v>
      </c>
      <c r="H65" s="114">
        <f t="shared" si="0"/>
        <v>1450</v>
      </c>
      <c r="I65" s="122">
        <f>((F65*'Table 6 WTP Flow Balance'!I63)+(H65*'Table 6 WTP Flow Balance'!J63))/'Table 6 WTP Flow Balance'!K63</f>
        <v>499.84156570363467</v>
      </c>
    </row>
    <row r="66" spans="2:9" hidden="1" x14ac:dyDescent="0.2">
      <c r="B66" s="92">
        <f>'Table 5 Flows to Evap &amp; WTP'!B70</f>
        <v>65</v>
      </c>
      <c r="C66" s="94">
        <f>AVERAGE('Table 3 Water Quality'!$D$4:$D$5)</f>
        <v>1450</v>
      </c>
      <c r="D66" s="94">
        <f>AVERAGE('Table 3 Water Quality'!$D$9)</f>
        <v>1571</v>
      </c>
      <c r="E66" s="94">
        <f>((C66*'Table 6 WTP Flow Balance'!E64)+('Table 7 WTP Sulfate Balance'!D66*'Table 6 WTP Flow Balance'!D64))/('Table 6 WTP Flow Balance'!E64+'Table 6 WTP Flow Balance'!D64)</f>
        <v>1518.361581920904</v>
      </c>
      <c r="F66" s="117">
        <v>10</v>
      </c>
      <c r="G66" s="94">
        <f>((E66*'Table 6 WTP Flow Balance'!F64)-(F66*'Table 6 WTP Flow Balance'!I64))/'Table 6 WTP Flow Balance'!H64</f>
        <v>7551.8079096045194</v>
      </c>
      <c r="H66" s="94">
        <f t="shared" si="0"/>
        <v>1450</v>
      </c>
      <c r="I66" s="119">
        <f>((F66*'Table 6 WTP Flow Balance'!I64)+(H66*'Table 6 WTP Flow Balance'!J64))/'Table 6 WTP Flow Balance'!K64</f>
        <v>499.84156570363467</v>
      </c>
    </row>
    <row r="67" spans="2:9" hidden="1" x14ac:dyDescent="0.2">
      <c r="B67" s="92">
        <f>'Table 5 Flows to Evap &amp; WTP'!B71</f>
        <v>66</v>
      </c>
      <c r="C67" s="94">
        <f>AVERAGE('Table 3 Water Quality'!$D$4:$D$5)</f>
        <v>1450</v>
      </c>
      <c r="D67" s="94">
        <f>AVERAGE('Table 3 Water Quality'!$D$9)</f>
        <v>1571</v>
      </c>
      <c r="E67" s="94">
        <f>((C67*'Table 6 WTP Flow Balance'!E65)+('Table 7 WTP Sulfate Balance'!D67*'Table 6 WTP Flow Balance'!D65))/('Table 6 WTP Flow Balance'!E65+'Table 6 WTP Flow Balance'!D65)</f>
        <v>1518.361581920904</v>
      </c>
      <c r="F67" s="117">
        <v>10</v>
      </c>
      <c r="G67" s="94">
        <f>((E67*'Table 6 WTP Flow Balance'!F65)-(F67*'Table 6 WTP Flow Balance'!I65))/'Table 6 WTP Flow Balance'!H65</f>
        <v>7551.8079096045194</v>
      </c>
      <c r="H67" s="94">
        <f t="shared" si="0"/>
        <v>1450</v>
      </c>
      <c r="I67" s="119">
        <f>((F67*'Table 6 WTP Flow Balance'!I65)+(H67*'Table 6 WTP Flow Balance'!J65))/'Table 6 WTP Flow Balance'!K65</f>
        <v>499.84156570363467</v>
      </c>
    </row>
    <row r="68" spans="2:9" hidden="1" x14ac:dyDescent="0.2">
      <c r="B68" s="92">
        <f>'Table 5 Flows to Evap &amp; WTP'!B72</f>
        <v>67</v>
      </c>
      <c r="C68" s="94">
        <f>AVERAGE('Table 3 Water Quality'!$D$4:$D$5)</f>
        <v>1450</v>
      </c>
      <c r="D68" s="94">
        <f>AVERAGE('Table 3 Water Quality'!$D$9)</f>
        <v>1571</v>
      </c>
      <c r="E68" s="94">
        <f>((C68*'Table 6 WTP Flow Balance'!E66)+('Table 7 WTP Sulfate Balance'!D68*'Table 6 WTP Flow Balance'!D66))/('Table 6 WTP Flow Balance'!E66+'Table 6 WTP Flow Balance'!D66)</f>
        <v>1518.361581920904</v>
      </c>
      <c r="F68" s="117">
        <v>10</v>
      </c>
      <c r="G68" s="94">
        <f>((E68*'Table 6 WTP Flow Balance'!F66)-(F68*'Table 6 WTP Flow Balance'!I66))/'Table 6 WTP Flow Balance'!H66</f>
        <v>7551.8079096045194</v>
      </c>
      <c r="H68" s="94">
        <f t="shared" si="0"/>
        <v>1450</v>
      </c>
      <c r="I68" s="119">
        <f>((F68*'Table 6 WTP Flow Balance'!I66)+(H68*'Table 6 WTP Flow Balance'!J66))/'Table 6 WTP Flow Balance'!K66</f>
        <v>499.84156570363467</v>
      </c>
    </row>
    <row r="69" spans="2:9" hidden="1" x14ac:dyDescent="0.2">
      <c r="B69" s="92">
        <f>'Table 5 Flows to Evap &amp; WTP'!B73</f>
        <v>68</v>
      </c>
      <c r="C69" s="94">
        <f>AVERAGE('Table 3 Water Quality'!$D$4:$D$5)</f>
        <v>1450</v>
      </c>
      <c r="D69" s="94">
        <f>AVERAGE('Table 3 Water Quality'!$D$9)</f>
        <v>1571</v>
      </c>
      <c r="E69" s="94">
        <f>((C69*'Table 6 WTP Flow Balance'!E67)+('Table 7 WTP Sulfate Balance'!D69*'Table 6 WTP Flow Balance'!D67))/('Table 6 WTP Flow Balance'!E67+'Table 6 WTP Flow Balance'!D67)</f>
        <v>1518.361581920904</v>
      </c>
      <c r="F69" s="117">
        <v>10</v>
      </c>
      <c r="G69" s="94">
        <f>((E69*'Table 6 WTP Flow Balance'!F67)-(F69*'Table 6 WTP Flow Balance'!I67))/'Table 6 WTP Flow Balance'!H67</f>
        <v>7551.8079096045194</v>
      </c>
      <c r="H69" s="94">
        <f t="shared" si="0"/>
        <v>1450</v>
      </c>
      <c r="I69" s="119">
        <f>((F69*'Table 6 WTP Flow Balance'!I67)+(H69*'Table 6 WTP Flow Balance'!J67))/'Table 6 WTP Flow Balance'!K67</f>
        <v>499.84156570363467</v>
      </c>
    </row>
    <row r="70" spans="2:9" hidden="1" x14ac:dyDescent="0.2">
      <c r="B70" s="92">
        <f>'Table 5 Flows to Evap &amp; WTP'!B74</f>
        <v>69</v>
      </c>
      <c r="C70" s="94">
        <f>AVERAGE('Table 3 Water Quality'!$D$4:$D$5)</f>
        <v>1450</v>
      </c>
      <c r="D70" s="94">
        <f>AVERAGE('Table 3 Water Quality'!$D$9)</f>
        <v>1571</v>
      </c>
      <c r="E70" s="94">
        <f>((C70*'Table 6 WTP Flow Balance'!E68)+('Table 7 WTP Sulfate Balance'!D70*'Table 6 WTP Flow Balance'!D68))/('Table 6 WTP Flow Balance'!E68+'Table 6 WTP Flow Balance'!D68)</f>
        <v>1518.361581920904</v>
      </c>
      <c r="F70" s="117">
        <v>10</v>
      </c>
      <c r="G70" s="94">
        <f>((E70*'Table 6 WTP Flow Balance'!F68)-(F70*'Table 6 WTP Flow Balance'!I68))/'Table 6 WTP Flow Balance'!H68</f>
        <v>7551.8079096045194</v>
      </c>
      <c r="H70" s="94">
        <f t="shared" si="0"/>
        <v>1450</v>
      </c>
      <c r="I70" s="119">
        <f>((F70*'Table 6 WTP Flow Balance'!I68)+(H70*'Table 6 WTP Flow Balance'!J68))/'Table 6 WTP Flow Balance'!K68</f>
        <v>499.84156570363467</v>
      </c>
    </row>
    <row r="71" spans="2:9" hidden="1" x14ac:dyDescent="0.2">
      <c r="B71" s="92">
        <f>'Table 5 Flows to Evap &amp; WTP'!B75</f>
        <v>70</v>
      </c>
      <c r="C71" s="94">
        <f>AVERAGE('Table 3 Water Quality'!$D$4:$D$5)</f>
        <v>1450</v>
      </c>
      <c r="D71" s="94">
        <f>AVERAGE('Table 3 Water Quality'!$D$9)</f>
        <v>1571</v>
      </c>
      <c r="E71" s="94">
        <f>((C71*'Table 6 WTP Flow Balance'!E69)+('Table 7 WTP Sulfate Balance'!D71*'Table 6 WTP Flow Balance'!D69))/('Table 6 WTP Flow Balance'!E69+'Table 6 WTP Flow Balance'!D69)</f>
        <v>1518.361581920904</v>
      </c>
      <c r="F71" s="117">
        <v>10</v>
      </c>
      <c r="G71" s="94">
        <f>((E71*'Table 6 WTP Flow Balance'!F69)-(F71*'Table 6 WTP Flow Balance'!I69))/'Table 6 WTP Flow Balance'!H69</f>
        <v>7551.8079096045194</v>
      </c>
      <c r="H71" s="94">
        <f t="shared" si="0"/>
        <v>1450</v>
      </c>
      <c r="I71" s="119">
        <f>((F71*'Table 6 WTP Flow Balance'!I69)+(H71*'Table 6 WTP Flow Balance'!J69))/'Table 6 WTP Flow Balance'!K69</f>
        <v>499.84156570363467</v>
      </c>
    </row>
    <row r="72" spans="2:9" hidden="1" x14ac:dyDescent="0.2">
      <c r="B72" s="92">
        <f>'Table 5 Flows to Evap &amp; WTP'!B76</f>
        <v>71</v>
      </c>
      <c r="C72" s="94">
        <f>AVERAGE('Table 3 Water Quality'!$D$4:$D$5)</f>
        <v>1450</v>
      </c>
      <c r="D72" s="94">
        <f>AVERAGE('Table 3 Water Quality'!$D$9)</f>
        <v>1571</v>
      </c>
      <c r="E72" s="94">
        <f>((C72*'Table 6 WTP Flow Balance'!E70)+('Table 7 WTP Sulfate Balance'!D72*'Table 6 WTP Flow Balance'!D70))/('Table 6 WTP Flow Balance'!E70+'Table 6 WTP Flow Balance'!D70)</f>
        <v>1518.361581920904</v>
      </c>
      <c r="F72" s="117">
        <v>10</v>
      </c>
      <c r="G72" s="94">
        <f>((E72*'Table 6 WTP Flow Balance'!F70)-(F72*'Table 6 WTP Flow Balance'!I70))/'Table 6 WTP Flow Balance'!H70</f>
        <v>7551.8079096045194</v>
      </c>
      <c r="H72" s="94">
        <f t="shared" ref="H72:H101" si="1">C72</f>
        <v>1450</v>
      </c>
      <c r="I72" s="119">
        <f>((F72*'Table 6 WTP Flow Balance'!I70)+(H72*'Table 6 WTP Flow Balance'!J70))/'Table 6 WTP Flow Balance'!K70</f>
        <v>499.84156570363467</v>
      </c>
    </row>
    <row r="73" spans="2:9" hidden="1" x14ac:dyDescent="0.2">
      <c r="B73" s="92">
        <f>'Table 5 Flows to Evap &amp; WTP'!B77</f>
        <v>72</v>
      </c>
      <c r="C73" s="94">
        <f>AVERAGE('Table 3 Water Quality'!$D$4:$D$5)</f>
        <v>1450</v>
      </c>
      <c r="D73" s="94">
        <f>AVERAGE('Table 3 Water Quality'!$D$9)</f>
        <v>1571</v>
      </c>
      <c r="E73" s="94">
        <f>((C73*'Table 6 WTP Flow Balance'!E71)+('Table 7 WTP Sulfate Balance'!D73*'Table 6 WTP Flow Balance'!D71))/('Table 6 WTP Flow Balance'!E71+'Table 6 WTP Flow Balance'!D71)</f>
        <v>1518.361581920904</v>
      </c>
      <c r="F73" s="117">
        <v>10</v>
      </c>
      <c r="G73" s="94">
        <f>((E73*'Table 6 WTP Flow Balance'!F71)-(F73*'Table 6 WTP Flow Balance'!I71))/'Table 6 WTP Flow Balance'!H71</f>
        <v>7551.8079096045194</v>
      </c>
      <c r="H73" s="94">
        <f t="shared" si="1"/>
        <v>1450</v>
      </c>
      <c r="I73" s="119">
        <f>((F73*'Table 6 WTP Flow Balance'!I71)+(H73*'Table 6 WTP Flow Balance'!J71))/'Table 6 WTP Flow Balance'!K71</f>
        <v>499.84156570363467</v>
      </c>
    </row>
    <row r="74" spans="2:9" hidden="1" x14ac:dyDescent="0.2">
      <c r="B74" s="92">
        <f>'Table 5 Flows to Evap &amp; WTP'!B78</f>
        <v>73</v>
      </c>
      <c r="C74" s="94">
        <f>AVERAGE('Table 3 Water Quality'!$D$4:$D$5)</f>
        <v>1450</v>
      </c>
      <c r="D74" s="94">
        <f>AVERAGE('Table 3 Water Quality'!$D$9)</f>
        <v>1571</v>
      </c>
      <c r="E74" s="94">
        <f>((C74*'Table 6 WTP Flow Balance'!E72)+('Table 7 WTP Sulfate Balance'!D74*'Table 6 WTP Flow Balance'!D72))/('Table 6 WTP Flow Balance'!E72+'Table 6 WTP Flow Balance'!D72)</f>
        <v>1518.361581920904</v>
      </c>
      <c r="F74" s="117">
        <v>10</v>
      </c>
      <c r="G74" s="94">
        <f>((E74*'Table 6 WTP Flow Balance'!F72)-(F74*'Table 6 WTP Flow Balance'!I72))/'Table 6 WTP Flow Balance'!H72</f>
        <v>7551.8079096045194</v>
      </c>
      <c r="H74" s="94">
        <f t="shared" si="1"/>
        <v>1450</v>
      </c>
      <c r="I74" s="119">
        <f>((F74*'Table 6 WTP Flow Balance'!I72)+(H74*'Table 6 WTP Flow Balance'!J72))/'Table 6 WTP Flow Balance'!K72</f>
        <v>499.84156570363467</v>
      </c>
    </row>
    <row r="75" spans="2:9" hidden="1" x14ac:dyDescent="0.2">
      <c r="B75" s="92">
        <f>'Table 5 Flows to Evap &amp; WTP'!B79</f>
        <v>74</v>
      </c>
      <c r="C75" s="94">
        <f>AVERAGE('Table 3 Water Quality'!$D$4:$D$5)</f>
        <v>1450</v>
      </c>
      <c r="D75" s="94">
        <f>AVERAGE('Table 3 Water Quality'!$D$9)</f>
        <v>1571</v>
      </c>
      <c r="E75" s="94">
        <f>((C75*'Table 6 WTP Flow Balance'!E73)+('Table 7 WTP Sulfate Balance'!D75*'Table 6 WTP Flow Balance'!D73))/('Table 6 WTP Flow Balance'!E73+'Table 6 WTP Flow Balance'!D73)</f>
        <v>1518.361581920904</v>
      </c>
      <c r="F75" s="117">
        <v>10</v>
      </c>
      <c r="G75" s="94">
        <f>((E75*'Table 6 WTP Flow Balance'!F73)-(F75*'Table 6 WTP Flow Balance'!I73))/'Table 6 WTP Flow Balance'!H73</f>
        <v>7551.8079096045194</v>
      </c>
      <c r="H75" s="94">
        <f t="shared" si="1"/>
        <v>1450</v>
      </c>
      <c r="I75" s="119">
        <f>((F75*'Table 6 WTP Flow Balance'!I73)+(H75*'Table 6 WTP Flow Balance'!J73))/'Table 6 WTP Flow Balance'!K73</f>
        <v>499.84156570363467</v>
      </c>
    </row>
    <row r="76" spans="2:9" hidden="1" x14ac:dyDescent="0.2">
      <c r="B76" s="92">
        <f>'Table 5 Flows to Evap &amp; WTP'!B80</f>
        <v>75</v>
      </c>
      <c r="C76" s="94">
        <f>AVERAGE('Table 3 Water Quality'!$D$4:$D$5)</f>
        <v>1450</v>
      </c>
      <c r="D76" s="94">
        <f>AVERAGE('Table 3 Water Quality'!$D$9)</f>
        <v>1571</v>
      </c>
      <c r="E76" s="94">
        <f>((C76*'Table 6 WTP Flow Balance'!E74)+('Table 7 WTP Sulfate Balance'!D76*'Table 6 WTP Flow Balance'!D74))/('Table 6 WTP Flow Balance'!E74+'Table 6 WTP Flow Balance'!D74)</f>
        <v>1518.361581920904</v>
      </c>
      <c r="F76" s="117">
        <v>10</v>
      </c>
      <c r="G76" s="94">
        <f>((E76*'Table 6 WTP Flow Balance'!F74)-(F76*'Table 6 WTP Flow Balance'!I74))/'Table 6 WTP Flow Balance'!H74</f>
        <v>7551.8079096045194</v>
      </c>
      <c r="H76" s="94">
        <f t="shared" si="1"/>
        <v>1450</v>
      </c>
      <c r="I76" s="119">
        <f>((F76*'Table 6 WTP Flow Balance'!I74)+(H76*'Table 6 WTP Flow Balance'!J74))/'Table 6 WTP Flow Balance'!K74</f>
        <v>499.84156570363467</v>
      </c>
    </row>
    <row r="77" spans="2:9" hidden="1" x14ac:dyDescent="0.2">
      <c r="B77" s="92">
        <f>'Table 5 Flows to Evap &amp; WTP'!B81</f>
        <v>76</v>
      </c>
      <c r="C77" s="94">
        <f>AVERAGE('Table 3 Water Quality'!$D$4:$D$5)</f>
        <v>1450</v>
      </c>
      <c r="D77" s="94">
        <f>AVERAGE('Table 3 Water Quality'!$D$9)</f>
        <v>1571</v>
      </c>
      <c r="E77" s="94">
        <f>((C77*'Table 6 WTP Flow Balance'!E75)+('Table 7 WTP Sulfate Balance'!D77*'Table 6 WTP Flow Balance'!D75))/('Table 6 WTP Flow Balance'!E75+'Table 6 WTP Flow Balance'!D75)</f>
        <v>1518.361581920904</v>
      </c>
      <c r="F77" s="117">
        <v>10</v>
      </c>
      <c r="G77" s="94">
        <f>((E77*'Table 6 WTP Flow Balance'!F75)-(F77*'Table 6 WTP Flow Balance'!I75))/'Table 6 WTP Flow Balance'!H75</f>
        <v>7551.8079096045194</v>
      </c>
      <c r="H77" s="94">
        <f t="shared" si="1"/>
        <v>1450</v>
      </c>
      <c r="I77" s="119">
        <f>((F77*'Table 6 WTP Flow Balance'!I75)+(H77*'Table 6 WTP Flow Balance'!J75))/'Table 6 WTP Flow Balance'!K75</f>
        <v>499.84156570363467</v>
      </c>
    </row>
    <row r="78" spans="2:9" hidden="1" x14ac:dyDescent="0.2">
      <c r="B78" s="92">
        <f>'Table 5 Flows to Evap &amp; WTP'!B82</f>
        <v>77</v>
      </c>
      <c r="C78" s="94">
        <f>AVERAGE('Table 3 Water Quality'!$D$4:$D$5)</f>
        <v>1450</v>
      </c>
      <c r="D78" s="94">
        <f>AVERAGE('Table 3 Water Quality'!$D$9)</f>
        <v>1571</v>
      </c>
      <c r="E78" s="94">
        <f>((C78*'Table 6 WTP Flow Balance'!E76)+('Table 7 WTP Sulfate Balance'!D78*'Table 6 WTP Flow Balance'!D76))/('Table 6 WTP Flow Balance'!E76+'Table 6 WTP Flow Balance'!D76)</f>
        <v>1518.361581920904</v>
      </c>
      <c r="F78" s="117">
        <v>10</v>
      </c>
      <c r="G78" s="94">
        <f>((E78*'Table 6 WTP Flow Balance'!F76)-(F78*'Table 6 WTP Flow Balance'!I76))/'Table 6 WTP Flow Balance'!H76</f>
        <v>7551.8079096045194</v>
      </c>
      <c r="H78" s="94">
        <f t="shared" si="1"/>
        <v>1450</v>
      </c>
      <c r="I78" s="119">
        <f>((F78*'Table 6 WTP Flow Balance'!I76)+(H78*'Table 6 WTP Flow Balance'!J76))/'Table 6 WTP Flow Balance'!K76</f>
        <v>499.84156570363467</v>
      </c>
    </row>
    <row r="79" spans="2:9" hidden="1" x14ac:dyDescent="0.2">
      <c r="B79" s="92">
        <f>'Table 5 Flows to Evap &amp; WTP'!B83</f>
        <v>78</v>
      </c>
      <c r="C79" s="94">
        <f>AVERAGE('Table 3 Water Quality'!$D$4:$D$5)</f>
        <v>1450</v>
      </c>
      <c r="D79" s="94">
        <f>AVERAGE('Table 3 Water Quality'!$D$9)</f>
        <v>1571</v>
      </c>
      <c r="E79" s="94">
        <f>((C79*'Table 6 WTP Flow Balance'!E77)+('Table 7 WTP Sulfate Balance'!D79*'Table 6 WTP Flow Balance'!D77))/('Table 6 WTP Flow Balance'!E77+'Table 6 WTP Flow Balance'!D77)</f>
        <v>1518.361581920904</v>
      </c>
      <c r="F79" s="117">
        <v>10</v>
      </c>
      <c r="G79" s="94">
        <f>((E79*'Table 6 WTP Flow Balance'!F77)-(F79*'Table 6 WTP Flow Balance'!I77))/'Table 6 WTP Flow Balance'!H77</f>
        <v>7551.8079096045194</v>
      </c>
      <c r="H79" s="94">
        <f t="shared" si="1"/>
        <v>1450</v>
      </c>
      <c r="I79" s="119">
        <f>((F79*'Table 6 WTP Flow Balance'!I77)+(H79*'Table 6 WTP Flow Balance'!J77))/'Table 6 WTP Flow Balance'!K77</f>
        <v>499.84156570363467</v>
      </c>
    </row>
    <row r="80" spans="2:9" hidden="1" x14ac:dyDescent="0.2">
      <c r="B80" s="92">
        <f>'Table 5 Flows to Evap &amp; WTP'!B84</f>
        <v>79</v>
      </c>
      <c r="C80" s="94">
        <f>AVERAGE('Table 3 Water Quality'!$D$4:$D$5)</f>
        <v>1450</v>
      </c>
      <c r="D80" s="94">
        <f>AVERAGE('Table 3 Water Quality'!$D$9)</f>
        <v>1571</v>
      </c>
      <c r="E80" s="94">
        <f>((C80*'Table 6 WTP Flow Balance'!E78)+('Table 7 WTP Sulfate Balance'!D80*'Table 6 WTP Flow Balance'!D78))/('Table 6 WTP Flow Balance'!E78+'Table 6 WTP Flow Balance'!D78)</f>
        <v>1518.361581920904</v>
      </c>
      <c r="F80" s="117">
        <v>10</v>
      </c>
      <c r="G80" s="94">
        <f>((E80*'Table 6 WTP Flow Balance'!F78)-(F80*'Table 6 WTP Flow Balance'!I78))/'Table 6 WTP Flow Balance'!H78</f>
        <v>7551.8079096045194</v>
      </c>
      <c r="H80" s="94">
        <f t="shared" si="1"/>
        <v>1450</v>
      </c>
      <c r="I80" s="119">
        <f>((F80*'Table 6 WTP Flow Balance'!I78)+(H80*'Table 6 WTP Flow Balance'!J78))/'Table 6 WTP Flow Balance'!K78</f>
        <v>499.84156570363467</v>
      </c>
    </row>
    <row r="81" spans="2:9" hidden="1" x14ac:dyDescent="0.2">
      <c r="B81" s="92">
        <f>'Table 5 Flows to Evap &amp; WTP'!B85</f>
        <v>80</v>
      </c>
      <c r="C81" s="94">
        <f>AVERAGE('Table 3 Water Quality'!$D$4:$D$5)</f>
        <v>1450</v>
      </c>
      <c r="D81" s="94">
        <f>AVERAGE('Table 3 Water Quality'!$D$9)</f>
        <v>1571</v>
      </c>
      <c r="E81" s="94">
        <f>((C81*'Table 6 WTP Flow Balance'!E79)+('Table 7 WTP Sulfate Balance'!D81*'Table 6 WTP Flow Balance'!D79))/('Table 6 WTP Flow Balance'!E79+'Table 6 WTP Flow Balance'!D79)</f>
        <v>1518.361581920904</v>
      </c>
      <c r="F81" s="117">
        <v>10</v>
      </c>
      <c r="G81" s="94">
        <f>((E81*'Table 6 WTP Flow Balance'!F79)-(F81*'Table 6 WTP Flow Balance'!I79))/'Table 6 WTP Flow Balance'!H79</f>
        <v>7551.8079096045194</v>
      </c>
      <c r="H81" s="94">
        <f t="shared" si="1"/>
        <v>1450</v>
      </c>
      <c r="I81" s="119">
        <f>((F81*'Table 6 WTP Flow Balance'!I79)+(H81*'Table 6 WTP Flow Balance'!J79))/'Table 6 WTP Flow Balance'!K79</f>
        <v>499.84156570363467</v>
      </c>
    </row>
    <row r="82" spans="2:9" hidden="1" x14ac:dyDescent="0.2">
      <c r="B82" s="92">
        <f>'Table 5 Flows to Evap &amp; WTP'!B86</f>
        <v>81</v>
      </c>
      <c r="C82" s="94">
        <f>AVERAGE('Table 3 Water Quality'!$D$4:$D$5)</f>
        <v>1450</v>
      </c>
      <c r="D82" s="94">
        <f>AVERAGE('Table 3 Water Quality'!$D$9)</f>
        <v>1571</v>
      </c>
      <c r="E82" s="94">
        <f>((C82*'Table 6 WTP Flow Balance'!E80)+('Table 7 WTP Sulfate Balance'!D82*'Table 6 WTP Flow Balance'!D80))/('Table 6 WTP Flow Balance'!E80+'Table 6 WTP Flow Balance'!D80)</f>
        <v>1518.361581920904</v>
      </c>
      <c r="F82" s="117">
        <v>10</v>
      </c>
      <c r="G82" s="94">
        <f>((E82*'Table 6 WTP Flow Balance'!F80)-(F82*'Table 6 WTP Flow Balance'!I80))/'Table 6 WTP Flow Balance'!H80</f>
        <v>7551.8079096045194</v>
      </c>
      <c r="H82" s="94">
        <f t="shared" si="1"/>
        <v>1450</v>
      </c>
      <c r="I82" s="119">
        <f>((F82*'Table 6 WTP Flow Balance'!I80)+(H82*'Table 6 WTP Flow Balance'!J80))/'Table 6 WTP Flow Balance'!K80</f>
        <v>499.84156570363467</v>
      </c>
    </row>
    <row r="83" spans="2:9" hidden="1" x14ac:dyDescent="0.2">
      <c r="B83" s="92">
        <f>'Table 5 Flows to Evap &amp; WTP'!B87</f>
        <v>82</v>
      </c>
      <c r="C83" s="94">
        <f>AVERAGE('Table 3 Water Quality'!$D$4:$D$5)</f>
        <v>1450</v>
      </c>
      <c r="D83" s="94">
        <f>AVERAGE('Table 3 Water Quality'!$D$9)</f>
        <v>1571</v>
      </c>
      <c r="E83" s="94">
        <f>((C83*'Table 6 WTP Flow Balance'!E81)+('Table 7 WTP Sulfate Balance'!D83*'Table 6 WTP Flow Balance'!D81))/('Table 6 WTP Flow Balance'!E81+'Table 6 WTP Flow Balance'!D81)</f>
        <v>1518.361581920904</v>
      </c>
      <c r="F83" s="117">
        <v>10</v>
      </c>
      <c r="G83" s="94">
        <f>((E83*'Table 6 WTP Flow Balance'!F81)-(F83*'Table 6 WTP Flow Balance'!I81))/'Table 6 WTP Flow Balance'!H81</f>
        <v>7551.8079096045194</v>
      </c>
      <c r="H83" s="94">
        <f t="shared" si="1"/>
        <v>1450</v>
      </c>
      <c r="I83" s="119">
        <f>((F83*'Table 6 WTP Flow Balance'!I81)+(H83*'Table 6 WTP Flow Balance'!J81))/'Table 6 WTP Flow Balance'!K81</f>
        <v>499.84156570363467</v>
      </c>
    </row>
    <row r="84" spans="2:9" hidden="1" x14ac:dyDescent="0.2">
      <c r="B84" s="92">
        <f>'Table 5 Flows to Evap &amp; WTP'!B88</f>
        <v>83</v>
      </c>
      <c r="C84" s="94">
        <f>AVERAGE('Table 3 Water Quality'!$D$4:$D$5)</f>
        <v>1450</v>
      </c>
      <c r="D84" s="94">
        <f>AVERAGE('Table 3 Water Quality'!$D$9)</f>
        <v>1571</v>
      </c>
      <c r="E84" s="94">
        <f>((C84*'Table 6 WTP Flow Balance'!E82)+('Table 7 WTP Sulfate Balance'!D84*'Table 6 WTP Flow Balance'!D82))/('Table 6 WTP Flow Balance'!E82+'Table 6 WTP Flow Balance'!D82)</f>
        <v>1518.361581920904</v>
      </c>
      <c r="F84" s="117">
        <v>10</v>
      </c>
      <c r="G84" s="94">
        <f>((E84*'Table 6 WTP Flow Balance'!F82)-(F84*'Table 6 WTP Flow Balance'!I82))/'Table 6 WTP Flow Balance'!H82</f>
        <v>7551.8079096045194</v>
      </c>
      <c r="H84" s="94">
        <f t="shared" si="1"/>
        <v>1450</v>
      </c>
      <c r="I84" s="119">
        <f>((F84*'Table 6 WTP Flow Balance'!I82)+(H84*'Table 6 WTP Flow Balance'!J82))/'Table 6 WTP Flow Balance'!K82</f>
        <v>499.84156570363467</v>
      </c>
    </row>
    <row r="85" spans="2:9" hidden="1" x14ac:dyDescent="0.2">
      <c r="B85" s="92">
        <f>'Table 5 Flows to Evap &amp; WTP'!B89</f>
        <v>84</v>
      </c>
      <c r="C85" s="94">
        <f>AVERAGE('Table 3 Water Quality'!$D$4:$D$5)</f>
        <v>1450</v>
      </c>
      <c r="D85" s="94">
        <f>AVERAGE('Table 3 Water Quality'!$D$9)</f>
        <v>1571</v>
      </c>
      <c r="E85" s="94">
        <f>((C85*'Table 6 WTP Flow Balance'!E83)+('Table 7 WTP Sulfate Balance'!D85*'Table 6 WTP Flow Balance'!D83))/('Table 6 WTP Flow Balance'!E83+'Table 6 WTP Flow Balance'!D83)</f>
        <v>1518.361581920904</v>
      </c>
      <c r="F85" s="117">
        <v>10</v>
      </c>
      <c r="G85" s="94">
        <f>((E85*'Table 6 WTP Flow Balance'!F83)-(F85*'Table 6 WTP Flow Balance'!I83))/'Table 6 WTP Flow Balance'!H83</f>
        <v>7551.8079096045194</v>
      </c>
      <c r="H85" s="94">
        <f t="shared" si="1"/>
        <v>1450</v>
      </c>
      <c r="I85" s="119">
        <f>((F85*'Table 6 WTP Flow Balance'!I83)+(H85*'Table 6 WTP Flow Balance'!J83))/'Table 6 WTP Flow Balance'!K83</f>
        <v>499.84156570363467</v>
      </c>
    </row>
    <row r="86" spans="2:9" hidden="1" x14ac:dyDescent="0.2">
      <c r="B86" s="92">
        <f>'Table 5 Flows to Evap &amp; WTP'!B90</f>
        <v>85</v>
      </c>
      <c r="C86" s="94">
        <f>AVERAGE('Table 3 Water Quality'!$D$4:$D$5)</f>
        <v>1450</v>
      </c>
      <c r="D86" s="94">
        <f>AVERAGE('Table 3 Water Quality'!$D$9)</f>
        <v>1571</v>
      </c>
      <c r="E86" s="94">
        <f>((C86*'Table 6 WTP Flow Balance'!E84)+('Table 7 WTP Sulfate Balance'!D86*'Table 6 WTP Flow Balance'!D84))/('Table 6 WTP Flow Balance'!E84+'Table 6 WTP Flow Balance'!D84)</f>
        <v>1518.361581920904</v>
      </c>
      <c r="F86" s="117">
        <v>10</v>
      </c>
      <c r="G86" s="94">
        <f>((E86*'Table 6 WTP Flow Balance'!F84)-(F86*'Table 6 WTP Flow Balance'!I84))/'Table 6 WTP Flow Balance'!H84</f>
        <v>7551.8079096045194</v>
      </c>
      <c r="H86" s="94">
        <f t="shared" si="1"/>
        <v>1450</v>
      </c>
      <c r="I86" s="119">
        <f>((F86*'Table 6 WTP Flow Balance'!I84)+(H86*'Table 6 WTP Flow Balance'!J84))/'Table 6 WTP Flow Balance'!K84</f>
        <v>499.84156570363467</v>
      </c>
    </row>
    <row r="87" spans="2:9" hidden="1" x14ac:dyDescent="0.2">
      <c r="B87" s="92">
        <f>'Table 5 Flows to Evap &amp; WTP'!B91</f>
        <v>86</v>
      </c>
      <c r="C87" s="94">
        <f>AVERAGE('Table 3 Water Quality'!$D$4:$D$5)</f>
        <v>1450</v>
      </c>
      <c r="D87" s="94">
        <f>AVERAGE('Table 3 Water Quality'!$D$9)</f>
        <v>1571</v>
      </c>
      <c r="E87" s="94">
        <f>((C87*'Table 6 WTP Flow Balance'!E85)+('Table 7 WTP Sulfate Balance'!D87*'Table 6 WTP Flow Balance'!D85))/('Table 6 WTP Flow Balance'!E85+'Table 6 WTP Flow Balance'!D85)</f>
        <v>1518.361581920904</v>
      </c>
      <c r="F87" s="117">
        <v>10</v>
      </c>
      <c r="G87" s="94">
        <f>((E87*'Table 6 WTP Flow Balance'!F85)-(F87*'Table 6 WTP Flow Balance'!I85))/'Table 6 WTP Flow Balance'!H85</f>
        <v>7551.8079096045194</v>
      </c>
      <c r="H87" s="94">
        <f t="shared" si="1"/>
        <v>1450</v>
      </c>
      <c r="I87" s="119">
        <f>((F87*'Table 6 WTP Flow Balance'!I85)+(H87*'Table 6 WTP Flow Balance'!J85))/'Table 6 WTP Flow Balance'!K85</f>
        <v>499.84156570363467</v>
      </c>
    </row>
    <row r="88" spans="2:9" hidden="1" x14ac:dyDescent="0.2">
      <c r="B88" s="92">
        <f>'Table 5 Flows to Evap &amp; WTP'!B92</f>
        <v>87</v>
      </c>
      <c r="C88" s="94">
        <f>AVERAGE('Table 3 Water Quality'!$D$4:$D$5)</f>
        <v>1450</v>
      </c>
      <c r="D88" s="94">
        <f>AVERAGE('Table 3 Water Quality'!$D$9)</f>
        <v>1571</v>
      </c>
      <c r="E88" s="94">
        <f>((C88*'Table 6 WTP Flow Balance'!E86)+('Table 7 WTP Sulfate Balance'!D88*'Table 6 WTP Flow Balance'!D86))/('Table 6 WTP Flow Balance'!E86+'Table 6 WTP Flow Balance'!D86)</f>
        <v>1518.361581920904</v>
      </c>
      <c r="F88" s="117">
        <v>10</v>
      </c>
      <c r="G88" s="94">
        <f>((E88*'Table 6 WTP Flow Balance'!F86)-(F88*'Table 6 WTP Flow Balance'!I86))/'Table 6 WTP Flow Balance'!H86</f>
        <v>7551.8079096045194</v>
      </c>
      <c r="H88" s="94">
        <f t="shared" si="1"/>
        <v>1450</v>
      </c>
      <c r="I88" s="119">
        <f>((F88*'Table 6 WTP Flow Balance'!I86)+(H88*'Table 6 WTP Flow Balance'!J86))/'Table 6 WTP Flow Balance'!K86</f>
        <v>499.84156570363467</v>
      </c>
    </row>
    <row r="89" spans="2:9" hidden="1" x14ac:dyDescent="0.2">
      <c r="B89" s="92">
        <f>'Table 5 Flows to Evap &amp; WTP'!B93</f>
        <v>88</v>
      </c>
      <c r="C89" s="94">
        <f>AVERAGE('Table 3 Water Quality'!$D$4:$D$5)</f>
        <v>1450</v>
      </c>
      <c r="D89" s="94">
        <f>AVERAGE('Table 3 Water Quality'!$D$9)</f>
        <v>1571</v>
      </c>
      <c r="E89" s="94">
        <f>((C89*'Table 6 WTP Flow Balance'!E87)+('Table 7 WTP Sulfate Balance'!D89*'Table 6 WTP Flow Balance'!D87))/('Table 6 WTP Flow Balance'!E87+'Table 6 WTP Flow Balance'!D87)</f>
        <v>1518.361581920904</v>
      </c>
      <c r="F89" s="117">
        <v>10</v>
      </c>
      <c r="G89" s="94">
        <f>((E89*'Table 6 WTP Flow Balance'!F87)-(F89*'Table 6 WTP Flow Balance'!I87))/'Table 6 WTP Flow Balance'!H87</f>
        <v>7551.8079096045194</v>
      </c>
      <c r="H89" s="94">
        <f t="shared" si="1"/>
        <v>1450</v>
      </c>
      <c r="I89" s="119">
        <f>((F89*'Table 6 WTP Flow Balance'!I87)+(H89*'Table 6 WTP Flow Balance'!J87))/'Table 6 WTP Flow Balance'!K87</f>
        <v>499.84156570363467</v>
      </c>
    </row>
    <row r="90" spans="2:9" hidden="1" x14ac:dyDescent="0.2">
      <c r="B90" s="92">
        <f>'Table 5 Flows to Evap &amp; WTP'!B94</f>
        <v>89</v>
      </c>
      <c r="C90" s="94">
        <f>AVERAGE('Table 3 Water Quality'!$D$4:$D$5)</f>
        <v>1450</v>
      </c>
      <c r="D90" s="94">
        <f>AVERAGE('Table 3 Water Quality'!$D$9)</f>
        <v>1571</v>
      </c>
      <c r="E90" s="94">
        <f>((C90*'Table 6 WTP Flow Balance'!E88)+('Table 7 WTP Sulfate Balance'!D90*'Table 6 WTP Flow Balance'!D88))/('Table 6 WTP Flow Balance'!E88+'Table 6 WTP Flow Balance'!D88)</f>
        <v>1518.361581920904</v>
      </c>
      <c r="F90" s="117">
        <v>10</v>
      </c>
      <c r="G90" s="94">
        <f>((E90*'Table 6 WTP Flow Balance'!F88)-(F90*'Table 6 WTP Flow Balance'!I88))/'Table 6 WTP Flow Balance'!H88</f>
        <v>7551.8079096045194</v>
      </c>
      <c r="H90" s="94">
        <f t="shared" si="1"/>
        <v>1450</v>
      </c>
      <c r="I90" s="119">
        <f>((F90*'Table 6 WTP Flow Balance'!I88)+(H90*'Table 6 WTP Flow Balance'!J88))/'Table 6 WTP Flow Balance'!K88</f>
        <v>499.84156570363467</v>
      </c>
    </row>
    <row r="91" spans="2:9" hidden="1" x14ac:dyDescent="0.2">
      <c r="B91" s="92">
        <f>'Table 5 Flows to Evap &amp; WTP'!B95</f>
        <v>90</v>
      </c>
      <c r="C91" s="94">
        <f>AVERAGE('Table 3 Water Quality'!$D$4:$D$5)</f>
        <v>1450</v>
      </c>
      <c r="D91" s="94">
        <f>AVERAGE('Table 3 Water Quality'!$D$9)</f>
        <v>1571</v>
      </c>
      <c r="E91" s="94">
        <f>((C91*'Table 6 WTP Flow Balance'!E89)+('Table 7 WTP Sulfate Balance'!D91*'Table 6 WTP Flow Balance'!D89))/('Table 6 WTP Flow Balance'!E89+'Table 6 WTP Flow Balance'!D89)</f>
        <v>1518.361581920904</v>
      </c>
      <c r="F91" s="117">
        <v>10</v>
      </c>
      <c r="G91" s="94">
        <f>((E91*'Table 6 WTP Flow Balance'!F89)-(F91*'Table 6 WTP Flow Balance'!I89))/'Table 6 WTP Flow Balance'!H89</f>
        <v>7551.8079096045194</v>
      </c>
      <c r="H91" s="94">
        <f t="shared" si="1"/>
        <v>1450</v>
      </c>
      <c r="I91" s="119">
        <f>((F91*'Table 6 WTP Flow Balance'!I89)+(H91*'Table 6 WTP Flow Balance'!J89))/'Table 6 WTP Flow Balance'!K89</f>
        <v>499.84156570363467</v>
      </c>
    </row>
    <row r="92" spans="2:9" hidden="1" x14ac:dyDescent="0.2">
      <c r="B92" s="92">
        <f>'Table 5 Flows to Evap &amp; WTP'!B96</f>
        <v>91</v>
      </c>
      <c r="C92" s="94">
        <f>AVERAGE('Table 3 Water Quality'!$D$4:$D$5)</f>
        <v>1450</v>
      </c>
      <c r="D92" s="94">
        <f>AVERAGE('Table 3 Water Quality'!$D$9)</f>
        <v>1571</v>
      </c>
      <c r="E92" s="94">
        <f>((C92*'Table 6 WTP Flow Balance'!E90)+('Table 7 WTP Sulfate Balance'!D92*'Table 6 WTP Flow Balance'!D90))/('Table 6 WTP Flow Balance'!E90+'Table 6 WTP Flow Balance'!D90)</f>
        <v>1518.361581920904</v>
      </c>
      <c r="F92" s="117">
        <v>10</v>
      </c>
      <c r="G92" s="94">
        <f>((E92*'Table 6 WTP Flow Balance'!F90)-(F92*'Table 6 WTP Flow Balance'!I90))/'Table 6 WTP Flow Balance'!H90</f>
        <v>7551.8079096045194</v>
      </c>
      <c r="H92" s="94">
        <f t="shared" si="1"/>
        <v>1450</v>
      </c>
      <c r="I92" s="119">
        <f>((F92*'Table 6 WTP Flow Balance'!I90)+(H92*'Table 6 WTP Flow Balance'!J90))/'Table 6 WTP Flow Balance'!K90</f>
        <v>499.84156570363467</v>
      </c>
    </row>
    <row r="93" spans="2:9" hidden="1" x14ac:dyDescent="0.2">
      <c r="B93" s="92">
        <f>'Table 5 Flows to Evap &amp; WTP'!B97</f>
        <v>92</v>
      </c>
      <c r="C93" s="94">
        <f>AVERAGE('Table 3 Water Quality'!$D$4:$D$5)</f>
        <v>1450</v>
      </c>
      <c r="D93" s="94">
        <f>AVERAGE('Table 3 Water Quality'!$D$9)</f>
        <v>1571</v>
      </c>
      <c r="E93" s="94">
        <f>((C93*'Table 6 WTP Flow Balance'!E91)+('Table 7 WTP Sulfate Balance'!D93*'Table 6 WTP Flow Balance'!D91))/('Table 6 WTP Flow Balance'!E91+'Table 6 WTP Flow Balance'!D91)</f>
        <v>1518.361581920904</v>
      </c>
      <c r="F93" s="117">
        <v>10</v>
      </c>
      <c r="G93" s="94">
        <f>((E93*'Table 6 WTP Flow Balance'!F91)-(F93*'Table 6 WTP Flow Balance'!I91))/'Table 6 WTP Flow Balance'!H91</f>
        <v>7551.8079096045194</v>
      </c>
      <c r="H93" s="94">
        <f t="shared" si="1"/>
        <v>1450</v>
      </c>
      <c r="I93" s="119">
        <f>((F93*'Table 6 WTP Flow Balance'!I91)+(H93*'Table 6 WTP Flow Balance'!J91))/'Table 6 WTP Flow Balance'!K91</f>
        <v>499.84156570363467</v>
      </c>
    </row>
    <row r="94" spans="2:9" hidden="1" x14ac:dyDescent="0.2">
      <c r="B94" s="92">
        <f>'Table 5 Flows to Evap &amp; WTP'!B98</f>
        <v>93</v>
      </c>
      <c r="C94" s="94">
        <f>AVERAGE('Table 3 Water Quality'!$D$4:$D$5)</f>
        <v>1450</v>
      </c>
      <c r="D94" s="94">
        <f>AVERAGE('Table 3 Water Quality'!$D$9)</f>
        <v>1571</v>
      </c>
      <c r="E94" s="94">
        <f>((C94*'Table 6 WTP Flow Balance'!E92)+('Table 7 WTP Sulfate Balance'!D94*'Table 6 WTP Flow Balance'!D92))/('Table 6 WTP Flow Balance'!E92+'Table 6 WTP Flow Balance'!D92)</f>
        <v>1518.361581920904</v>
      </c>
      <c r="F94" s="117">
        <v>10</v>
      </c>
      <c r="G94" s="94">
        <f>((E94*'Table 6 WTP Flow Balance'!F92)-(F94*'Table 6 WTP Flow Balance'!I92))/'Table 6 WTP Flow Balance'!H92</f>
        <v>7551.8079096045194</v>
      </c>
      <c r="H94" s="94">
        <f t="shared" si="1"/>
        <v>1450</v>
      </c>
      <c r="I94" s="119">
        <f>((F94*'Table 6 WTP Flow Balance'!I92)+(H94*'Table 6 WTP Flow Balance'!J92))/'Table 6 WTP Flow Balance'!K92</f>
        <v>499.84156570363467</v>
      </c>
    </row>
    <row r="95" spans="2:9" hidden="1" x14ac:dyDescent="0.2">
      <c r="B95" s="92">
        <f>'Table 5 Flows to Evap &amp; WTP'!B99</f>
        <v>94</v>
      </c>
      <c r="C95" s="94">
        <f>AVERAGE('Table 3 Water Quality'!$D$4:$D$5)</f>
        <v>1450</v>
      </c>
      <c r="D95" s="94">
        <f>AVERAGE('Table 3 Water Quality'!$D$9)</f>
        <v>1571</v>
      </c>
      <c r="E95" s="94">
        <f>((C95*'Table 6 WTP Flow Balance'!E93)+('Table 7 WTP Sulfate Balance'!D95*'Table 6 WTP Flow Balance'!D93))/('Table 6 WTP Flow Balance'!E93+'Table 6 WTP Flow Balance'!D93)</f>
        <v>1518.361581920904</v>
      </c>
      <c r="F95" s="117">
        <v>10</v>
      </c>
      <c r="G95" s="94">
        <f>((E95*'Table 6 WTP Flow Balance'!F93)-(F95*'Table 6 WTP Flow Balance'!I93))/'Table 6 WTP Flow Balance'!H93</f>
        <v>7551.8079096045194</v>
      </c>
      <c r="H95" s="94">
        <f t="shared" si="1"/>
        <v>1450</v>
      </c>
      <c r="I95" s="119">
        <f>((F95*'Table 6 WTP Flow Balance'!I93)+(H95*'Table 6 WTP Flow Balance'!J93))/'Table 6 WTP Flow Balance'!K93</f>
        <v>499.84156570363467</v>
      </c>
    </row>
    <row r="96" spans="2:9" hidden="1" x14ac:dyDescent="0.2">
      <c r="B96" s="92">
        <f>'Table 5 Flows to Evap &amp; WTP'!B100</f>
        <v>95</v>
      </c>
      <c r="C96" s="94">
        <f>AVERAGE('Table 3 Water Quality'!$D$4:$D$5)</f>
        <v>1450</v>
      </c>
      <c r="D96" s="94">
        <f>AVERAGE('Table 3 Water Quality'!$D$9)</f>
        <v>1571</v>
      </c>
      <c r="E96" s="94">
        <f>((C96*'Table 6 WTP Flow Balance'!E94)+('Table 7 WTP Sulfate Balance'!D96*'Table 6 WTP Flow Balance'!D94))/('Table 6 WTP Flow Balance'!E94+'Table 6 WTP Flow Balance'!D94)</f>
        <v>1518.361581920904</v>
      </c>
      <c r="F96" s="117">
        <v>10</v>
      </c>
      <c r="G96" s="94">
        <f>((E96*'Table 6 WTP Flow Balance'!F94)-(F96*'Table 6 WTP Flow Balance'!I94))/'Table 6 WTP Flow Balance'!H94</f>
        <v>7551.8079096045194</v>
      </c>
      <c r="H96" s="94">
        <f t="shared" si="1"/>
        <v>1450</v>
      </c>
      <c r="I96" s="119">
        <f>((F96*'Table 6 WTP Flow Balance'!I94)+(H96*'Table 6 WTP Flow Balance'!J94))/'Table 6 WTP Flow Balance'!K94</f>
        <v>499.84156570363467</v>
      </c>
    </row>
    <row r="97" spans="2:9" hidden="1" x14ac:dyDescent="0.2">
      <c r="B97" s="92">
        <f>'Table 5 Flows to Evap &amp; WTP'!B101</f>
        <v>96</v>
      </c>
      <c r="C97" s="94">
        <f>AVERAGE('Table 3 Water Quality'!$D$4:$D$5)</f>
        <v>1450</v>
      </c>
      <c r="D97" s="94">
        <f>AVERAGE('Table 3 Water Quality'!$D$9)</f>
        <v>1571</v>
      </c>
      <c r="E97" s="94">
        <f>((C97*'Table 6 WTP Flow Balance'!E95)+('Table 7 WTP Sulfate Balance'!D97*'Table 6 WTP Flow Balance'!D95))/('Table 6 WTP Flow Balance'!E95+'Table 6 WTP Flow Balance'!D95)</f>
        <v>1518.361581920904</v>
      </c>
      <c r="F97" s="117">
        <v>10</v>
      </c>
      <c r="G97" s="94">
        <f>((E97*'Table 6 WTP Flow Balance'!F95)-(F97*'Table 6 WTP Flow Balance'!I95))/'Table 6 WTP Flow Balance'!H95</f>
        <v>7551.8079096045194</v>
      </c>
      <c r="H97" s="94">
        <f t="shared" si="1"/>
        <v>1450</v>
      </c>
      <c r="I97" s="119">
        <f>((F97*'Table 6 WTP Flow Balance'!I95)+(H97*'Table 6 WTP Flow Balance'!J95))/'Table 6 WTP Flow Balance'!K95</f>
        <v>499.84156570363467</v>
      </c>
    </row>
    <row r="98" spans="2:9" hidden="1" x14ac:dyDescent="0.2">
      <c r="B98" s="92">
        <f>'Table 5 Flows to Evap &amp; WTP'!B102</f>
        <v>97</v>
      </c>
      <c r="C98" s="94">
        <f>AVERAGE('Table 3 Water Quality'!$D$4:$D$5)</f>
        <v>1450</v>
      </c>
      <c r="D98" s="94">
        <f>AVERAGE('Table 3 Water Quality'!$D$9)</f>
        <v>1571</v>
      </c>
      <c r="E98" s="94">
        <f>((C98*'Table 6 WTP Flow Balance'!E96)+('Table 7 WTP Sulfate Balance'!D98*'Table 6 WTP Flow Balance'!D96))/('Table 6 WTP Flow Balance'!E96+'Table 6 WTP Flow Balance'!D96)</f>
        <v>1518.361581920904</v>
      </c>
      <c r="F98" s="117">
        <v>10</v>
      </c>
      <c r="G98" s="94">
        <f>((E98*'Table 6 WTP Flow Balance'!F96)-(F98*'Table 6 WTP Flow Balance'!I96))/'Table 6 WTP Flow Balance'!H96</f>
        <v>7551.8079096045194</v>
      </c>
      <c r="H98" s="94">
        <f t="shared" si="1"/>
        <v>1450</v>
      </c>
      <c r="I98" s="119">
        <f>((F98*'Table 6 WTP Flow Balance'!I96)+(H98*'Table 6 WTP Flow Balance'!J96))/'Table 6 WTP Flow Balance'!K96</f>
        <v>499.84156570363467</v>
      </c>
    </row>
    <row r="99" spans="2:9" hidden="1" x14ac:dyDescent="0.2">
      <c r="B99" s="92">
        <f>'Table 5 Flows to Evap &amp; WTP'!B103</f>
        <v>98</v>
      </c>
      <c r="C99" s="94">
        <f>AVERAGE('Table 3 Water Quality'!$D$4:$D$5)</f>
        <v>1450</v>
      </c>
      <c r="D99" s="94">
        <f>AVERAGE('Table 3 Water Quality'!$D$9)</f>
        <v>1571</v>
      </c>
      <c r="E99" s="94">
        <f>((C99*'Table 6 WTP Flow Balance'!E97)+('Table 7 WTP Sulfate Balance'!D99*'Table 6 WTP Flow Balance'!D97))/('Table 6 WTP Flow Balance'!E97+'Table 6 WTP Flow Balance'!D97)</f>
        <v>1518.361581920904</v>
      </c>
      <c r="F99" s="117">
        <v>10</v>
      </c>
      <c r="G99" s="94">
        <f>((E99*'Table 6 WTP Flow Balance'!F97)-(F99*'Table 6 WTP Flow Balance'!I97))/'Table 6 WTP Flow Balance'!H97</f>
        <v>7551.8079096045194</v>
      </c>
      <c r="H99" s="94">
        <f t="shared" si="1"/>
        <v>1450</v>
      </c>
      <c r="I99" s="119">
        <f>((F99*'Table 6 WTP Flow Balance'!I97)+(H99*'Table 6 WTP Flow Balance'!J97))/'Table 6 WTP Flow Balance'!K97</f>
        <v>499.84156570363467</v>
      </c>
    </row>
    <row r="100" spans="2:9" hidden="1" x14ac:dyDescent="0.2">
      <c r="B100" s="93">
        <f>'Table 5 Flows to Evap &amp; WTP'!B104</f>
        <v>99</v>
      </c>
      <c r="C100" s="94">
        <f>AVERAGE('Table 3 Water Quality'!$D$4:$D$5)</f>
        <v>1450</v>
      </c>
      <c r="D100" s="94">
        <f>AVERAGE('Table 3 Water Quality'!$D$9)</f>
        <v>1571</v>
      </c>
      <c r="E100" s="94">
        <f>((C100*'Table 6 WTP Flow Balance'!E98)+('Table 7 WTP Sulfate Balance'!D100*'Table 6 WTP Flow Balance'!D98))/('Table 6 WTP Flow Balance'!E98+'Table 6 WTP Flow Balance'!D98)</f>
        <v>1518.361581920904</v>
      </c>
      <c r="F100" s="117">
        <v>10</v>
      </c>
      <c r="G100" s="94">
        <f>((E100*'Table 6 WTP Flow Balance'!F98)-(F100*'Table 6 WTP Flow Balance'!I98))/'Table 6 WTP Flow Balance'!H98</f>
        <v>7551.8079096045194</v>
      </c>
      <c r="H100" s="94">
        <f t="shared" si="1"/>
        <v>1450</v>
      </c>
      <c r="I100" s="119">
        <f>((F100*'Table 6 WTP Flow Balance'!I98)+(H100*'Table 6 WTP Flow Balance'!J98))/'Table 6 WTP Flow Balance'!K98</f>
        <v>499.84156570363467</v>
      </c>
    </row>
    <row r="101" spans="2:9" ht="13.5" hidden="1" thickBot="1" x14ac:dyDescent="0.25">
      <c r="B101" s="97">
        <f>'Table 5 Flows to Evap &amp; WTP'!B105</f>
        <v>100</v>
      </c>
      <c r="C101" s="98">
        <f>AVERAGE('Table 3 Water Quality'!$D$4:$D$5)</f>
        <v>1450</v>
      </c>
      <c r="D101" s="98">
        <f>AVERAGE('Table 3 Water Quality'!$D$9)</f>
        <v>1571</v>
      </c>
      <c r="E101" s="98">
        <f>((C101*'Table 6 WTP Flow Balance'!E99)+('Table 7 WTP Sulfate Balance'!D101*'Table 6 WTP Flow Balance'!D99))/('Table 6 WTP Flow Balance'!E99+'Table 6 WTP Flow Balance'!D99)</f>
        <v>1518.361581920904</v>
      </c>
      <c r="F101" s="118">
        <v>11</v>
      </c>
      <c r="G101" s="98">
        <f>((E101*'Table 6 WTP Flow Balance'!F99)-(F101*'Table 6 WTP Flow Balance'!I99))/'Table 6 WTP Flow Balance'!H99</f>
        <v>7547.8079096045194</v>
      </c>
      <c r="H101" s="98">
        <f t="shared" si="1"/>
        <v>1450</v>
      </c>
      <c r="I101" s="120">
        <v>500</v>
      </c>
    </row>
    <row r="102" spans="2:9" ht="13.5" thickTop="1" x14ac:dyDescent="0.2"/>
  </sheetData>
  <mergeCells count="4">
    <mergeCell ref="C4:D4"/>
    <mergeCell ref="H4:I4"/>
    <mergeCell ref="B4:B5"/>
    <mergeCell ref="E4:G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F341-8804-4127-B320-FBCF328C9D80}">
  <dimension ref="B1:AK105"/>
  <sheetViews>
    <sheetView view="pageBreakPreview" zoomScale="60" zoomScaleNormal="80" workbookViewId="0">
      <selection activeCell="AH29" sqref="AH29"/>
    </sheetView>
  </sheetViews>
  <sheetFormatPr defaultRowHeight="12.75" x14ac:dyDescent="0.2"/>
  <cols>
    <col min="1" max="1" width="3.33203125" customWidth="1"/>
    <col min="3" max="12" width="9.83203125" style="1" customWidth="1"/>
    <col min="29" max="30" width="13.83203125" customWidth="1"/>
    <col min="31" max="31" width="28.1640625" customWidth="1"/>
    <col min="33" max="33" width="24.6640625" customWidth="1"/>
    <col min="36" max="36" width="13.1640625" hidden="1" customWidth="1"/>
    <col min="37" max="37" width="0" hidden="1" customWidth="1"/>
  </cols>
  <sheetData>
    <row r="1" spans="2:37" ht="13.5" thickBot="1" x14ac:dyDescent="0.25"/>
    <row r="2" spans="2:37" ht="15" thickTop="1" x14ac:dyDescent="0.2">
      <c r="B2" s="696"/>
      <c r="C2" s="690" t="s">
        <v>191</v>
      </c>
      <c r="D2" s="690"/>
      <c r="E2" s="690"/>
      <c r="F2" s="690"/>
      <c r="G2" s="690"/>
      <c r="H2" s="690"/>
      <c r="I2" s="690" t="s">
        <v>192</v>
      </c>
      <c r="J2" s="690"/>
      <c r="K2" s="690"/>
      <c r="L2" s="690"/>
      <c r="M2" s="691" t="s">
        <v>193</v>
      </c>
      <c r="N2" s="691"/>
      <c r="O2" s="691"/>
      <c r="P2" s="691"/>
      <c r="Q2" s="691"/>
      <c r="R2" s="691"/>
      <c r="S2" s="691"/>
      <c r="T2" s="691"/>
      <c r="U2" s="691" t="s">
        <v>194</v>
      </c>
      <c r="V2" s="691"/>
      <c r="W2" s="691"/>
      <c r="X2" s="691"/>
      <c r="Y2" s="691"/>
      <c r="Z2" s="691"/>
      <c r="AA2" s="691" t="s">
        <v>195</v>
      </c>
      <c r="AB2" s="691"/>
      <c r="AC2" s="690" t="s">
        <v>196</v>
      </c>
      <c r="AD2" s="690"/>
      <c r="AE2" s="693"/>
    </row>
    <row r="3" spans="2:37" ht="28.9" customHeight="1" thickBot="1" x14ac:dyDescent="0.25">
      <c r="B3" s="697"/>
      <c r="C3" s="694" t="s">
        <v>197</v>
      </c>
      <c r="D3" s="694" t="s">
        <v>92</v>
      </c>
      <c r="E3" s="694" t="s">
        <v>198</v>
      </c>
      <c r="F3" s="694"/>
      <c r="G3" s="694" t="s">
        <v>92</v>
      </c>
      <c r="H3" s="694" t="s">
        <v>92</v>
      </c>
      <c r="I3" s="694" t="s">
        <v>199</v>
      </c>
      <c r="J3" s="694"/>
      <c r="K3" s="694" t="s">
        <v>200</v>
      </c>
      <c r="L3" s="694"/>
      <c r="M3" s="694" t="s">
        <v>104</v>
      </c>
      <c r="N3" s="694"/>
      <c r="O3" s="694" t="s">
        <v>201</v>
      </c>
      <c r="P3" s="694"/>
      <c r="Q3" s="694" t="s">
        <v>202</v>
      </c>
      <c r="R3" s="694"/>
      <c r="S3" s="694" t="s">
        <v>203</v>
      </c>
      <c r="T3" s="694"/>
      <c r="U3" s="694" t="s">
        <v>204</v>
      </c>
      <c r="V3" s="694"/>
      <c r="W3" s="694" t="s">
        <v>205</v>
      </c>
      <c r="X3" s="694"/>
      <c r="Y3" s="694" t="s">
        <v>206</v>
      </c>
      <c r="Z3" s="694"/>
      <c r="AA3" s="694" t="s">
        <v>164</v>
      </c>
      <c r="AB3" s="695"/>
      <c r="AC3" s="378" t="s">
        <v>207</v>
      </c>
      <c r="AD3" s="378" t="s">
        <v>208</v>
      </c>
      <c r="AE3" s="379" t="s">
        <v>209</v>
      </c>
    </row>
    <row r="4" spans="2:37" ht="29.25" thickBot="1" x14ac:dyDescent="0.25">
      <c r="B4" s="387" t="s">
        <v>67</v>
      </c>
      <c r="C4" s="381" t="s">
        <v>82</v>
      </c>
      <c r="D4" s="381" t="s">
        <v>210</v>
      </c>
      <c r="E4" s="381" t="s">
        <v>82</v>
      </c>
      <c r="F4" s="381" t="s">
        <v>210</v>
      </c>
      <c r="G4" s="381" t="s">
        <v>82</v>
      </c>
      <c r="H4" s="381" t="s">
        <v>210</v>
      </c>
      <c r="I4" s="381" t="s">
        <v>82</v>
      </c>
      <c r="J4" s="381" t="s">
        <v>210</v>
      </c>
      <c r="K4" s="381" t="s">
        <v>82</v>
      </c>
      <c r="L4" s="381" t="s">
        <v>210</v>
      </c>
      <c r="M4" s="381" t="s">
        <v>82</v>
      </c>
      <c r="N4" s="381" t="s">
        <v>210</v>
      </c>
      <c r="O4" s="381" t="s">
        <v>82</v>
      </c>
      <c r="P4" s="381" t="s">
        <v>210</v>
      </c>
      <c r="Q4" s="381" t="s">
        <v>82</v>
      </c>
      <c r="R4" s="381" t="s">
        <v>210</v>
      </c>
      <c r="S4" s="381" t="s">
        <v>82</v>
      </c>
      <c r="T4" s="381" t="s">
        <v>210</v>
      </c>
      <c r="U4" s="381" t="s">
        <v>82</v>
      </c>
      <c r="V4" s="381" t="s">
        <v>210</v>
      </c>
      <c r="W4" s="381" t="s">
        <v>82</v>
      </c>
      <c r="X4" s="381" t="s">
        <v>210</v>
      </c>
      <c r="Y4" s="381" t="s">
        <v>82</v>
      </c>
      <c r="Z4" s="381" t="s">
        <v>210</v>
      </c>
      <c r="AA4" s="381" t="s">
        <v>82</v>
      </c>
      <c r="AB4" s="381" t="s">
        <v>210</v>
      </c>
      <c r="AC4" s="381" t="s">
        <v>82</v>
      </c>
      <c r="AD4" s="381" t="s">
        <v>211</v>
      </c>
      <c r="AE4" s="382" t="s">
        <v>212</v>
      </c>
    </row>
    <row r="5" spans="2:37" ht="14.25" x14ac:dyDescent="0.2">
      <c r="B5" s="340">
        <v>6</v>
      </c>
      <c r="C5" s="360">
        <f>'Table 3 Water Quality'!E6</f>
        <v>2400</v>
      </c>
      <c r="D5" s="360">
        <f>('Table 2 StormwaterGroundwater'!K14*3.78541)*C5</f>
        <v>163677.77219758931</v>
      </c>
      <c r="E5" s="360">
        <f>'Table 3 Water Quality'!E7</f>
        <v>2400</v>
      </c>
      <c r="F5" s="360">
        <f>('Table 2 StormwaterGroundwater'!M14*3.78541)*E5</f>
        <v>138727.97124638924</v>
      </c>
      <c r="G5" s="360">
        <f>'Table 3 Water Quality'!E8</f>
        <v>2400</v>
      </c>
      <c r="H5" s="360">
        <f>('Table 2 StormwaterGroundwater'!O14*3.78541)*G5</f>
        <v>171640.4746288234</v>
      </c>
      <c r="I5" s="360">
        <f>'Table 3 Water Quality'!E12</f>
        <v>2402</v>
      </c>
      <c r="J5" s="360">
        <f>('Table 2 StormwaterGroundwater'!G9*3.78541)*I5</f>
        <v>163665.98676000003</v>
      </c>
      <c r="K5" s="360">
        <f>AVERAGE('Table 3 Water Quality'!E10:E11)</f>
        <v>1492.5</v>
      </c>
      <c r="L5" s="360">
        <f>K5*('Table 2 StormwaterGroundwater'!H9*3.78541)</f>
        <v>48870.116276250003</v>
      </c>
      <c r="M5" s="360">
        <f>'Table 3 Water Quality'!E14</f>
        <v>47950</v>
      </c>
      <c r="N5" s="360">
        <f>('Table 2 StormwaterGroundwater'!Q14*3.78541)*M5</f>
        <v>6241619.7243859842</v>
      </c>
      <c r="O5" s="360">
        <f>'Table 3 Water Quality'!E16</f>
        <v>47950</v>
      </c>
      <c r="P5" s="360">
        <f>('Table 2 StormwaterGroundwater'!U14*3.78541)*O5</f>
        <v>2383818.6101212623</v>
      </c>
      <c r="Q5" s="360">
        <f>'Table 3 Water Quality'!E17</f>
        <v>47950</v>
      </c>
      <c r="R5" s="360">
        <f>('Table 2 StormwaterGroundwater'!W14*3.78541)*Q5</f>
        <v>1915697.130792314</v>
      </c>
      <c r="S5" s="360">
        <f>'Table 3 Water Quality'!E18</f>
        <v>47950</v>
      </c>
      <c r="T5" s="360">
        <f>('Table 2 StormwaterGroundwater'!Y14*3.78541)*S5</f>
        <v>4081059.0505600669</v>
      </c>
      <c r="U5" s="360">
        <f>'Table 3 Water Quality'!E19</f>
        <v>199667</v>
      </c>
      <c r="V5" s="360">
        <f>('Table 2 StormwaterGroundwater'!AA14*3.78541)*U5</f>
        <v>4998177.1296582036</v>
      </c>
      <c r="W5" s="360">
        <f>'Table 3 Water Quality'!E20</f>
        <v>199667</v>
      </c>
      <c r="X5" s="360">
        <f>('Table 2 StormwaterGroundwater'!AC14*3.78541)*W5</f>
        <v>62877068.291100197</v>
      </c>
      <c r="Y5" s="360">
        <f>'Table 3 Water Quality'!E21</f>
        <v>199667</v>
      </c>
      <c r="Z5" s="360">
        <f>('Table 2 StormwaterGroundwater'!AE14*3.78541)*Y5</f>
        <v>99963.542593164064</v>
      </c>
      <c r="AA5" s="360">
        <f>'Table 7 WTP Sulfate Balance'!G7</f>
        <v>7404.2660550458713</v>
      </c>
      <c r="AB5" s="360">
        <f>AA5*'Table 6 WTP Flow Balance'!H5</f>
        <v>1614130</v>
      </c>
      <c r="AC5" s="360">
        <f>(D5+F5+H5+J5+L5+N5+P5+R5+T5+V5+X5+Z5+AB5)/(('Table 5 Flows to Evap &amp; WTP'!F11+'Table 6 WTP Flow Balance'!H5)*3.78541)</f>
        <v>97809.706926042898</v>
      </c>
      <c r="AD5" s="360">
        <f>(AC5/(453592*2000))*(('Table 5 Flows to Evap &amp; WTP'!F11+'Table 6 WTP Flow Balance'!H5)*365*1440*3.785)</f>
        <v>49182.543542088293</v>
      </c>
      <c r="AE5" s="138">
        <f>((AD5*2000)/(77/2))/27</f>
        <v>94627.308402286275</v>
      </c>
      <c r="AG5" s="50"/>
      <c r="AH5" s="3"/>
    </row>
    <row r="6" spans="2:37" ht="14.25" x14ac:dyDescent="0.2">
      <c r="B6" s="345">
        <f t="shared" ref="B6:B37" si="0">B5+1</f>
        <v>7</v>
      </c>
      <c r="C6" s="156">
        <f t="shared" ref="C6:C65" si="1">C5</f>
        <v>2400</v>
      </c>
      <c r="D6" s="156">
        <f>('Table 2 StormwaterGroundwater'!K15*3.78541)*C6</f>
        <v>163677.77219758931</v>
      </c>
      <c r="E6" s="156">
        <f t="shared" ref="E6:E65" si="2">E5</f>
        <v>2400</v>
      </c>
      <c r="F6" s="156">
        <f>('Table 2 StormwaterGroundwater'!M15*3.78541)*E6</f>
        <v>138727.97124638924</v>
      </c>
      <c r="G6" s="156">
        <f t="shared" ref="G6:G65" si="3">G5</f>
        <v>2400</v>
      </c>
      <c r="H6" s="156">
        <f>('Table 2 StormwaterGroundwater'!O15*3.78541)*G6</f>
        <v>171640.4746288234</v>
      </c>
      <c r="I6" s="156">
        <f t="shared" ref="I6:I37" si="4">I5</f>
        <v>2402</v>
      </c>
      <c r="J6" s="156">
        <f>('Table 2 StormwaterGroundwater'!G10*3.78541)*I6</f>
        <v>163665.98676000003</v>
      </c>
      <c r="K6" s="156">
        <f t="shared" ref="K6:K37" si="5">K5</f>
        <v>1492.5</v>
      </c>
      <c r="L6" s="156">
        <f>K6*('Table 2 StormwaterGroundwater'!H10*3.78541)</f>
        <v>48870.116276250003</v>
      </c>
      <c r="M6" s="156">
        <f t="shared" ref="M6:M65" si="6">M5</f>
        <v>47950</v>
      </c>
      <c r="N6" s="156">
        <f>('Table 2 StormwaterGroundwater'!Q15*3.78541)*M6</f>
        <v>6241619.7243859842</v>
      </c>
      <c r="O6" s="156">
        <f t="shared" ref="O6:O65" si="7">O5</f>
        <v>47950</v>
      </c>
      <c r="P6" s="156">
        <f>('Table 2 StormwaterGroundwater'!U15*3.78541)*O6</f>
        <v>2383818.6101212623</v>
      </c>
      <c r="Q6" s="156">
        <f t="shared" ref="Q6:Q65" si="8">Q5</f>
        <v>47950</v>
      </c>
      <c r="R6" s="156">
        <f>('Table 2 StormwaterGroundwater'!W15*3.78541)*Q6</f>
        <v>1915697.130792314</v>
      </c>
      <c r="S6" s="156">
        <f t="shared" ref="S6:S65" si="9">S5</f>
        <v>47950</v>
      </c>
      <c r="T6" s="156">
        <f>('Table 2 StormwaterGroundwater'!Y15*3.78541)*S6</f>
        <v>4081059.0505600669</v>
      </c>
      <c r="U6" s="156">
        <f t="shared" ref="U6:U65" si="10">U5</f>
        <v>199667</v>
      </c>
      <c r="V6" s="156">
        <f>('Table 2 StormwaterGroundwater'!AA15*3.78541)*U6</f>
        <v>4998177.1296582036</v>
      </c>
      <c r="W6" s="156">
        <f t="shared" ref="W6:W65" si="11">W5</f>
        <v>199667</v>
      </c>
      <c r="X6" s="156">
        <f>('Table 2 StormwaterGroundwater'!AC15*3.78541)*W6</f>
        <v>42984323.315060548</v>
      </c>
      <c r="Y6" s="156">
        <f t="shared" ref="Y6:Y65" si="12">Y5</f>
        <v>199667</v>
      </c>
      <c r="Z6" s="156">
        <f>('Table 2 StormwaterGroundwater'!AE15*3.78541)*Y6</f>
        <v>7721793.1827336689</v>
      </c>
      <c r="AA6" s="156">
        <f>'Table 7 WTP Sulfate Balance'!G8</f>
        <v>7412.6315789473683</v>
      </c>
      <c r="AB6" s="156">
        <f>AA6*'Table 6 WTP Flow Balance'!H6</f>
        <v>1549240</v>
      </c>
      <c r="AC6" s="156">
        <f>(D6+F6+H6+J6+L6+N6+P6+R6+T6+V6+X6+Z6+AB6)/(('Table 5 Flows to Evap &amp; WTP'!F12+'Table 6 WTP Flow Balance'!H6)*3.78541)</f>
        <v>87215.602378782234</v>
      </c>
      <c r="AD6" s="156">
        <f>(AC6/(453592*2000))*(('Table 5 Flows to Evap &amp; WTP'!F12+'Table 6 WTP Flow Balance'!H6)*365*1440*3.785)</f>
        <v>42036.25675656581</v>
      </c>
      <c r="AE6" s="140">
        <f>((AD6*2000)/(77/2))/27</f>
        <v>80877.838877471499</v>
      </c>
      <c r="AH6" s="3"/>
      <c r="AJ6" t="s">
        <v>213</v>
      </c>
    </row>
    <row r="7" spans="2:37" ht="14.25" x14ac:dyDescent="0.2">
      <c r="B7" s="345">
        <f t="shared" si="0"/>
        <v>8</v>
      </c>
      <c r="C7" s="156">
        <f t="shared" si="1"/>
        <v>2400</v>
      </c>
      <c r="D7" s="156">
        <f>('Table 2 StormwaterGroundwater'!K16*3.78541)*C7</f>
        <v>163677.77219758931</v>
      </c>
      <c r="E7" s="156">
        <f t="shared" si="2"/>
        <v>2400</v>
      </c>
      <c r="F7" s="156">
        <f>('Table 2 StormwaterGroundwater'!M16*3.78541)*E7</f>
        <v>138727.97124638924</v>
      </c>
      <c r="G7" s="156">
        <f t="shared" si="3"/>
        <v>2400</v>
      </c>
      <c r="H7" s="156">
        <f>('Table 2 StormwaterGroundwater'!O16*3.78541)*G7</f>
        <v>171640.4746288234</v>
      </c>
      <c r="I7" s="156">
        <f t="shared" si="4"/>
        <v>2402</v>
      </c>
      <c r="J7" s="156">
        <f>('Table 2 StormwaterGroundwater'!G11*3.78541)*I7</f>
        <v>163665.98676000003</v>
      </c>
      <c r="K7" s="156">
        <f t="shared" si="5"/>
        <v>1492.5</v>
      </c>
      <c r="L7" s="156">
        <f>K7*('Table 2 StormwaterGroundwater'!H11*3.78541)</f>
        <v>48870.116276250003</v>
      </c>
      <c r="M7" s="156">
        <f t="shared" si="6"/>
        <v>47950</v>
      </c>
      <c r="N7" s="156">
        <f>('Table 2 StormwaterGroundwater'!Q16*3.78541)*M7</f>
        <v>6241619.7243859842</v>
      </c>
      <c r="O7" s="156">
        <f t="shared" si="7"/>
        <v>47950</v>
      </c>
      <c r="P7" s="156">
        <f>('Table 2 StormwaterGroundwater'!U16*3.78541)*O7</f>
        <v>2383818.6101212623</v>
      </c>
      <c r="Q7" s="156">
        <f t="shared" si="8"/>
        <v>47950</v>
      </c>
      <c r="R7" s="156">
        <f>('Table 2 StormwaterGroundwater'!W16*3.78541)*Q7</f>
        <v>1915697.130792314</v>
      </c>
      <c r="S7" s="156">
        <f t="shared" si="9"/>
        <v>47950</v>
      </c>
      <c r="T7" s="156">
        <f>('Table 2 StormwaterGroundwater'!Y16*3.78541)*S7</f>
        <v>4081059.0505600669</v>
      </c>
      <c r="U7" s="156">
        <f t="shared" si="10"/>
        <v>199667</v>
      </c>
      <c r="V7" s="156">
        <f>('Table 2 StormwaterGroundwater'!AA16*3.78541)*U7</f>
        <v>4998177.1296582036</v>
      </c>
      <c r="W7" s="156">
        <f t="shared" si="11"/>
        <v>199667</v>
      </c>
      <c r="X7" s="156">
        <f>('Table 2 StormwaterGroundwater'!AC16*3.78541)*W7</f>
        <v>22991614.796427734</v>
      </c>
      <c r="Y7" s="156">
        <f t="shared" si="12"/>
        <v>199667</v>
      </c>
      <c r="Z7" s="156">
        <f>('Table 2 StormwaterGroundwater'!AE16*3.78541)*Y7</f>
        <v>7721793.1827336689</v>
      </c>
      <c r="AA7" s="156">
        <f>'Table 7 WTP Sulfate Balance'!G9</f>
        <v>7420.9063745019912</v>
      </c>
      <c r="AB7" s="156">
        <f>AA7*'Table 6 WTP Flow Balance'!H7</f>
        <v>1490118</v>
      </c>
      <c r="AC7" s="156">
        <f>(D7+F7+H7+J7+L7+N7+P7+R7+T7+V7+X7+Z7+AB7)/(('Table 5 Flows to Evap &amp; WTP'!F13+'Table 6 WTP Flow Balance'!H7)*3.78541)</f>
        <v>65778.82572053629</v>
      </c>
      <c r="AD7" s="156">
        <f>(AC7/(453592*2000))*(('Table 5 Flows to Evap &amp; WTP'!F13+'Table 6 WTP Flow Balance'!H7)*365*1440*3.785)</f>
        <v>30419.979784050094</v>
      </c>
      <c r="AE7" s="140">
        <f t="shared" ref="AE7:AE69" si="13">((AD7*2000)/(77/2))/27</f>
        <v>58528.099632612015</v>
      </c>
      <c r="AH7" s="3"/>
      <c r="AI7" s="3"/>
      <c r="AJ7">
        <v>72</v>
      </c>
      <c r="AK7" t="s">
        <v>214</v>
      </c>
    </row>
    <row r="8" spans="2:37" ht="14.25" x14ac:dyDescent="0.2">
      <c r="B8" s="345">
        <f t="shared" si="0"/>
        <v>9</v>
      </c>
      <c r="C8" s="156">
        <f t="shared" si="1"/>
        <v>2400</v>
      </c>
      <c r="D8" s="156">
        <f>('Table 2 StormwaterGroundwater'!K17*3.78541)*C8</f>
        <v>163677.77219758931</v>
      </c>
      <c r="E8" s="156">
        <f t="shared" si="2"/>
        <v>2400</v>
      </c>
      <c r="F8" s="156">
        <f>('Table 2 StormwaterGroundwater'!M17*3.78541)*E8</f>
        <v>138727.97124638924</v>
      </c>
      <c r="G8" s="156">
        <f t="shared" si="3"/>
        <v>2400</v>
      </c>
      <c r="H8" s="156">
        <f>('Table 2 StormwaterGroundwater'!O17*3.78541)*G8</f>
        <v>171640.4746288234</v>
      </c>
      <c r="I8" s="156">
        <f t="shared" si="4"/>
        <v>2402</v>
      </c>
      <c r="J8" s="156">
        <f>('Table 2 StormwaterGroundwater'!G12*3.78541)*I8</f>
        <v>163665.98676000003</v>
      </c>
      <c r="K8" s="156">
        <f t="shared" si="5"/>
        <v>1492.5</v>
      </c>
      <c r="L8" s="156">
        <f>K8*('Table 2 StormwaterGroundwater'!H12*3.78541)</f>
        <v>48870.116276250003</v>
      </c>
      <c r="M8" s="156">
        <f t="shared" si="6"/>
        <v>47950</v>
      </c>
      <c r="N8" s="156">
        <f>('Table 2 StormwaterGroundwater'!Q17*3.78541)*M8</f>
        <v>6241619.7243859842</v>
      </c>
      <c r="O8" s="156">
        <f t="shared" si="7"/>
        <v>47950</v>
      </c>
      <c r="P8" s="156">
        <f>('Table 2 StormwaterGroundwater'!U17*3.78541)*O8</f>
        <v>2383818.6101212623</v>
      </c>
      <c r="Q8" s="156">
        <f t="shared" si="8"/>
        <v>47950</v>
      </c>
      <c r="R8" s="156">
        <f>('Table 2 StormwaterGroundwater'!W17*3.78541)*Q8</f>
        <v>1915697.130792314</v>
      </c>
      <c r="S8" s="156">
        <f t="shared" si="9"/>
        <v>47950</v>
      </c>
      <c r="T8" s="156">
        <f>('Table 2 StormwaterGroundwater'!Y17*3.78541)*S8</f>
        <v>4081059.0505600669</v>
      </c>
      <c r="U8" s="156">
        <f t="shared" si="10"/>
        <v>199667</v>
      </c>
      <c r="V8" s="156">
        <f>('Table 2 StormwaterGroundwater'!AA17*3.78541)*U8</f>
        <v>4998177.1296582036</v>
      </c>
      <c r="W8" s="156">
        <f t="shared" si="11"/>
        <v>199667</v>
      </c>
      <c r="X8" s="156">
        <f>('Table 2 StormwaterGroundwater'!AC17*3.78541)*W8</f>
        <v>2998906.2777949218</v>
      </c>
      <c r="Y8" s="156">
        <f t="shared" si="12"/>
        <v>199667</v>
      </c>
      <c r="Z8" s="156">
        <f>('Table 2 StormwaterGroundwater'!AE17*3.78541)*Y8</f>
        <v>7721793.1827336689</v>
      </c>
      <c r="AA8" s="156">
        <f>'Table 7 WTP Sulfate Balance'!G10</f>
        <v>7429.5438050803523</v>
      </c>
      <c r="AB8" s="156">
        <f>AA8*'Table 6 WTP Flow Balance'!H8</f>
        <v>1433159</v>
      </c>
      <c r="AC8" s="156">
        <f>(D8+F8+H8+J8+L8+N8+P8+R8+T8+V8+X8+Z8+AB8)/(('Table 5 Flows to Evap &amp; WTP'!F14+'Table 6 WTP Flow Balance'!H8)*3.78541)</f>
        <v>42390.990351041917</v>
      </c>
      <c r="AD8" s="156">
        <f>(AC8/(453592*2000))*(('Table 5 Flows to Evap &amp; WTP'!F14+'Table 6 WTP Flow Balance'!H8)*365*1440*3.785)</f>
        <v>18804.955864569518</v>
      </c>
      <c r="AE8" s="140">
        <f t="shared" si="13"/>
        <v>36180.771264203016</v>
      </c>
      <c r="AJ8">
        <v>1613.3</v>
      </c>
      <c r="AK8" t="s">
        <v>215</v>
      </c>
    </row>
    <row r="9" spans="2:37" ht="14.25" x14ac:dyDescent="0.2">
      <c r="B9" s="345">
        <f t="shared" si="0"/>
        <v>10</v>
      </c>
      <c r="C9" s="156">
        <f t="shared" si="1"/>
        <v>2400</v>
      </c>
      <c r="D9" s="156">
        <f>('Table 2 StormwaterGroundwater'!K18*3.78541)*C9</f>
        <v>163677.77219758931</v>
      </c>
      <c r="E9" s="156">
        <f t="shared" si="2"/>
        <v>2400</v>
      </c>
      <c r="F9" s="156">
        <f>('Table 2 StormwaterGroundwater'!M18*3.78541)*E9</f>
        <v>138727.97124638924</v>
      </c>
      <c r="G9" s="156">
        <f t="shared" si="3"/>
        <v>2400</v>
      </c>
      <c r="H9" s="156">
        <f>('Table 2 StormwaterGroundwater'!O18*3.78541)*G9</f>
        <v>171640.4746288234</v>
      </c>
      <c r="I9" s="156">
        <f t="shared" si="4"/>
        <v>2402</v>
      </c>
      <c r="J9" s="156">
        <f>('Table 2 StormwaterGroundwater'!G13*3.78541)*I9</f>
        <v>163665.98676000003</v>
      </c>
      <c r="K9" s="156">
        <f t="shared" si="5"/>
        <v>1492.5</v>
      </c>
      <c r="L9" s="156">
        <f>K9*('Table 2 StormwaterGroundwater'!H13*3.78541)</f>
        <v>48870.116276250003</v>
      </c>
      <c r="M9" s="156">
        <f t="shared" si="6"/>
        <v>47950</v>
      </c>
      <c r="N9" s="156">
        <f>('Table 2 StormwaterGroundwater'!Q18*3.78541)*M9</f>
        <v>6241619.7243859842</v>
      </c>
      <c r="O9" s="156">
        <f t="shared" si="7"/>
        <v>47950</v>
      </c>
      <c r="P9" s="156">
        <f>('Table 2 StormwaterGroundwater'!U18*3.78541)*O9</f>
        <v>2383818.6101212623</v>
      </c>
      <c r="Q9" s="156">
        <f t="shared" si="8"/>
        <v>47950</v>
      </c>
      <c r="R9" s="156">
        <f>('Table 2 StormwaterGroundwater'!W18*3.78541)*Q9</f>
        <v>1915697.130792314</v>
      </c>
      <c r="S9" s="156">
        <f t="shared" si="9"/>
        <v>47950</v>
      </c>
      <c r="T9" s="156">
        <f>('Table 2 StormwaterGroundwater'!Y18*3.78541)*S9</f>
        <v>632976.75990993681</v>
      </c>
      <c r="U9" s="156">
        <f t="shared" si="10"/>
        <v>199667</v>
      </c>
      <c r="V9" s="156">
        <f>('Table 2 StormwaterGroundwater'!AA18*3.78541)*U9</f>
        <v>4998177.1296582036</v>
      </c>
      <c r="W9" s="156">
        <f t="shared" si="11"/>
        <v>199667</v>
      </c>
      <c r="X9" s="156">
        <f>('Table 2 StormwaterGroundwater'!AC18*3.78541)*W9</f>
        <v>6140338.7003027536</v>
      </c>
      <c r="Y9" s="156">
        <f t="shared" si="12"/>
        <v>199667</v>
      </c>
      <c r="Z9" s="156">
        <f>('Table 2 StormwaterGroundwater'!AE18*3.78541)*Y9</f>
        <v>7721793.1827336689</v>
      </c>
      <c r="AA9" s="156">
        <f>'Table 7 WTP Sulfate Balance'!G11</f>
        <v>7438.1788793103442</v>
      </c>
      <c r="AB9" s="156">
        <f>AA9*'Table 6 WTP Flow Balance'!H9</f>
        <v>1380526</v>
      </c>
      <c r="AC9" s="156">
        <f>(D9+F9+H9+J9+L9+N9+P9+R9+T9+V9+X9+Z9+AB9)/(('Table 5 Flows to Evap &amp; WTP'!F15+'Table 6 WTP Flow Balance'!H9)*3.78541)</f>
        <v>43591.595516512512</v>
      </c>
      <c r="AD9" s="156">
        <f>(AC9/(453592*2000))*(('Table 5 Flows to Evap &amp; WTP'!F15+'Table 6 WTP Flow Balance'!H9)*365*1440*3.785)</f>
        <v>18596.818791799895</v>
      </c>
      <c r="AE9" s="140">
        <f t="shared" si="13"/>
        <v>35780.315135738136</v>
      </c>
      <c r="AJ9" s="50">
        <f>SUM(AE5:AE99)</f>
        <v>2497099.46194058</v>
      </c>
      <c r="AK9" t="s">
        <v>216</v>
      </c>
    </row>
    <row r="10" spans="2:37" ht="14.25" x14ac:dyDescent="0.2">
      <c r="B10" s="345">
        <f t="shared" si="0"/>
        <v>11</v>
      </c>
      <c r="C10" s="156">
        <f t="shared" si="1"/>
        <v>2400</v>
      </c>
      <c r="D10" s="156">
        <f>('Table 2 StormwaterGroundwater'!K19*3.78541)*C10</f>
        <v>163677.77219758931</v>
      </c>
      <c r="E10" s="156">
        <f t="shared" si="2"/>
        <v>2400</v>
      </c>
      <c r="F10" s="156">
        <f>('Table 2 StormwaterGroundwater'!M19*3.78541)*E10</f>
        <v>138727.97124638924</v>
      </c>
      <c r="G10" s="156">
        <f t="shared" si="3"/>
        <v>2400</v>
      </c>
      <c r="H10" s="156">
        <f>('Table 2 StormwaterGroundwater'!O19*3.78541)*G10</f>
        <v>171640.4746288234</v>
      </c>
      <c r="I10" s="156">
        <f t="shared" si="4"/>
        <v>2402</v>
      </c>
      <c r="J10" s="156">
        <f>('Table 2 StormwaterGroundwater'!G14*3.78541)*I10</f>
        <v>163665.98676000003</v>
      </c>
      <c r="K10" s="156">
        <f t="shared" si="5"/>
        <v>1492.5</v>
      </c>
      <c r="L10" s="156">
        <f>K10*('Table 2 StormwaterGroundwater'!H14*3.78541)</f>
        <v>48870.116276250003</v>
      </c>
      <c r="M10" s="156">
        <f t="shared" si="6"/>
        <v>47950</v>
      </c>
      <c r="N10" s="156">
        <f>('Table 2 StormwaterGroundwater'!Q19*3.78541)*M10</f>
        <v>6241619.7243859842</v>
      </c>
      <c r="O10" s="156">
        <f t="shared" si="7"/>
        <v>47950</v>
      </c>
      <c r="P10" s="156">
        <f>('Table 2 StormwaterGroundwater'!U19*3.78541)*O10</f>
        <v>232794.78614465453</v>
      </c>
      <c r="Q10" s="156">
        <f t="shared" si="8"/>
        <v>47950</v>
      </c>
      <c r="R10" s="156">
        <f>('Table 2 StormwaterGroundwater'!W19*3.78541)*Q10</f>
        <v>187079.7979289369</v>
      </c>
      <c r="S10" s="156">
        <f t="shared" si="9"/>
        <v>47950</v>
      </c>
      <c r="T10" s="156">
        <f>('Table 2 StormwaterGroundwater'!Y19*3.78541)*S10</f>
        <v>632976.75990993681</v>
      </c>
      <c r="U10" s="156">
        <f t="shared" si="10"/>
        <v>199667</v>
      </c>
      <c r="V10" s="156">
        <f>('Table 2 StormwaterGroundwater'!AA19*3.78541)*U10</f>
        <v>4998177.1296582036</v>
      </c>
      <c r="W10" s="156">
        <f t="shared" si="11"/>
        <v>199667</v>
      </c>
      <c r="X10" s="156">
        <f>('Table 2 StormwaterGroundwater'!AC19*3.78541)*W10</f>
        <v>6140338.7003027536</v>
      </c>
      <c r="Y10" s="156">
        <f t="shared" si="12"/>
        <v>199667</v>
      </c>
      <c r="Z10" s="156">
        <f>('Table 2 StormwaterGroundwater'!AE19*3.78541)*Y10</f>
        <v>7721793.1827336689</v>
      </c>
      <c r="AA10" s="156">
        <f>'Table 7 WTP Sulfate Balance'!G12</f>
        <v>7447.122060470324</v>
      </c>
      <c r="AB10" s="156">
        <f>AA10*'Table 6 WTP Flow Balance'!H10</f>
        <v>1330055.9999999998</v>
      </c>
      <c r="AC10" s="156">
        <f>(D10+F10+H10+J10+L10+N10+P10+R10+T10+V10+X10+Z10+AB10)/(('Table 5 Flows to Evap &amp; WTP'!F16+'Table 6 WTP Flow Balance'!H10)*3.78541)</f>
        <v>39808.392418410287</v>
      </c>
      <c r="AD10" s="156">
        <f>(AC10/(453592*2000))*(('Table 5 Flows to Evap &amp; WTP'!F16+'Table 6 WTP Flow Balance'!H10)*365*1440*3.785)</f>
        <v>16320.056094837899</v>
      </c>
      <c r="AE10" s="140">
        <f t="shared" si="13"/>
        <v>31399.819326287441</v>
      </c>
      <c r="AJ10">
        <f>AJ9/AJ8</f>
        <v>1547.8209024611542</v>
      </c>
      <c r="AK10" t="s">
        <v>217</v>
      </c>
    </row>
    <row r="11" spans="2:37" ht="14.25" x14ac:dyDescent="0.2">
      <c r="B11" s="345">
        <f t="shared" si="0"/>
        <v>12</v>
      </c>
      <c r="C11" s="156">
        <f t="shared" si="1"/>
        <v>2400</v>
      </c>
      <c r="D11" s="156">
        <f>('Table 2 StormwaterGroundwater'!K20*3.78541)*C11</f>
        <v>163677.77219758931</v>
      </c>
      <c r="E11" s="156">
        <f t="shared" si="2"/>
        <v>2400</v>
      </c>
      <c r="F11" s="156">
        <f>('Table 2 StormwaterGroundwater'!M20*3.78541)*E11</f>
        <v>138727.97124638924</v>
      </c>
      <c r="G11" s="156">
        <f t="shared" si="3"/>
        <v>2400</v>
      </c>
      <c r="H11" s="156">
        <f>('Table 2 StormwaterGroundwater'!O20*3.78541)*G11</f>
        <v>171640.4746288234</v>
      </c>
      <c r="I11" s="156">
        <f t="shared" si="4"/>
        <v>2402</v>
      </c>
      <c r="J11" s="156">
        <f>('Table 2 StormwaterGroundwater'!G15*3.78541)*I11</f>
        <v>163665.98676000003</v>
      </c>
      <c r="K11" s="156">
        <f t="shared" si="5"/>
        <v>1492.5</v>
      </c>
      <c r="L11" s="156">
        <f>K11*('Table 2 StormwaterGroundwater'!H15*3.78541)</f>
        <v>48870.116276250003</v>
      </c>
      <c r="M11" s="156">
        <f t="shared" si="6"/>
        <v>47950</v>
      </c>
      <c r="N11" s="156">
        <f>('Table 2 StormwaterGroundwater'!Q20*3.78541)*M11</f>
        <v>5569445.2925290316</v>
      </c>
      <c r="O11" s="156">
        <f t="shared" si="7"/>
        <v>47950</v>
      </c>
      <c r="P11" s="156">
        <f>('Table 2 StormwaterGroundwater'!U20*3.78541)*O11</f>
        <v>232794.78614465453</v>
      </c>
      <c r="Q11" s="156">
        <f t="shared" si="8"/>
        <v>47950</v>
      </c>
      <c r="R11" s="156">
        <f>('Table 2 StormwaterGroundwater'!W20*3.78541)*Q11</f>
        <v>187079.7979289369</v>
      </c>
      <c r="S11" s="156">
        <f t="shared" si="9"/>
        <v>47950</v>
      </c>
      <c r="T11" s="156">
        <f>('Table 2 StormwaterGroundwater'!Y20*3.78541)*S11</f>
        <v>632976.75990993681</v>
      </c>
      <c r="U11" s="156">
        <f t="shared" si="10"/>
        <v>199667</v>
      </c>
      <c r="V11" s="156">
        <f>('Table 2 StormwaterGroundwater'!AA20*3.78541)*U11</f>
        <v>4998177.1296582036</v>
      </c>
      <c r="W11" s="156">
        <f t="shared" si="11"/>
        <v>199667</v>
      </c>
      <c r="X11" s="156">
        <f>('Table 2 StormwaterGroundwater'!AC20*3.78541)*W11</f>
        <v>6140338.7003027536</v>
      </c>
      <c r="Y11" s="156">
        <f t="shared" si="12"/>
        <v>199667</v>
      </c>
      <c r="Z11" s="156">
        <f>('Table 2 StormwaterGroundwater'!AE20*3.78541)*Y11</f>
        <v>7721793.1827336689</v>
      </c>
      <c r="AA11" s="156">
        <f>'Table 7 WTP Sulfate Balance'!G13</f>
        <v>7456.0778617083079</v>
      </c>
      <c r="AB11" s="156">
        <f>AA11*'Table 6 WTP Flow Balance'!H11</f>
        <v>1283190.9999999998</v>
      </c>
      <c r="AC11" s="156">
        <f>(D11+F11+H11+J11+L11+N11+P11+R11+T11+V11+X11+Z11+AB11)/(('Table 5 Flows to Evap &amp; WTP'!F17+'Table 6 WTP Flow Balance'!H11)*3.78541)</f>
        <v>40263.844972382627</v>
      </c>
      <c r="AD11" s="156">
        <f>(AC11/(453592*2000))*(('Table 5 Flows to Evap &amp; WTP'!F17+'Table 6 WTP Flow Balance'!H11)*365*1440*3.785)</f>
        <v>15903.50753151101</v>
      </c>
      <c r="AE11" s="140">
        <f t="shared" si="13"/>
        <v>30598.379089006274</v>
      </c>
      <c r="AJ11">
        <f>AJ10/AJ7</f>
        <v>21.497512534182697</v>
      </c>
      <c r="AK11" s="3" t="s">
        <v>218</v>
      </c>
    </row>
    <row r="12" spans="2:37" ht="14.25" x14ac:dyDescent="0.2">
      <c r="B12" s="345">
        <f t="shared" si="0"/>
        <v>13</v>
      </c>
      <c r="C12" s="156">
        <f t="shared" si="1"/>
        <v>2400</v>
      </c>
      <c r="D12" s="156">
        <f>('Table 2 StormwaterGroundwater'!K21*3.78541)*C12</f>
        <v>163677.77219758931</v>
      </c>
      <c r="E12" s="156">
        <f t="shared" si="2"/>
        <v>2400</v>
      </c>
      <c r="F12" s="156">
        <f>('Table 2 StormwaterGroundwater'!M21*3.78541)*E12</f>
        <v>138727.97124638924</v>
      </c>
      <c r="G12" s="156">
        <f t="shared" si="3"/>
        <v>2400</v>
      </c>
      <c r="H12" s="156">
        <f>('Table 2 StormwaterGroundwater'!O21*3.78541)*G12</f>
        <v>171640.4746288234</v>
      </c>
      <c r="I12" s="156">
        <f t="shared" si="4"/>
        <v>2402</v>
      </c>
      <c r="J12" s="156">
        <f>('Table 2 StormwaterGroundwater'!G16*3.78541)*I12</f>
        <v>163665.98676000003</v>
      </c>
      <c r="K12" s="156">
        <f t="shared" si="5"/>
        <v>1492.5</v>
      </c>
      <c r="L12" s="156">
        <f>K12*('Table 2 StormwaterGroundwater'!H16*3.78541)</f>
        <v>48870.116276250003</v>
      </c>
      <c r="M12" s="156">
        <f t="shared" si="6"/>
        <v>47950</v>
      </c>
      <c r="N12" s="156">
        <f>('Table 2 StormwaterGroundwater'!Q21*3.78541)*M12</f>
        <v>768199.35069365962</v>
      </c>
      <c r="O12" s="156">
        <f t="shared" si="7"/>
        <v>47950</v>
      </c>
      <c r="P12" s="156">
        <f>('Table 2 StormwaterGroundwater'!U21*3.78541)*O12</f>
        <v>232794.78614465453</v>
      </c>
      <c r="Q12" s="156">
        <f t="shared" si="8"/>
        <v>47950</v>
      </c>
      <c r="R12" s="156">
        <f>('Table 2 StormwaterGroundwater'!W21*3.78541)*Q12</f>
        <v>187079.7979289369</v>
      </c>
      <c r="S12" s="156">
        <f t="shared" si="9"/>
        <v>47950</v>
      </c>
      <c r="T12" s="156">
        <f>('Table 2 StormwaterGroundwater'!Y21*3.78541)*S12</f>
        <v>632976.75990993681</v>
      </c>
      <c r="U12" s="156">
        <f t="shared" si="10"/>
        <v>199667</v>
      </c>
      <c r="V12" s="156">
        <f>('Table 2 StormwaterGroundwater'!AA21*3.78541)*U12</f>
        <v>4998177.1296582036</v>
      </c>
      <c r="W12" s="156">
        <f t="shared" si="11"/>
        <v>199667</v>
      </c>
      <c r="X12" s="156">
        <f>('Table 2 StormwaterGroundwater'!AC21*3.78541)*W12</f>
        <v>6140338.7003027536</v>
      </c>
      <c r="Y12" s="156">
        <f t="shared" si="12"/>
        <v>199667</v>
      </c>
      <c r="Z12" s="156">
        <f>('Table 2 StormwaterGroundwater'!AE21*3.78541)*Y12</f>
        <v>7721793.1827336689</v>
      </c>
      <c r="AA12" s="156">
        <f>'Table 7 WTP Sulfate Balance'!G14</f>
        <v>7465.1204819277109</v>
      </c>
      <c r="AB12" s="156">
        <f>AA12*'Table 6 WTP Flow Balance'!H12</f>
        <v>1239210</v>
      </c>
      <c r="AC12" s="156">
        <f>(D12+F12+H12+J12+L12+N12+P12+R12+T12+V12+X12+Z12+AB12)/(('Table 5 Flows to Evap &amp; WTP'!F18+'Table 6 WTP Flow Balance'!H12)*3.78541)</f>
        <v>34450.388524998692</v>
      </c>
      <c r="AD12" s="156">
        <f>(AC12/(453592*2000))*(('Table 5 Flows to Evap &amp; WTP'!F18+'Table 6 WTP Flow Balance'!H12)*365*1440*3.785)</f>
        <v>13096.606780043232</v>
      </c>
      <c r="AE12" s="140">
        <f t="shared" si="13"/>
        <v>25197.896642699819</v>
      </c>
    </row>
    <row r="13" spans="2:37" ht="14.25" x14ac:dyDescent="0.2">
      <c r="B13" s="345">
        <f t="shared" si="0"/>
        <v>14</v>
      </c>
      <c r="C13" s="156">
        <f t="shared" si="1"/>
        <v>2400</v>
      </c>
      <c r="D13" s="156">
        <f>('Table 2 StormwaterGroundwater'!K22*3.78541)*C13</f>
        <v>164562.51691217089</v>
      </c>
      <c r="E13" s="156">
        <f t="shared" si="2"/>
        <v>2400</v>
      </c>
      <c r="F13" s="156">
        <f>('Table 2 StormwaterGroundwater'!M22*3.78541)*E13</f>
        <v>12386.426004141897</v>
      </c>
      <c r="G13" s="156">
        <f t="shared" si="3"/>
        <v>2400</v>
      </c>
      <c r="H13" s="156">
        <f>('Table 2 StormwaterGroundwater'!O22*3.78541)*G13</f>
        <v>0</v>
      </c>
      <c r="I13" s="156">
        <f t="shared" si="4"/>
        <v>2402</v>
      </c>
      <c r="J13" s="156">
        <f>('Table 2 StormwaterGroundwater'!G17*3.78541)*I13</f>
        <v>163665.98676000003</v>
      </c>
      <c r="K13" s="156">
        <f t="shared" si="5"/>
        <v>1492.5</v>
      </c>
      <c r="L13" s="156">
        <f>K13*('Table 2 StormwaterGroundwater'!H17*3.78541)</f>
        <v>48870.116276250003</v>
      </c>
      <c r="M13" s="156">
        <f t="shared" si="6"/>
        <v>47950</v>
      </c>
      <c r="N13" s="156">
        <f>('Table 2 StormwaterGroundwater'!Q22*3.78541)*M13</f>
        <v>609533.17620956874</v>
      </c>
      <c r="O13" s="156">
        <f t="shared" si="7"/>
        <v>47950</v>
      </c>
      <c r="P13" s="156">
        <f>('Table 2 StormwaterGroundwater'!U22*3.78541)*O13</f>
        <v>232794.78614465453</v>
      </c>
      <c r="Q13" s="156">
        <f t="shared" si="8"/>
        <v>47950</v>
      </c>
      <c r="R13" s="156">
        <f>('Table 2 StormwaterGroundwater'!W22*3.78541)*Q13</f>
        <v>187079.7979289369</v>
      </c>
      <c r="S13" s="156">
        <f t="shared" si="9"/>
        <v>47950</v>
      </c>
      <c r="T13" s="156">
        <f>('Table 2 StormwaterGroundwater'!Y22*3.78541)*S13</f>
        <v>632976.75990993681</v>
      </c>
      <c r="U13" s="156">
        <f t="shared" si="10"/>
        <v>199667</v>
      </c>
      <c r="V13" s="156">
        <f>('Table 2 StormwaterGroundwater'!AA22*3.78541)*U13</f>
        <v>4998177.1296582036</v>
      </c>
      <c r="W13" s="156">
        <f t="shared" si="11"/>
        <v>199667</v>
      </c>
      <c r="X13" s="156">
        <f>('Table 2 StormwaterGroundwater'!AC22*3.78541)*W13</f>
        <v>6140338.7003027536</v>
      </c>
      <c r="Y13" s="156">
        <f t="shared" si="12"/>
        <v>199667</v>
      </c>
      <c r="Z13" s="156">
        <f>('Table 2 StormwaterGroundwater'!AE22*3.78541)*Y13</f>
        <v>7721793.1827336689</v>
      </c>
      <c r="AA13" s="156">
        <f>'Table 7 WTP Sulfate Balance'!G15</f>
        <v>7474.3570536828956</v>
      </c>
      <c r="AB13" s="156">
        <f>AA13*'Table 6 WTP Flow Balance'!H13</f>
        <v>1197392</v>
      </c>
      <c r="AC13" s="156">
        <f>(D13+F13+H13+J13+L13+N13+P13+R13+T13+V13+X13+Z13+AB13)/(('Table 5 Flows to Evap &amp; WTP'!F19+'Table 6 WTP Flow Balance'!H13)*3.78541)</f>
        <v>35025.247284875542</v>
      </c>
      <c r="AD13" s="156">
        <f>(AC13/(453592*2000))*(('Table 5 Flows to Evap &amp; WTP'!F19+'Table 6 WTP Flow Balance'!H13)*365*1440*3.785)</f>
        <v>12808.351604036241</v>
      </c>
      <c r="AE13" s="140">
        <f t="shared" si="13"/>
        <v>24643.29312945886</v>
      </c>
      <c r="AJ13" s="131">
        <f>AJ9/95</f>
        <v>26285.257494111367</v>
      </c>
      <c r="AK13" t="s">
        <v>219</v>
      </c>
    </row>
    <row r="14" spans="2:37" ht="14.25" x14ac:dyDescent="0.2">
      <c r="B14" s="345">
        <f t="shared" si="0"/>
        <v>15</v>
      </c>
      <c r="C14" s="156">
        <f t="shared" si="1"/>
        <v>2400</v>
      </c>
      <c r="D14" s="156">
        <f>('Table 2 StormwaterGroundwater'!K23*3.78541)*C14</f>
        <v>0</v>
      </c>
      <c r="E14" s="156">
        <f t="shared" si="2"/>
        <v>2400</v>
      </c>
      <c r="F14" s="156">
        <f>('Table 2 StormwaterGroundwater'!M23*3.78541)*E14</f>
        <v>0</v>
      </c>
      <c r="G14" s="156">
        <f t="shared" si="3"/>
        <v>2400</v>
      </c>
      <c r="H14" s="156">
        <f>('Table 2 StormwaterGroundwater'!O23*3.78541)*G14</f>
        <v>0</v>
      </c>
      <c r="I14" s="156">
        <f t="shared" si="4"/>
        <v>2402</v>
      </c>
      <c r="J14" s="156">
        <f>('Table 2 StormwaterGroundwater'!G18*3.78541)*I14</f>
        <v>163665.98676000003</v>
      </c>
      <c r="K14" s="156">
        <f t="shared" si="5"/>
        <v>1492.5</v>
      </c>
      <c r="L14" s="156">
        <f>K14*('Table 2 StormwaterGroundwater'!H18*3.78541)</f>
        <v>48870.116276250003</v>
      </c>
      <c r="M14" s="156">
        <f t="shared" si="6"/>
        <v>47950</v>
      </c>
      <c r="N14" s="156">
        <f>('Table 2 StormwaterGroundwater'!Q23*3.78541)*M14</f>
        <v>609533.17620956874</v>
      </c>
      <c r="O14" s="156">
        <f t="shared" si="7"/>
        <v>47950</v>
      </c>
      <c r="P14" s="156">
        <f>('Table 2 StormwaterGroundwater'!U23*3.78541)*O14</f>
        <v>232794.78614465453</v>
      </c>
      <c r="Q14" s="156">
        <f t="shared" si="8"/>
        <v>47950</v>
      </c>
      <c r="R14" s="156">
        <f>('Table 2 StormwaterGroundwater'!W23*3.78541)*Q14</f>
        <v>187079.7979289369</v>
      </c>
      <c r="S14" s="156">
        <f t="shared" si="9"/>
        <v>47950</v>
      </c>
      <c r="T14" s="156">
        <f>('Table 2 StormwaterGroundwater'!Y23*3.78541)*S14</f>
        <v>632976.75990993681</v>
      </c>
      <c r="U14" s="156">
        <f t="shared" si="10"/>
        <v>199667</v>
      </c>
      <c r="V14" s="156">
        <f>('Table 2 StormwaterGroundwater'!AA23*3.78541)*U14</f>
        <v>4998177.1296582036</v>
      </c>
      <c r="W14" s="156">
        <f t="shared" si="11"/>
        <v>199667</v>
      </c>
      <c r="X14" s="156">
        <f>('Table 2 StormwaterGroundwater'!AC23*3.78541)*W14</f>
        <v>6140338.7003027536</v>
      </c>
      <c r="Y14" s="156">
        <f t="shared" si="12"/>
        <v>199667</v>
      </c>
      <c r="Z14" s="156">
        <f>('Table 2 StormwaterGroundwater'!AE23*3.78541)*Y14</f>
        <v>7721793.1827336689</v>
      </c>
      <c r="AA14" s="156">
        <f>'Table 7 WTP Sulfate Balance'!G16</f>
        <v>7483.7556561085967</v>
      </c>
      <c r="AB14" s="156">
        <f>AA14*'Table 6 WTP Flow Balance'!H14</f>
        <v>1157737</v>
      </c>
      <c r="AC14" s="156">
        <f>(D14+F14+H14+J14+L14+N14+P14+R14+T14+V14+X14+Z14+AB14)/(('Table 5 Flows to Evap &amp; WTP'!F20+'Table 6 WTP Flow Balance'!H14)*3.78541)</f>
        <v>35977.966971048343</v>
      </c>
      <c r="AD14" s="156">
        <f>(AC14/(453592*2000))*(('Table 5 Flows to Evap &amp; WTP'!F20+'Table 6 WTP Flow Balance'!H14)*365*1440*3.785)</f>
        <v>12682.870222577487</v>
      </c>
      <c r="AE14" s="140">
        <f t="shared" si="13"/>
        <v>24401.866710105794</v>
      </c>
    </row>
    <row r="15" spans="2:37" ht="14.25" x14ac:dyDescent="0.2">
      <c r="B15" s="345">
        <f t="shared" si="0"/>
        <v>16</v>
      </c>
      <c r="C15" s="156">
        <f t="shared" si="1"/>
        <v>2400</v>
      </c>
      <c r="D15" s="156">
        <f>('Table 2 StormwaterGroundwater'!K24*3.78541)*C15</f>
        <v>0</v>
      </c>
      <c r="E15" s="156">
        <f t="shared" si="2"/>
        <v>2400</v>
      </c>
      <c r="F15" s="156">
        <f>('Table 2 StormwaterGroundwater'!M24*3.78541)*E15</f>
        <v>0</v>
      </c>
      <c r="G15" s="156">
        <f t="shared" si="3"/>
        <v>2400</v>
      </c>
      <c r="H15" s="156">
        <f>('Table 2 StormwaterGroundwater'!O24*3.78541)*G15</f>
        <v>0</v>
      </c>
      <c r="I15" s="156">
        <f t="shared" si="4"/>
        <v>2402</v>
      </c>
      <c r="J15" s="156">
        <f>('Table 2 StormwaterGroundwater'!G19*3.78541)*I15</f>
        <v>163665.98676000003</v>
      </c>
      <c r="K15" s="156">
        <f t="shared" si="5"/>
        <v>1492.5</v>
      </c>
      <c r="L15" s="156">
        <f>K15*('Table 2 StormwaterGroundwater'!H19*3.78541)</f>
        <v>48870.116276250003</v>
      </c>
      <c r="M15" s="156">
        <f t="shared" si="6"/>
        <v>47950</v>
      </c>
      <c r="N15" s="156">
        <f>('Table 2 StormwaterGroundwater'!Q24*3.78541)*M15</f>
        <v>609533.17620956874</v>
      </c>
      <c r="O15" s="156">
        <f t="shared" si="7"/>
        <v>47950</v>
      </c>
      <c r="P15" s="156">
        <f>('Table 2 StormwaterGroundwater'!U24*3.78541)*O15</f>
        <v>232794.78614465453</v>
      </c>
      <c r="Q15" s="156">
        <f t="shared" si="8"/>
        <v>47950</v>
      </c>
      <c r="R15" s="156">
        <f>('Table 2 StormwaterGroundwater'!W24*3.78541)*Q15</f>
        <v>187079.7979289369</v>
      </c>
      <c r="S15" s="156">
        <f t="shared" si="9"/>
        <v>47950</v>
      </c>
      <c r="T15" s="156">
        <f>('Table 2 StormwaterGroundwater'!Y24*3.78541)*S15</f>
        <v>632976.75990993681</v>
      </c>
      <c r="U15" s="156">
        <f t="shared" si="10"/>
        <v>199667</v>
      </c>
      <c r="V15" s="156">
        <f>('Table 2 StormwaterGroundwater'!AA24*3.78541)*U15</f>
        <v>4998177.1296582036</v>
      </c>
      <c r="W15" s="156">
        <f t="shared" si="11"/>
        <v>199667</v>
      </c>
      <c r="X15" s="156">
        <f>('Table 2 StormwaterGroundwater'!AC24*3.78541)*W15</f>
        <v>6140338.7003027536</v>
      </c>
      <c r="Y15" s="156">
        <f t="shared" si="12"/>
        <v>199667</v>
      </c>
      <c r="Z15" s="156">
        <f>('Table 2 StormwaterGroundwater'!AE24*3.78541)*Y15</f>
        <v>7721793.1827336689</v>
      </c>
      <c r="AA15" s="156">
        <f>'Table 7 WTP Sulfate Balance'!G17</f>
        <v>7493.2775919732439</v>
      </c>
      <c r="AB15" s="156">
        <f>AA15*'Table 6 WTP Flow Balance'!H15</f>
        <v>1120245</v>
      </c>
      <c r="AC15" s="156">
        <f>(D15+F15+H15+J15+L15+N15+P15+R15+T15+V15+X15+Z15+AB15)/(('Table 5 Flows to Evap &amp; WTP'!F21+'Table 6 WTP Flow Balance'!H15)*3.78541)</f>
        <v>37142.186256152338</v>
      </c>
      <c r="AD15" s="156">
        <f>(AC15/(453592*2000))*(('Table 5 Flows to Evap &amp; WTP'!F21+'Table 6 WTP Flow Balance'!H15)*365*1440*3.785)</f>
        <v>12661.150636635</v>
      </c>
      <c r="AE15" s="140">
        <f t="shared" si="13"/>
        <v>24360.078184963924</v>
      </c>
      <c r="AJ15" s="3" t="s">
        <v>220</v>
      </c>
    </row>
    <row r="16" spans="2:37" ht="14.25" x14ac:dyDescent="0.2">
      <c r="B16" s="345">
        <f t="shared" si="0"/>
        <v>17</v>
      </c>
      <c r="C16" s="156">
        <f t="shared" si="1"/>
        <v>2400</v>
      </c>
      <c r="D16" s="156">
        <f>('Table 2 StormwaterGroundwater'!K25*3.78541)*C16</f>
        <v>0</v>
      </c>
      <c r="E16" s="156">
        <f t="shared" si="2"/>
        <v>2400</v>
      </c>
      <c r="F16" s="156">
        <f>('Table 2 StormwaterGroundwater'!M25*3.78541)*E16</f>
        <v>0</v>
      </c>
      <c r="G16" s="156">
        <f t="shared" si="3"/>
        <v>2400</v>
      </c>
      <c r="H16" s="156">
        <f>('Table 2 StormwaterGroundwater'!O25*3.78541)*G16</f>
        <v>0</v>
      </c>
      <c r="I16" s="156">
        <f t="shared" si="4"/>
        <v>2402</v>
      </c>
      <c r="J16" s="156">
        <f>('Table 2 StormwaterGroundwater'!G20*3.78541)*I16</f>
        <v>163665.98676000003</v>
      </c>
      <c r="K16" s="156">
        <f t="shared" si="5"/>
        <v>1492.5</v>
      </c>
      <c r="L16" s="156">
        <f>K16*('Table 2 StormwaterGroundwater'!H20*3.78541)</f>
        <v>48870.116276250003</v>
      </c>
      <c r="M16" s="156">
        <f t="shared" si="6"/>
        <v>47950</v>
      </c>
      <c r="N16" s="156">
        <f>('Table 2 StormwaterGroundwater'!Q25*3.78541)*M16</f>
        <v>609533.17620956874</v>
      </c>
      <c r="O16" s="156">
        <f t="shared" si="7"/>
        <v>47950</v>
      </c>
      <c r="P16" s="156">
        <f>('Table 2 StormwaterGroundwater'!U25*3.78541)*O16</f>
        <v>232794.78614465453</v>
      </c>
      <c r="Q16" s="156">
        <f t="shared" si="8"/>
        <v>47950</v>
      </c>
      <c r="R16" s="156">
        <f>('Table 2 StormwaterGroundwater'!W25*3.78541)*Q16</f>
        <v>187079.7979289369</v>
      </c>
      <c r="S16" s="156">
        <f t="shared" si="9"/>
        <v>47950</v>
      </c>
      <c r="T16" s="156">
        <f>('Table 2 StormwaterGroundwater'!Y25*3.78541)*S16</f>
        <v>632976.75990993681</v>
      </c>
      <c r="U16" s="156">
        <f t="shared" si="10"/>
        <v>199667</v>
      </c>
      <c r="V16" s="156">
        <f>('Table 2 StormwaterGroundwater'!AA25*3.78541)*U16</f>
        <v>4998177.1296582036</v>
      </c>
      <c r="W16" s="156">
        <f t="shared" si="11"/>
        <v>199667</v>
      </c>
      <c r="X16" s="156">
        <f>('Table 2 StormwaterGroundwater'!AC25*3.78541)*W16</f>
        <v>6140338.7003027536</v>
      </c>
      <c r="Y16" s="156">
        <f t="shared" si="12"/>
        <v>199667</v>
      </c>
      <c r="Z16" s="156">
        <f>('Table 2 StormwaterGroundwater'!AE25*3.78541)*Y16</f>
        <v>7721793.1827336689</v>
      </c>
      <c r="AA16" s="156">
        <f>'Table 7 WTP Sulfate Balance'!G18</f>
        <v>7502.876901798064</v>
      </c>
      <c r="AB16" s="156">
        <f>AA16*'Table 6 WTP Flow Balance'!H16</f>
        <v>1084916</v>
      </c>
      <c r="AC16" s="156">
        <f>(D16+F16+H16+J16+L16+N16+P16+R16+T16+V16+X16+Z16+AB16)/(('Table 5 Flows to Evap &amp; WTP'!F22+'Table 6 WTP Flow Balance'!H16)*3.78541)</f>
        <v>38314.380779690895</v>
      </c>
      <c r="AD16" s="156">
        <f>(AC16/(453592*2000))*(('Table 5 Flows to Evap &amp; WTP'!F22+'Table 6 WTP Flow Balance'!H16)*365*1440*3.785)</f>
        <v>12640.684103727668</v>
      </c>
      <c r="AE16" s="140">
        <f t="shared" si="13"/>
        <v>24320.700536272572</v>
      </c>
    </row>
    <row r="17" spans="2:37" ht="14.25" x14ac:dyDescent="0.2">
      <c r="B17" s="345">
        <f t="shared" si="0"/>
        <v>18</v>
      </c>
      <c r="C17" s="156">
        <f t="shared" si="1"/>
        <v>2400</v>
      </c>
      <c r="D17" s="156">
        <f>('Table 2 StormwaterGroundwater'!K26*3.78541)*C17</f>
        <v>0</v>
      </c>
      <c r="E17" s="156">
        <f t="shared" si="2"/>
        <v>2400</v>
      </c>
      <c r="F17" s="156">
        <f>('Table 2 StormwaterGroundwater'!M26*3.78541)*E17</f>
        <v>0</v>
      </c>
      <c r="G17" s="156">
        <f t="shared" si="3"/>
        <v>2400</v>
      </c>
      <c r="H17" s="156">
        <f>('Table 2 StormwaterGroundwater'!O26*3.78541)*G17</f>
        <v>0</v>
      </c>
      <c r="I17" s="156">
        <f t="shared" si="4"/>
        <v>2402</v>
      </c>
      <c r="J17" s="156">
        <f>('Table 2 StormwaterGroundwater'!G21*3.78541)*I17</f>
        <v>163665.98676000003</v>
      </c>
      <c r="K17" s="156">
        <f t="shared" si="5"/>
        <v>1492.5</v>
      </c>
      <c r="L17" s="156">
        <f>K17*('Table 2 StormwaterGroundwater'!H21*3.78541)</f>
        <v>48870.116276250003</v>
      </c>
      <c r="M17" s="156">
        <f t="shared" si="6"/>
        <v>47950</v>
      </c>
      <c r="N17" s="156">
        <f>('Table 2 StormwaterGroundwater'!Q26*3.78541)*M17</f>
        <v>609533.17620956874</v>
      </c>
      <c r="O17" s="156">
        <f t="shared" si="7"/>
        <v>47950</v>
      </c>
      <c r="P17" s="156">
        <f>('Table 2 StormwaterGroundwater'!U26*3.78541)*O17</f>
        <v>232794.78614465453</v>
      </c>
      <c r="Q17" s="156">
        <f t="shared" si="8"/>
        <v>47950</v>
      </c>
      <c r="R17" s="156">
        <f>('Table 2 StormwaterGroundwater'!W26*3.78541)*Q17</f>
        <v>187079.7979289369</v>
      </c>
      <c r="S17" s="156">
        <f t="shared" si="9"/>
        <v>47950</v>
      </c>
      <c r="T17" s="156">
        <f>('Table 2 StormwaterGroundwater'!Y26*3.78541)*S17</f>
        <v>632976.75990993681</v>
      </c>
      <c r="U17" s="156">
        <f t="shared" si="10"/>
        <v>199667</v>
      </c>
      <c r="V17" s="156">
        <f>('Table 2 StormwaterGroundwater'!AA26*3.78541)*U17</f>
        <v>4998177.1296582036</v>
      </c>
      <c r="W17" s="156">
        <f t="shared" si="11"/>
        <v>199667</v>
      </c>
      <c r="X17" s="156">
        <f>('Table 2 StormwaterGroundwater'!AC26*3.78541)*W17</f>
        <v>6140338.7003027536</v>
      </c>
      <c r="Y17" s="156">
        <f t="shared" si="12"/>
        <v>199667</v>
      </c>
      <c r="Z17" s="156">
        <f>('Table 2 StormwaterGroundwater'!AE26*3.78541)*Y17</f>
        <v>7721793.1827336689</v>
      </c>
      <c r="AA17" s="156">
        <f>'Table 7 WTP Sulfate Balance'!G19</f>
        <v>7512.7162258756252</v>
      </c>
      <c r="AB17" s="156">
        <f>AA17*'Table 6 WTP Flow Balance'!H17</f>
        <v>1051029</v>
      </c>
      <c r="AC17" s="156">
        <f>(D17+F17+H17+J17+L17+N17+P17+R17+T17+V17+X17+Z17+AB17)/(('Table 5 Flows to Evap &amp; WTP'!F23+'Table 6 WTP Flow Balance'!H17)*3.78541)</f>
        <v>39514.339530259305</v>
      </c>
      <c r="AD17" s="156">
        <f>(AC17/(453592*2000))*(('Table 5 Flows to Evap &amp; WTP'!F23+'Table 6 WTP Flow Balance'!H17)*365*1440*3.785)</f>
        <v>12621.052939510419</v>
      </c>
      <c r="AE17" s="140">
        <f t="shared" si="13"/>
        <v>24282.930138548185</v>
      </c>
      <c r="AJ17">
        <v>56</v>
      </c>
      <c r="AK17" t="s">
        <v>221</v>
      </c>
    </row>
    <row r="18" spans="2:37" ht="14.25" x14ac:dyDescent="0.2">
      <c r="B18" s="345">
        <f t="shared" si="0"/>
        <v>19</v>
      </c>
      <c r="C18" s="156">
        <f t="shared" si="1"/>
        <v>2400</v>
      </c>
      <c r="D18" s="156">
        <f>('Table 2 StormwaterGroundwater'!K27*3.78541)*C18</f>
        <v>0</v>
      </c>
      <c r="E18" s="156">
        <f t="shared" si="2"/>
        <v>2400</v>
      </c>
      <c r="F18" s="156">
        <f>('Table 2 StormwaterGroundwater'!M27*3.78541)*E18</f>
        <v>0</v>
      </c>
      <c r="G18" s="156">
        <f t="shared" si="3"/>
        <v>2400</v>
      </c>
      <c r="H18" s="156">
        <f>('Table 2 StormwaterGroundwater'!O27*3.78541)*G18</f>
        <v>0</v>
      </c>
      <c r="I18" s="156">
        <f t="shared" si="4"/>
        <v>2402</v>
      </c>
      <c r="J18" s="156">
        <f>('Table 2 StormwaterGroundwater'!G22*3.78541)*I18</f>
        <v>163665.98676000003</v>
      </c>
      <c r="K18" s="156">
        <f t="shared" si="5"/>
        <v>1492.5</v>
      </c>
      <c r="L18" s="156">
        <f>K18*('Table 2 StormwaterGroundwater'!H22*3.78541)</f>
        <v>48870.116276250003</v>
      </c>
      <c r="M18" s="156">
        <f t="shared" si="6"/>
        <v>47950</v>
      </c>
      <c r="N18" s="156">
        <f>('Table 2 StormwaterGroundwater'!Q27*3.78541)*M18</f>
        <v>609533.17620956874</v>
      </c>
      <c r="O18" s="156">
        <f t="shared" si="7"/>
        <v>47950</v>
      </c>
      <c r="P18" s="156">
        <f>('Table 2 StormwaterGroundwater'!U27*3.78541)*O18</f>
        <v>232794.78614465453</v>
      </c>
      <c r="Q18" s="156">
        <f t="shared" si="8"/>
        <v>47950</v>
      </c>
      <c r="R18" s="156">
        <f>('Table 2 StormwaterGroundwater'!W27*3.78541)*Q18</f>
        <v>187079.7979289369</v>
      </c>
      <c r="S18" s="156">
        <f t="shared" si="9"/>
        <v>47950</v>
      </c>
      <c r="T18" s="156">
        <f>('Table 2 StormwaterGroundwater'!Y27*3.78541)*S18</f>
        <v>632976.75990993681</v>
      </c>
      <c r="U18" s="156">
        <f t="shared" si="10"/>
        <v>199667</v>
      </c>
      <c r="V18" s="156">
        <f>('Table 2 StormwaterGroundwater'!AA27*3.78541)*U18</f>
        <v>4998177.1296582036</v>
      </c>
      <c r="W18" s="156">
        <f t="shared" si="11"/>
        <v>199667</v>
      </c>
      <c r="X18" s="156">
        <f>('Table 2 StormwaterGroundwater'!AC27*3.78541)*W18</f>
        <v>6140338.7003027536</v>
      </c>
      <c r="Y18" s="156">
        <f t="shared" si="12"/>
        <v>199667</v>
      </c>
      <c r="Z18" s="156">
        <f>('Table 2 StormwaterGroundwater'!AE27*3.78541)*Y18</f>
        <v>7721793.1827336689</v>
      </c>
      <c r="AA18" s="156">
        <f>'Table 7 WTP Sulfate Balance'!G20</f>
        <v>7522.5461254612546</v>
      </c>
      <c r="AB18" s="156">
        <f>AA18*'Table 6 WTP Flow Balance'!H18</f>
        <v>1019305</v>
      </c>
      <c r="AC18" s="156">
        <f>(D18+F18+H18+J18+L18+N18+P18+R18+T18+V18+X18+Z18+AB18)/(('Table 5 Flows to Evap &amp; WTP'!F24+'Table 6 WTP Flow Balance'!H18)*3.78541)</f>
        <v>40711.590625145116</v>
      </c>
      <c r="AD18" s="156">
        <f>(AC18/(453592*2000))*(('Table 5 Flows to Evap &amp; WTP'!F24+'Table 6 WTP Flow Balance'!H18)*365*1440*3.785)</f>
        <v>12602.674828328314</v>
      </c>
      <c r="AE18" s="140">
        <f t="shared" si="13"/>
        <v>24247.57061727429</v>
      </c>
    </row>
    <row r="19" spans="2:37" ht="15.75" x14ac:dyDescent="0.2">
      <c r="B19" s="345">
        <f t="shared" si="0"/>
        <v>20</v>
      </c>
      <c r="C19" s="156">
        <f t="shared" si="1"/>
        <v>2400</v>
      </c>
      <c r="D19" s="156">
        <f>('Table 2 StormwaterGroundwater'!K28*3.78541)*C19</f>
        <v>0</v>
      </c>
      <c r="E19" s="156">
        <f t="shared" si="2"/>
        <v>2400</v>
      </c>
      <c r="F19" s="156">
        <f>('Table 2 StormwaterGroundwater'!M28*3.78541)*E19</f>
        <v>0</v>
      </c>
      <c r="G19" s="156">
        <f t="shared" si="3"/>
        <v>2400</v>
      </c>
      <c r="H19" s="156">
        <f>('Table 2 StormwaterGroundwater'!O28*3.78541)*G19</f>
        <v>0</v>
      </c>
      <c r="I19" s="156">
        <f t="shared" si="4"/>
        <v>2402</v>
      </c>
      <c r="J19" s="156">
        <f>('Table 2 StormwaterGroundwater'!G23*3.78541)*I19</f>
        <v>163665.98676000003</v>
      </c>
      <c r="K19" s="156">
        <f t="shared" si="5"/>
        <v>1492.5</v>
      </c>
      <c r="L19" s="156">
        <f>K19*('Table 2 StormwaterGroundwater'!H23*3.78541)</f>
        <v>48870.116276250003</v>
      </c>
      <c r="M19" s="156">
        <f t="shared" si="6"/>
        <v>47950</v>
      </c>
      <c r="N19" s="156">
        <f>('Table 2 StormwaterGroundwater'!Q28*3.78541)*M19</f>
        <v>609533.17620956874</v>
      </c>
      <c r="O19" s="156">
        <f t="shared" si="7"/>
        <v>47950</v>
      </c>
      <c r="P19" s="156">
        <f>('Table 2 StormwaterGroundwater'!U28*3.78541)*O19</f>
        <v>232794.78614465453</v>
      </c>
      <c r="Q19" s="156">
        <f t="shared" si="8"/>
        <v>47950</v>
      </c>
      <c r="R19" s="156">
        <f>('Table 2 StormwaterGroundwater'!W28*3.78541)*Q19</f>
        <v>187079.7979289369</v>
      </c>
      <c r="S19" s="156">
        <f t="shared" si="9"/>
        <v>47950</v>
      </c>
      <c r="T19" s="156">
        <f>('Table 2 StormwaterGroundwater'!Y28*3.78541)*S19</f>
        <v>632976.75990993681</v>
      </c>
      <c r="U19" s="156">
        <f t="shared" si="10"/>
        <v>199667</v>
      </c>
      <c r="V19" s="156">
        <f>('Table 2 StormwaterGroundwater'!AA28*3.78541)*U19</f>
        <v>4998177.1296582036</v>
      </c>
      <c r="W19" s="156">
        <f t="shared" si="11"/>
        <v>199667</v>
      </c>
      <c r="X19" s="156">
        <f>('Table 2 StormwaterGroundwater'!AC28*3.78541)*W19</f>
        <v>6140338.7003027536</v>
      </c>
      <c r="Y19" s="156">
        <f t="shared" si="12"/>
        <v>199667</v>
      </c>
      <c r="Z19" s="156">
        <f>('Table 2 StormwaterGroundwater'!AE28*3.78541)*Y19</f>
        <v>7721793.1827336689</v>
      </c>
      <c r="AA19" s="156">
        <f>'Table 7 WTP Sulfate Balance'!G21</f>
        <v>7532.2983257229826</v>
      </c>
      <c r="AB19" s="156">
        <f>AA19*'Table 6 WTP Flow Balance'!H19</f>
        <v>989743.99999999977</v>
      </c>
      <c r="AC19" s="156">
        <f>(D19+F19+H19+J19+L19+N19+P19+R19+T19+V19+X19+Z19+AB19)/(('Table 5 Flows to Evap &amp; WTP'!F25+'Table 6 WTP Flow Balance'!H19)*3.78541)</f>
        <v>41897.842052660802</v>
      </c>
      <c r="AD19" s="156">
        <f>(AC19/(453592*2000))*(('Table 5 Flows to Evap &amp; WTP'!F25+'Table 6 WTP Flow Balance'!H19)*365*1440*3.785)</f>
        <v>12585.54977018136</v>
      </c>
      <c r="AE19" s="140">
        <f t="shared" si="13"/>
        <v>24214.62197245091</v>
      </c>
      <c r="AG19" s="72"/>
      <c r="AJ19" t="s">
        <v>222</v>
      </c>
    </row>
    <row r="20" spans="2:37" ht="14.25" x14ac:dyDescent="0.2">
      <c r="B20" s="345">
        <f t="shared" si="0"/>
        <v>21</v>
      </c>
      <c r="C20" s="156">
        <f t="shared" si="1"/>
        <v>2400</v>
      </c>
      <c r="D20" s="156">
        <f>('Table 2 StormwaterGroundwater'!K29*3.78541)*C20</f>
        <v>0</v>
      </c>
      <c r="E20" s="156">
        <f t="shared" si="2"/>
        <v>2400</v>
      </c>
      <c r="F20" s="156">
        <f>('Table 2 StormwaterGroundwater'!M29*3.78541)*E20</f>
        <v>0</v>
      </c>
      <c r="G20" s="156">
        <f t="shared" si="3"/>
        <v>2400</v>
      </c>
      <c r="H20" s="156">
        <f>('Table 2 StormwaterGroundwater'!O29*3.78541)*G20</f>
        <v>0</v>
      </c>
      <c r="I20" s="156">
        <f t="shared" si="4"/>
        <v>2402</v>
      </c>
      <c r="J20" s="156">
        <f>('Table 2 StormwaterGroundwater'!G24*3.78541)*I20</f>
        <v>163665.98676000003</v>
      </c>
      <c r="K20" s="156">
        <f t="shared" si="5"/>
        <v>1492.5</v>
      </c>
      <c r="L20" s="156">
        <f>K20*('Table 2 StormwaterGroundwater'!H24*3.78541)</f>
        <v>48870.116276250003</v>
      </c>
      <c r="M20" s="156">
        <f t="shared" si="6"/>
        <v>47950</v>
      </c>
      <c r="N20" s="156">
        <f>('Table 2 StormwaterGroundwater'!Q29*3.78541)*M20</f>
        <v>609533.17620956874</v>
      </c>
      <c r="O20" s="156">
        <f t="shared" si="7"/>
        <v>47950</v>
      </c>
      <c r="P20" s="156">
        <f>('Table 2 StormwaterGroundwater'!U29*3.78541)*O20</f>
        <v>232794.78614465453</v>
      </c>
      <c r="Q20" s="156">
        <f t="shared" si="8"/>
        <v>47950</v>
      </c>
      <c r="R20" s="156">
        <f>('Table 2 StormwaterGroundwater'!W29*3.78541)*Q20</f>
        <v>187079.7979289369</v>
      </c>
      <c r="S20" s="156">
        <f t="shared" si="9"/>
        <v>47950</v>
      </c>
      <c r="T20" s="156">
        <f>('Table 2 StormwaterGroundwater'!Y29*3.78541)*S20</f>
        <v>632976.75990993681</v>
      </c>
      <c r="U20" s="156">
        <f t="shared" si="10"/>
        <v>199667</v>
      </c>
      <c r="V20" s="156">
        <f>('Table 2 StormwaterGroundwater'!AA29*3.78541)*U20</f>
        <v>4998177.1296582036</v>
      </c>
      <c r="W20" s="156">
        <f t="shared" si="11"/>
        <v>199667</v>
      </c>
      <c r="X20" s="156">
        <f>('Table 2 StormwaterGroundwater'!AC29*3.78541)*W20</f>
        <v>6140338.7003027536</v>
      </c>
      <c r="Y20" s="156">
        <f t="shared" si="12"/>
        <v>199667</v>
      </c>
      <c r="Z20" s="156">
        <f>('Table 2 StormwaterGroundwater'!AE29*3.78541)*Y20</f>
        <v>7721793.1827336689</v>
      </c>
      <c r="AA20" s="156">
        <f>'Table 7 WTP Sulfate Balance'!G22</f>
        <v>7535.5188316679487</v>
      </c>
      <c r="AB20" s="156">
        <f>AA20*'Table 6 WTP Flow Balance'!H20</f>
        <v>980371.00000000012</v>
      </c>
      <c r="AC20" s="156">
        <f>(D20+F20+H20+J20+L20+N20+P20+R20+T20+V20+X20+Z20+AB20)/(('Table 5 Flows to Evap &amp; WTP'!F26+'Table 6 WTP Flow Balance'!H20)*3.78541)</f>
        <v>42289.246786735457</v>
      </c>
      <c r="AD20" s="156">
        <f>(AC20/(453592*2000))*(('Table 5 Flows to Evap &amp; WTP'!F26+'Table 6 WTP Flow Balance'!H20)*365*1440*3.785)</f>
        <v>12580.119873695739</v>
      </c>
      <c r="AE20" s="140">
        <f t="shared" si="13"/>
        <v>24204.174841165444</v>
      </c>
      <c r="AJ20">
        <f>AJ13/55</f>
        <v>477.91377262020666</v>
      </c>
      <c r="AK20" t="s">
        <v>223</v>
      </c>
    </row>
    <row r="21" spans="2:37" ht="14.25" x14ac:dyDescent="0.2">
      <c r="B21" s="345">
        <f t="shared" si="0"/>
        <v>22</v>
      </c>
      <c r="C21" s="156">
        <f t="shared" si="1"/>
        <v>2400</v>
      </c>
      <c r="D21" s="156">
        <f>('Table 2 StormwaterGroundwater'!K30*3.78541)*C21</f>
        <v>0</v>
      </c>
      <c r="E21" s="156">
        <f t="shared" si="2"/>
        <v>2400</v>
      </c>
      <c r="F21" s="156">
        <f>('Table 2 StormwaterGroundwater'!M30*3.78541)*E21</f>
        <v>0</v>
      </c>
      <c r="G21" s="156">
        <f t="shared" si="3"/>
        <v>2400</v>
      </c>
      <c r="H21" s="156">
        <f>('Table 2 StormwaterGroundwater'!O30*3.78541)*G21</f>
        <v>0</v>
      </c>
      <c r="I21" s="156">
        <f t="shared" si="4"/>
        <v>2402</v>
      </c>
      <c r="J21" s="156">
        <f>('Table 2 StormwaterGroundwater'!G25*3.78541)*I21</f>
        <v>163665.98676000003</v>
      </c>
      <c r="K21" s="156">
        <f t="shared" si="5"/>
        <v>1492.5</v>
      </c>
      <c r="L21" s="156">
        <f>K21*('Table 2 StormwaterGroundwater'!H25*3.78541)</f>
        <v>48870.116276250003</v>
      </c>
      <c r="M21" s="156">
        <f t="shared" si="6"/>
        <v>47950</v>
      </c>
      <c r="N21" s="156">
        <f>('Table 2 StormwaterGroundwater'!Q30*3.78541)*M21</f>
        <v>609533.17620956874</v>
      </c>
      <c r="O21" s="156">
        <f t="shared" si="7"/>
        <v>47950</v>
      </c>
      <c r="P21" s="156">
        <f>('Table 2 StormwaterGroundwater'!U30*3.78541)*O21</f>
        <v>232794.78614465453</v>
      </c>
      <c r="Q21" s="156">
        <f t="shared" si="8"/>
        <v>47950</v>
      </c>
      <c r="R21" s="156">
        <f>('Table 2 StormwaterGroundwater'!W30*3.78541)*Q21</f>
        <v>187079.7979289369</v>
      </c>
      <c r="S21" s="156">
        <f t="shared" si="9"/>
        <v>47950</v>
      </c>
      <c r="T21" s="156">
        <f>('Table 2 StormwaterGroundwater'!Y30*3.78541)*S21</f>
        <v>632976.75990993681</v>
      </c>
      <c r="U21" s="156">
        <f t="shared" si="10"/>
        <v>199667</v>
      </c>
      <c r="V21" s="156">
        <f>('Table 2 StormwaterGroundwater'!AA30*3.78541)*U21</f>
        <v>4998177.1296582036</v>
      </c>
      <c r="W21" s="156">
        <f t="shared" si="11"/>
        <v>199667</v>
      </c>
      <c r="X21" s="156">
        <f>('Table 2 StormwaterGroundwater'!AC30*3.78541)*W21</f>
        <v>6140338.7003027536</v>
      </c>
      <c r="Y21" s="156">
        <f t="shared" si="12"/>
        <v>199667</v>
      </c>
      <c r="Z21" s="156">
        <f>('Table 2 StormwaterGroundwater'!AE30*3.78541)*Y21</f>
        <v>7721793.1827336689</v>
      </c>
      <c r="AA21" s="156">
        <f>'Table 7 WTP Sulfate Balance'!G23</f>
        <v>7535.7692307692305</v>
      </c>
      <c r="AB21" s="156">
        <f>AA21*'Table 6 WTP Flow Balance'!H21</f>
        <v>979650</v>
      </c>
      <c r="AC21" s="156">
        <f>(D21+F21+H21+J21+L21+N21+P21+R21+T21+V21+X21+Z21+AB21)/(('Table 5 Flows to Evap &amp; WTP'!F27+'Table 6 WTP Flow Balance'!H21)*3.78541)</f>
        <v>42319.672109384686</v>
      </c>
      <c r="AD21" s="156">
        <f>(AC21/(453592*2000))*(('Table 5 Flows to Evap &amp; WTP'!F27+'Table 6 WTP Flow Balance'!H21)*365*1440*3.785)</f>
        <v>12579.702189350688</v>
      </c>
      <c r="AE21" s="140">
        <f t="shared" si="13"/>
        <v>24203.371215681942</v>
      </c>
      <c r="AJ21">
        <f>AJ20/4</f>
        <v>119.47844315505166</v>
      </c>
      <c r="AK21" t="s">
        <v>224</v>
      </c>
    </row>
    <row r="22" spans="2:37" ht="14.25" x14ac:dyDescent="0.2">
      <c r="B22" s="345">
        <f t="shared" si="0"/>
        <v>23</v>
      </c>
      <c r="C22" s="156">
        <f t="shared" si="1"/>
        <v>2400</v>
      </c>
      <c r="D22" s="156">
        <f>('Table 2 StormwaterGroundwater'!K31*3.78541)*C22</f>
        <v>0</v>
      </c>
      <c r="E22" s="156">
        <f t="shared" si="2"/>
        <v>2400</v>
      </c>
      <c r="F22" s="156">
        <f>('Table 2 StormwaterGroundwater'!M31*3.78541)*E22</f>
        <v>0</v>
      </c>
      <c r="G22" s="156">
        <f t="shared" si="3"/>
        <v>2400</v>
      </c>
      <c r="H22" s="156">
        <f>('Table 2 StormwaterGroundwater'!O31*3.78541)*G22</f>
        <v>0</v>
      </c>
      <c r="I22" s="156">
        <f t="shared" si="4"/>
        <v>2402</v>
      </c>
      <c r="J22" s="156">
        <f>('Table 2 StormwaterGroundwater'!G26*3.78541)*I22</f>
        <v>163665.98676000003</v>
      </c>
      <c r="K22" s="156">
        <f t="shared" si="5"/>
        <v>1492.5</v>
      </c>
      <c r="L22" s="156">
        <f>K22*('Table 2 StormwaterGroundwater'!H26*3.78541)</f>
        <v>48870.116276250003</v>
      </c>
      <c r="M22" s="156">
        <f t="shared" si="6"/>
        <v>47950</v>
      </c>
      <c r="N22" s="156">
        <f>('Table 2 StormwaterGroundwater'!Q31*3.78541)*M22</f>
        <v>609533.17620956874</v>
      </c>
      <c r="O22" s="156">
        <f t="shared" si="7"/>
        <v>47950</v>
      </c>
      <c r="P22" s="156">
        <f>('Table 2 StormwaterGroundwater'!U31*3.78541)*O22</f>
        <v>232794.78614465453</v>
      </c>
      <c r="Q22" s="156">
        <f t="shared" si="8"/>
        <v>47950</v>
      </c>
      <c r="R22" s="156">
        <f>('Table 2 StormwaterGroundwater'!W31*3.78541)*Q22</f>
        <v>187079.7979289369</v>
      </c>
      <c r="S22" s="156">
        <f t="shared" si="9"/>
        <v>47950</v>
      </c>
      <c r="T22" s="156">
        <f>('Table 2 StormwaterGroundwater'!Y31*3.78541)*S22</f>
        <v>632976.75990993681</v>
      </c>
      <c r="U22" s="156">
        <f t="shared" si="10"/>
        <v>199667</v>
      </c>
      <c r="V22" s="156">
        <f>('Table 2 StormwaterGroundwater'!AA31*3.78541)*U22</f>
        <v>4998177.1296582036</v>
      </c>
      <c r="W22" s="156">
        <f t="shared" si="11"/>
        <v>199667</v>
      </c>
      <c r="X22" s="156">
        <f>('Table 2 StormwaterGroundwater'!AC31*3.78541)*W22</f>
        <v>6140338.7003027536</v>
      </c>
      <c r="Y22" s="156">
        <f t="shared" si="12"/>
        <v>199667</v>
      </c>
      <c r="Z22" s="156">
        <f>('Table 2 StormwaterGroundwater'!AE31*3.78541)*Y22</f>
        <v>7721793.1827336689</v>
      </c>
      <c r="AA22" s="156">
        <f>'Table 7 WTP Sulfate Balance'!G24</f>
        <v>7536.2711864406774</v>
      </c>
      <c r="AB22" s="156">
        <f>AA22*'Table 6 WTP Flow Balance'!H22</f>
        <v>978208</v>
      </c>
      <c r="AC22" s="156">
        <f>(D22+F22+H22+J22+L22+N22+P22+R22+T22+V22+X22+Z22+AB22)/(('Table 5 Flows to Evap &amp; WTP'!F28+'Table 6 WTP Flow Balance'!H22)*3.78541)</f>
        <v>42380.660365867829</v>
      </c>
      <c r="AD22" s="156">
        <f>(AC22/(453592*2000))*(('Table 5 Flows to Evap &amp; WTP'!F28+'Table 6 WTP Flow Balance'!H22)*365*1440*3.785)</f>
        <v>12578.866820660596</v>
      </c>
      <c r="AE22" s="140">
        <f t="shared" si="13"/>
        <v>24201.763964714952</v>
      </c>
      <c r="AJ22">
        <f>AJ21/365</f>
        <v>0.32733820042479905</v>
      </c>
      <c r="AK22" t="s">
        <v>225</v>
      </c>
    </row>
    <row r="23" spans="2:37" ht="14.25" x14ac:dyDescent="0.2">
      <c r="B23" s="345">
        <f t="shared" si="0"/>
        <v>24</v>
      </c>
      <c r="C23" s="156">
        <f t="shared" si="1"/>
        <v>2400</v>
      </c>
      <c r="D23" s="156">
        <f>('Table 2 StormwaterGroundwater'!K32*3.78541)*C23</f>
        <v>0</v>
      </c>
      <c r="E23" s="156">
        <f t="shared" si="2"/>
        <v>2400</v>
      </c>
      <c r="F23" s="156">
        <f>('Table 2 StormwaterGroundwater'!M32*3.78541)*E23</f>
        <v>0</v>
      </c>
      <c r="G23" s="156">
        <f t="shared" si="3"/>
        <v>2400</v>
      </c>
      <c r="H23" s="156">
        <f>('Table 2 StormwaterGroundwater'!O32*3.78541)*G23</f>
        <v>0</v>
      </c>
      <c r="I23" s="156">
        <f t="shared" si="4"/>
        <v>2402</v>
      </c>
      <c r="J23" s="156">
        <f>('Table 2 StormwaterGroundwater'!G27*3.78541)*I23</f>
        <v>163665.98676000003</v>
      </c>
      <c r="K23" s="156">
        <f t="shared" si="5"/>
        <v>1492.5</v>
      </c>
      <c r="L23" s="156">
        <f>K23*('Table 2 StormwaterGroundwater'!H27*3.78541)</f>
        <v>48870.116276250003</v>
      </c>
      <c r="M23" s="156">
        <f t="shared" si="6"/>
        <v>47950</v>
      </c>
      <c r="N23" s="156">
        <f>('Table 2 StormwaterGroundwater'!Q32*3.78541)*M23</f>
        <v>609533.17620956874</v>
      </c>
      <c r="O23" s="156">
        <f t="shared" si="7"/>
        <v>47950</v>
      </c>
      <c r="P23" s="156">
        <f>('Table 2 StormwaterGroundwater'!U32*3.78541)*O23</f>
        <v>232794.78614465453</v>
      </c>
      <c r="Q23" s="156">
        <f t="shared" si="8"/>
        <v>47950</v>
      </c>
      <c r="R23" s="156">
        <f>('Table 2 StormwaterGroundwater'!W32*3.78541)*Q23</f>
        <v>187079.7979289369</v>
      </c>
      <c r="S23" s="156">
        <f t="shared" si="9"/>
        <v>47950</v>
      </c>
      <c r="T23" s="156">
        <f>('Table 2 StormwaterGroundwater'!Y32*3.78541)*S23</f>
        <v>632976.75990993681</v>
      </c>
      <c r="U23" s="156">
        <f t="shared" si="10"/>
        <v>199667</v>
      </c>
      <c r="V23" s="156">
        <f>('Table 2 StormwaterGroundwater'!AA32*3.78541)*U23</f>
        <v>4998177.1296582036</v>
      </c>
      <c r="W23" s="156">
        <f t="shared" si="11"/>
        <v>199667</v>
      </c>
      <c r="X23" s="156">
        <f>('Table 2 StormwaterGroundwater'!AC32*3.78541)*W23</f>
        <v>6140338.7003027536</v>
      </c>
      <c r="Y23" s="156">
        <f t="shared" si="12"/>
        <v>199667</v>
      </c>
      <c r="Z23" s="156">
        <f>('Table 2 StormwaterGroundwater'!AE32*3.78541)*Y23</f>
        <v>7721793.1827336689</v>
      </c>
      <c r="AA23" s="156">
        <f>'Table 7 WTP Sulfate Balance'!G25</f>
        <v>7536.7746913580249</v>
      </c>
      <c r="AB23" s="156">
        <f>AA23*'Table 6 WTP Flow Balance'!H23</f>
        <v>976766</v>
      </c>
      <c r="AC23" s="156">
        <f>(D23+F23+H23+J23+L23+N23+P23+R23+T23+V23+X23+Z23+AB23)/(('Table 5 Flows to Evap &amp; WTP'!F29+'Table 6 WTP Flow Balance'!H23)*3.78541)</f>
        <v>42441.832796534567</v>
      </c>
      <c r="AD23" s="156">
        <f>(AC23/(453592*2000))*(('Table 5 Flows to Evap &amp; WTP'!F29+'Table 6 WTP Flow Balance'!H23)*365*1440*3.785)</f>
        <v>12578.031451970499</v>
      </c>
      <c r="AE23" s="140">
        <f t="shared" si="13"/>
        <v>24200.156713747954</v>
      </c>
      <c r="AJ23">
        <f>AJ21/5</f>
        <v>23.895688631010334</v>
      </c>
      <c r="AK23" s="3" t="s">
        <v>226</v>
      </c>
    </row>
    <row r="24" spans="2:37" ht="14.25" x14ac:dyDescent="0.2">
      <c r="B24" s="345">
        <f t="shared" si="0"/>
        <v>25</v>
      </c>
      <c r="C24" s="156">
        <f t="shared" si="1"/>
        <v>2400</v>
      </c>
      <c r="D24" s="156">
        <f>('Table 2 StormwaterGroundwater'!K33*3.78541)*C24</f>
        <v>0</v>
      </c>
      <c r="E24" s="156">
        <f t="shared" si="2"/>
        <v>2400</v>
      </c>
      <c r="F24" s="156">
        <f>('Table 2 StormwaterGroundwater'!M33*3.78541)*E24</f>
        <v>0</v>
      </c>
      <c r="G24" s="156">
        <f t="shared" si="3"/>
        <v>2400</v>
      </c>
      <c r="H24" s="156">
        <f>('Table 2 StormwaterGroundwater'!O33*3.78541)*G24</f>
        <v>0</v>
      </c>
      <c r="I24" s="156">
        <f t="shared" si="4"/>
        <v>2402</v>
      </c>
      <c r="J24" s="156">
        <f>('Table 2 StormwaterGroundwater'!G28*3.78541)*I24</f>
        <v>163665.98676000003</v>
      </c>
      <c r="K24" s="156">
        <f t="shared" si="5"/>
        <v>1492.5</v>
      </c>
      <c r="L24" s="156">
        <f>K24*('Table 2 StormwaterGroundwater'!H28*3.78541)</f>
        <v>48870.116276250003</v>
      </c>
      <c r="M24" s="156">
        <f t="shared" si="6"/>
        <v>47950</v>
      </c>
      <c r="N24" s="156">
        <f>('Table 2 StormwaterGroundwater'!Q33*3.78541)*M24</f>
        <v>609533.17620956874</v>
      </c>
      <c r="O24" s="156">
        <f t="shared" si="7"/>
        <v>47950</v>
      </c>
      <c r="P24" s="156">
        <f>('Table 2 StormwaterGroundwater'!U33*3.78541)*O24</f>
        <v>232794.78614465453</v>
      </c>
      <c r="Q24" s="156">
        <f t="shared" si="8"/>
        <v>47950</v>
      </c>
      <c r="R24" s="156">
        <f>('Table 2 StormwaterGroundwater'!W33*3.78541)*Q24</f>
        <v>187079.7979289369</v>
      </c>
      <c r="S24" s="156">
        <f t="shared" si="9"/>
        <v>47950</v>
      </c>
      <c r="T24" s="156">
        <f>('Table 2 StormwaterGroundwater'!Y33*3.78541)*S24</f>
        <v>632976.75990993681</v>
      </c>
      <c r="U24" s="156">
        <f t="shared" si="10"/>
        <v>199667</v>
      </c>
      <c r="V24" s="156">
        <f>('Table 2 StormwaterGroundwater'!AA33*3.78541)*U24</f>
        <v>4998177.1296582036</v>
      </c>
      <c r="W24" s="156">
        <f t="shared" si="11"/>
        <v>199667</v>
      </c>
      <c r="X24" s="156">
        <f>('Table 2 StormwaterGroundwater'!AC33*3.78541)*W24</f>
        <v>6140338.7003027536</v>
      </c>
      <c r="Y24" s="156">
        <f t="shared" si="12"/>
        <v>199667</v>
      </c>
      <c r="Z24" s="156">
        <f>('Table 2 StormwaterGroundwater'!AE33*3.78541)*Y24</f>
        <v>7721793.1827336689</v>
      </c>
      <c r="AA24" s="156">
        <f>'Table 7 WTP Sulfate Balance'!G26</f>
        <v>7537.2797527047906</v>
      </c>
      <c r="AB24" s="156">
        <f>AA24*'Table 6 WTP Flow Balance'!H24</f>
        <v>975323.99999999988</v>
      </c>
      <c r="AC24" s="156">
        <f>(D24+F24+H24+J24+L24+N24+P24+R24+T24+V24+X24+Z24+AB24)/(('Table 5 Flows to Evap &amp; WTP'!F30+'Table 6 WTP Flow Balance'!H24)*3.78541)</f>
        <v>42503.190236908631</v>
      </c>
      <c r="AD24" s="156">
        <f>(AC24/(453592*2000))*(('Table 5 Flows to Evap &amp; WTP'!F30+'Table 6 WTP Flow Balance'!H24)*365*1440*3.785)</f>
        <v>12577.196083280402</v>
      </c>
      <c r="AE24" s="140">
        <f t="shared" si="13"/>
        <v>24198.549462780957</v>
      </c>
    </row>
    <row r="25" spans="2:37" ht="14.25" x14ac:dyDescent="0.2">
      <c r="B25" s="345">
        <f t="shared" si="0"/>
        <v>26</v>
      </c>
      <c r="C25" s="156">
        <f t="shared" si="1"/>
        <v>2400</v>
      </c>
      <c r="D25" s="156">
        <f>('Table 2 StormwaterGroundwater'!K34*3.78541)*C25</f>
        <v>0</v>
      </c>
      <c r="E25" s="156">
        <f t="shared" si="2"/>
        <v>2400</v>
      </c>
      <c r="F25" s="156">
        <f>('Table 2 StormwaterGroundwater'!M34*3.78541)*E25</f>
        <v>0</v>
      </c>
      <c r="G25" s="156">
        <f t="shared" si="3"/>
        <v>2400</v>
      </c>
      <c r="H25" s="156">
        <f>('Table 2 StormwaterGroundwater'!O34*3.78541)*G25</f>
        <v>0</v>
      </c>
      <c r="I25" s="156">
        <f t="shared" si="4"/>
        <v>2402</v>
      </c>
      <c r="J25" s="156">
        <f>('Table 2 StormwaterGroundwater'!G29*3.78541)*I25</f>
        <v>163665.98676000003</v>
      </c>
      <c r="K25" s="156">
        <f t="shared" si="5"/>
        <v>1492.5</v>
      </c>
      <c r="L25" s="156">
        <f>K25*('Table 2 StormwaterGroundwater'!H29*3.78541)</f>
        <v>48870.116276250003</v>
      </c>
      <c r="M25" s="156">
        <f t="shared" si="6"/>
        <v>47950</v>
      </c>
      <c r="N25" s="156">
        <f>('Table 2 StormwaterGroundwater'!Q34*3.78541)*M25</f>
        <v>609533.17620956874</v>
      </c>
      <c r="O25" s="156">
        <f t="shared" si="7"/>
        <v>47950</v>
      </c>
      <c r="P25" s="156">
        <f>('Table 2 StormwaterGroundwater'!U34*3.78541)*O25</f>
        <v>232794.78614465453</v>
      </c>
      <c r="Q25" s="156">
        <f t="shared" si="8"/>
        <v>47950</v>
      </c>
      <c r="R25" s="156">
        <f>('Table 2 StormwaterGroundwater'!W34*3.78541)*Q25</f>
        <v>187079.7979289369</v>
      </c>
      <c r="S25" s="156">
        <f t="shared" si="9"/>
        <v>47950</v>
      </c>
      <c r="T25" s="156">
        <f>('Table 2 StormwaterGroundwater'!Y34*3.78541)*S25</f>
        <v>632976.75990993681</v>
      </c>
      <c r="U25" s="156">
        <f t="shared" si="10"/>
        <v>199667</v>
      </c>
      <c r="V25" s="156">
        <f>('Table 2 StormwaterGroundwater'!AA34*3.78541)*U25</f>
        <v>4998177.1296582036</v>
      </c>
      <c r="W25" s="156">
        <f t="shared" si="11"/>
        <v>199667</v>
      </c>
      <c r="X25" s="156">
        <f>('Table 2 StormwaterGroundwater'!AC34*3.78541)*W25</f>
        <v>6140338.7003027536</v>
      </c>
      <c r="Y25" s="156">
        <f t="shared" si="12"/>
        <v>199667</v>
      </c>
      <c r="Z25" s="156">
        <f>('Table 2 StormwaterGroundwater'!AE34*3.78541)*Y25</f>
        <v>7721793.1827336689</v>
      </c>
      <c r="AA25" s="156">
        <f>'Table 7 WTP Sulfate Balance'!G27</f>
        <v>7537.5328692962094</v>
      </c>
      <c r="AB25" s="156">
        <f>AA25*'Table 6 WTP Flow Balance'!H25</f>
        <v>974603</v>
      </c>
      <c r="AC25" s="156">
        <f>(D25+F25+H25+J25+L25+N25+P25+R25+T25+V25+X25+Z25+AB25)/(('Table 5 Flows to Evap &amp; WTP'!F31+'Table 6 WTP Flow Balance'!H25)*3.78541)</f>
        <v>42533.938598220062</v>
      </c>
      <c r="AD25" s="156">
        <f>(AC25/(453592*2000))*(('Table 5 Flows to Evap &amp; WTP'!F31+'Table 6 WTP Flow Balance'!H25)*365*1440*3.785)</f>
        <v>12576.778398935357</v>
      </c>
      <c r="AE25" s="140">
        <f t="shared" si="13"/>
        <v>24197.745837297462</v>
      </c>
    </row>
    <row r="26" spans="2:37" ht="14.25" x14ac:dyDescent="0.2">
      <c r="B26" s="345">
        <f t="shared" si="0"/>
        <v>27</v>
      </c>
      <c r="C26" s="156">
        <f t="shared" si="1"/>
        <v>2400</v>
      </c>
      <c r="D26" s="156">
        <f>('Table 2 StormwaterGroundwater'!K35*3.78541)*C26</f>
        <v>0</v>
      </c>
      <c r="E26" s="156">
        <f t="shared" si="2"/>
        <v>2400</v>
      </c>
      <c r="F26" s="156">
        <f>('Table 2 StormwaterGroundwater'!M35*3.78541)*E26</f>
        <v>0</v>
      </c>
      <c r="G26" s="156">
        <f t="shared" si="3"/>
        <v>2400</v>
      </c>
      <c r="H26" s="156">
        <f>('Table 2 StormwaterGroundwater'!O35*3.78541)*G26</f>
        <v>0</v>
      </c>
      <c r="I26" s="156">
        <f t="shared" si="4"/>
        <v>2402</v>
      </c>
      <c r="J26" s="156">
        <f>('Table 2 StormwaterGroundwater'!G30*3.78541)*I26</f>
        <v>163665.98676000003</v>
      </c>
      <c r="K26" s="156">
        <f t="shared" si="5"/>
        <v>1492.5</v>
      </c>
      <c r="L26" s="156">
        <f>K26*('Table 2 StormwaterGroundwater'!H30*3.78541)</f>
        <v>48870.116276250003</v>
      </c>
      <c r="M26" s="156">
        <f t="shared" si="6"/>
        <v>47950</v>
      </c>
      <c r="N26" s="156">
        <f>('Table 2 StormwaterGroundwater'!Q35*3.78541)*M26</f>
        <v>609533.17620956874</v>
      </c>
      <c r="O26" s="156">
        <f t="shared" si="7"/>
        <v>47950</v>
      </c>
      <c r="P26" s="156">
        <f>('Table 2 StormwaterGroundwater'!U35*3.78541)*O26</f>
        <v>232794.78614465453</v>
      </c>
      <c r="Q26" s="156">
        <f t="shared" si="8"/>
        <v>47950</v>
      </c>
      <c r="R26" s="156">
        <f>('Table 2 StormwaterGroundwater'!W35*3.78541)*Q26</f>
        <v>187079.7979289369</v>
      </c>
      <c r="S26" s="156">
        <f t="shared" si="9"/>
        <v>47950</v>
      </c>
      <c r="T26" s="156">
        <f>('Table 2 StormwaterGroundwater'!Y35*3.78541)*S26</f>
        <v>632976.75990993681</v>
      </c>
      <c r="U26" s="156">
        <f t="shared" si="10"/>
        <v>199667</v>
      </c>
      <c r="V26" s="156">
        <f>('Table 2 StormwaterGroundwater'!AA35*3.78541)*U26</f>
        <v>4998177.1296582036</v>
      </c>
      <c r="W26" s="156">
        <f t="shared" si="11"/>
        <v>199667</v>
      </c>
      <c r="X26" s="156">
        <f>('Table 2 StormwaterGroundwater'!AC35*3.78541)*W26</f>
        <v>6140338.7003027536</v>
      </c>
      <c r="Y26" s="156">
        <f t="shared" si="12"/>
        <v>199667</v>
      </c>
      <c r="Z26" s="156">
        <f>('Table 2 StormwaterGroundwater'!AE35*3.78541)*Y26</f>
        <v>7721793.1827336689</v>
      </c>
      <c r="AA26" s="156">
        <f>'Table 7 WTP Sulfate Balance'!G28</f>
        <v>7538.0402788536021</v>
      </c>
      <c r="AB26" s="156">
        <f>AA26*'Table 6 WTP Flow Balance'!H26</f>
        <v>973161</v>
      </c>
      <c r="AC26" s="156">
        <f>(D26+F26+H26+J26+L26+N26+P26+R26+T26+V26+X26+Z26+AB26)/(('Table 5 Flows to Evap &amp; WTP'!F32+'Table 6 WTP Flow Balance'!H26)*3.78541)</f>
        <v>42595.575130844794</v>
      </c>
      <c r="AD26" s="156">
        <f>(AC26/(453592*2000))*(('Table 5 Flows to Evap &amp; WTP'!F32+'Table 6 WTP Flow Balance'!H26)*365*1440*3.785)</f>
        <v>12575.94303024526</v>
      </c>
      <c r="AE26" s="140">
        <f t="shared" si="13"/>
        <v>24196.138586330464</v>
      </c>
    </row>
    <row r="27" spans="2:37" ht="14.25" x14ac:dyDescent="0.2">
      <c r="B27" s="345">
        <f t="shared" si="0"/>
        <v>28</v>
      </c>
      <c r="C27" s="156">
        <f t="shared" si="1"/>
        <v>2400</v>
      </c>
      <c r="D27" s="156">
        <f>('Table 2 StormwaterGroundwater'!K36*3.78541)*C27</f>
        <v>0</v>
      </c>
      <c r="E27" s="156">
        <f t="shared" si="2"/>
        <v>2400</v>
      </c>
      <c r="F27" s="156">
        <f>('Table 2 StormwaterGroundwater'!M36*3.78541)*E27</f>
        <v>0</v>
      </c>
      <c r="G27" s="156">
        <f t="shared" si="3"/>
        <v>2400</v>
      </c>
      <c r="H27" s="156">
        <f>('Table 2 StormwaterGroundwater'!O36*3.78541)*G27</f>
        <v>0</v>
      </c>
      <c r="I27" s="156">
        <f t="shared" si="4"/>
        <v>2402</v>
      </c>
      <c r="J27" s="156">
        <f>('Table 2 StormwaterGroundwater'!G31*3.78541)*I27</f>
        <v>163665.98676000003</v>
      </c>
      <c r="K27" s="156">
        <f t="shared" si="5"/>
        <v>1492.5</v>
      </c>
      <c r="L27" s="156">
        <f>K27*('Table 2 StormwaterGroundwater'!H31*3.78541)</f>
        <v>48870.116276250003</v>
      </c>
      <c r="M27" s="156">
        <f t="shared" si="6"/>
        <v>47950</v>
      </c>
      <c r="N27" s="156">
        <f>('Table 2 StormwaterGroundwater'!Q36*3.78541)*M27</f>
        <v>609533.17620956874</v>
      </c>
      <c r="O27" s="156">
        <f t="shared" si="7"/>
        <v>47950</v>
      </c>
      <c r="P27" s="156">
        <f>('Table 2 StormwaterGroundwater'!U36*3.78541)*O27</f>
        <v>232794.78614465453</v>
      </c>
      <c r="Q27" s="156">
        <f t="shared" si="8"/>
        <v>47950</v>
      </c>
      <c r="R27" s="156">
        <f>('Table 2 StormwaterGroundwater'!W36*3.78541)*Q27</f>
        <v>187079.7979289369</v>
      </c>
      <c r="S27" s="156">
        <f t="shared" si="9"/>
        <v>47950</v>
      </c>
      <c r="T27" s="156">
        <f>('Table 2 StormwaterGroundwater'!Y36*3.78541)*S27</f>
        <v>632976.75990993681</v>
      </c>
      <c r="U27" s="156">
        <f t="shared" si="10"/>
        <v>199667</v>
      </c>
      <c r="V27" s="156">
        <f>('Table 2 StormwaterGroundwater'!AA36*3.78541)*U27</f>
        <v>4998177.1296582036</v>
      </c>
      <c r="W27" s="156">
        <f t="shared" si="11"/>
        <v>199667</v>
      </c>
      <c r="X27" s="156">
        <f>('Table 2 StormwaterGroundwater'!AC36*3.78541)*W27</f>
        <v>6140338.7003027536</v>
      </c>
      <c r="Y27" s="156">
        <f t="shared" si="12"/>
        <v>199667</v>
      </c>
      <c r="Z27" s="156">
        <f>('Table 2 StormwaterGroundwater'!AE36*3.78541)*Y27</f>
        <v>7721793.1827336689</v>
      </c>
      <c r="AA27" s="156">
        <f>'Table 7 WTP Sulfate Balance'!G29</f>
        <v>7538.5492629945693</v>
      </c>
      <c r="AB27" s="156">
        <f>AA27*'Table 6 WTP Flow Balance'!H27</f>
        <v>971719</v>
      </c>
      <c r="AC27" s="156">
        <f>(D27+F27+H27+J27+L27+N27+P27+R27+T27+V27+X27+Z27+AB27)/(('Table 5 Flows to Evap &amp; WTP'!F33+'Table 6 WTP Flow Balance'!H27)*3.78541)</f>
        <v>42657.398784214609</v>
      </c>
      <c r="AD27" s="156">
        <f>(AC27/(453592*2000))*(('Table 5 Flows to Evap &amp; WTP'!F33+'Table 6 WTP Flow Balance'!H27)*365*1440*3.785)</f>
        <v>12575.107661555165</v>
      </c>
      <c r="AE27" s="140">
        <f t="shared" si="13"/>
        <v>24194.531335363474</v>
      </c>
    </row>
    <row r="28" spans="2:37" ht="14.25" x14ac:dyDescent="0.2">
      <c r="B28" s="345">
        <f t="shared" si="0"/>
        <v>29</v>
      </c>
      <c r="C28" s="156">
        <f t="shared" si="1"/>
        <v>2400</v>
      </c>
      <c r="D28" s="156">
        <f>('Table 2 StormwaterGroundwater'!K37*3.78541)*C28</f>
        <v>0</v>
      </c>
      <c r="E28" s="156">
        <f t="shared" si="2"/>
        <v>2400</v>
      </c>
      <c r="F28" s="156">
        <f>('Table 2 StormwaterGroundwater'!M37*3.78541)*E28</f>
        <v>0</v>
      </c>
      <c r="G28" s="156">
        <f t="shared" si="3"/>
        <v>2400</v>
      </c>
      <c r="H28" s="156">
        <f>('Table 2 StormwaterGroundwater'!O37*3.78541)*G28</f>
        <v>0</v>
      </c>
      <c r="I28" s="156">
        <f t="shared" si="4"/>
        <v>2402</v>
      </c>
      <c r="J28" s="156">
        <f>('Table 2 StormwaterGroundwater'!G32*3.78541)*I28</f>
        <v>163665.98676000003</v>
      </c>
      <c r="K28" s="156">
        <f t="shared" si="5"/>
        <v>1492.5</v>
      </c>
      <c r="L28" s="156">
        <f>K28*('Table 2 StormwaterGroundwater'!H32*3.78541)</f>
        <v>48870.116276250003</v>
      </c>
      <c r="M28" s="156">
        <f t="shared" si="6"/>
        <v>47950</v>
      </c>
      <c r="N28" s="156">
        <f>('Table 2 StormwaterGroundwater'!Q37*3.78541)*M28</f>
        <v>609533.17620956874</v>
      </c>
      <c r="O28" s="156">
        <f t="shared" si="7"/>
        <v>47950</v>
      </c>
      <c r="P28" s="156">
        <f>('Table 2 StormwaterGroundwater'!U37*3.78541)*O28</f>
        <v>232794.78614465453</v>
      </c>
      <c r="Q28" s="156">
        <f t="shared" si="8"/>
        <v>47950</v>
      </c>
      <c r="R28" s="156">
        <f>('Table 2 StormwaterGroundwater'!W37*3.78541)*Q28</f>
        <v>187079.7979289369</v>
      </c>
      <c r="S28" s="156">
        <f t="shared" si="9"/>
        <v>47950</v>
      </c>
      <c r="T28" s="156">
        <f>('Table 2 StormwaterGroundwater'!Y37*3.78541)*S28</f>
        <v>632976.75990993681</v>
      </c>
      <c r="U28" s="156">
        <f t="shared" si="10"/>
        <v>199667</v>
      </c>
      <c r="V28" s="156">
        <f>('Table 2 StormwaterGroundwater'!AA37*3.78541)*U28</f>
        <v>4998177.1296582036</v>
      </c>
      <c r="W28" s="156">
        <f t="shared" si="11"/>
        <v>199667</v>
      </c>
      <c r="X28" s="156">
        <f>('Table 2 StormwaterGroundwater'!AC37*3.78541)*W28</f>
        <v>6140338.7003027536</v>
      </c>
      <c r="Y28" s="156">
        <f t="shared" si="12"/>
        <v>199667</v>
      </c>
      <c r="Z28" s="156">
        <f>('Table 2 StormwaterGroundwater'!AE37*3.78541)*Y28</f>
        <v>7721793.1827336689</v>
      </c>
      <c r="AA28" s="156">
        <f>'Table 7 WTP Sulfate Balance'!G30</f>
        <v>7538.804347826087</v>
      </c>
      <c r="AB28" s="156">
        <f>AA28*'Table 6 WTP Flow Balance'!H28</f>
        <v>970998.00000000012</v>
      </c>
      <c r="AC28" s="156">
        <f>(D28+F28+H28+J28+L28+N28+P28+R28+T28+V28+X28+Z28+AB28)/(('Table 5 Flows to Evap &amp; WTP'!F34+'Table 6 WTP Flow Balance'!H28)*3.78541)</f>
        <v>42688.381047666335</v>
      </c>
      <c r="AD28" s="156">
        <f>(AC28/(453592*2000))*(('Table 5 Flows to Evap &amp; WTP'!F34+'Table 6 WTP Flow Balance'!H28)*365*1440*3.785)</f>
        <v>12574.689977210119</v>
      </c>
      <c r="AE28" s="140">
        <f t="shared" si="13"/>
        <v>24193.727709879979</v>
      </c>
    </row>
    <row r="29" spans="2:37" ht="14.25" x14ac:dyDescent="0.2">
      <c r="B29" s="345">
        <f t="shared" si="0"/>
        <v>30</v>
      </c>
      <c r="C29" s="156">
        <f t="shared" si="1"/>
        <v>2400</v>
      </c>
      <c r="D29" s="156">
        <f>('Table 2 StormwaterGroundwater'!K38*3.78541)*C29</f>
        <v>0</v>
      </c>
      <c r="E29" s="156">
        <f t="shared" si="2"/>
        <v>2400</v>
      </c>
      <c r="F29" s="156">
        <f>('Table 2 StormwaterGroundwater'!M38*3.78541)*E29</f>
        <v>0</v>
      </c>
      <c r="G29" s="156">
        <f t="shared" si="3"/>
        <v>2400</v>
      </c>
      <c r="H29" s="156">
        <f>('Table 2 StormwaterGroundwater'!O38*3.78541)*G29</f>
        <v>0</v>
      </c>
      <c r="I29" s="156">
        <f t="shared" si="4"/>
        <v>2402</v>
      </c>
      <c r="J29" s="156">
        <f>('Table 2 StormwaterGroundwater'!G33*3.78541)*I29</f>
        <v>163665.98676000003</v>
      </c>
      <c r="K29" s="156">
        <f t="shared" si="5"/>
        <v>1492.5</v>
      </c>
      <c r="L29" s="156">
        <f>K29*('Table 2 StormwaterGroundwater'!H33*3.78541)</f>
        <v>48870.116276250003</v>
      </c>
      <c r="M29" s="156">
        <f t="shared" si="6"/>
        <v>47950</v>
      </c>
      <c r="N29" s="156">
        <f>('Table 2 StormwaterGroundwater'!Q38*3.78541)*M29</f>
        <v>609533.17620956874</v>
      </c>
      <c r="O29" s="156">
        <f t="shared" si="7"/>
        <v>47950</v>
      </c>
      <c r="P29" s="156">
        <f>('Table 2 StormwaterGroundwater'!U38*3.78541)*O29</f>
        <v>232794.78614465453</v>
      </c>
      <c r="Q29" s="156">
        <f t="shared" si="8"/>
        <v>47950</v>
      </c>
      <c r="R29" s="156">
        <f>('Table 2 StormwaterGroundwater'!W38*3.78541)*Q29</f>
        <v>187079.7979289369</v>
      </c>
      <c r="S29" s="156">
        <f t="shared" si="9"/>
        <v>47950</v>
      </c>
      <c r="T29" s="156">
        <f>('Table 2 StormwaterGroundwater'!Y38*3.78541)*S29</f>
        <v>632976.75990993681</v>
      </c>
      <c r="U29" s="156">
        <f t="shared" si="10"/>
        <v>199667</v>
      </c>
      <c r="V29" s="156">
        <f>('Table 2 StormwaterGroundwater'!AA38*3.78541)*U29</f>
        <v>4998177.1296582036</v>
      </c>
      <c r="W29" s="156">
        <f t="shared" si="11"/>
        <v>199667</v>
      </c>
      <c r="X29" s="156">
        <f>('Table 2 StormwaterGroundwater'!AC38*3.78541)*W29</f>
        <v>6140338.7003027536</v>
      </c>
      <c r="Y29" s="156">
        <f t="shared" si="12"/>
        <v>199667</v>
      </c>
      <c r="Z29" s="156">
        <f>('Table 2 StormwaterGroundwater'!AE38*3.78541)*Y29</f>
        <v>7721793.1827336689</v>
      </c>
      <c r="AA29" s="156">
        <f>'Table 7 WTP Sulfate Balance'!G31</f>
        <v>7539.3157076205289</v>
      </c>
      <c r="AB29" s="156">
        <f>AA29*'Table 6 WTP Flow Balance'!H29</f>
        <v>969556</v>
      </c>
      <c r="AC29" s="156">
        <f>(D29+F29+H29+J29+L29+N29+P29+R29+T29+V29+X29+Z29+AB29)/(('Table 5 Flows to Evap &amp; WTP'!F35+'Table 6 WTP Flow Balance'!H29)*3.78541)</f>
        <v>42750.486983916278</v>
      </c>
      <c r="AD29" s="156">
        <f>(AC29/(453592*2000))*(('Table 5 Flows to Evap &amp; WTP'!F35+'Table 6 WTP Flow Balance'!H29)*365*1440*3.785)</f>
        <v>12573.854608520021</v>
      </c>
      <c r="AE29" s="140">
        <f t="shared" si="13"/>
        <v>24192.120458912981</v>
      </c>
    </row>
    <row r="30" spans="2:37" ht="14.25" x14ac:dyDescent="0.2">
      <c r="B30" s="345">
        <f t="shared" si="0"/>
        <v>31</v>
      </c>
      <c r="C30" s="156">
        <f t="shared" si="1"/>
        <v>2400</v>
      </c>
      <c r="D30" s="156">
        <f>('Table 2 StormwaterGroundwater'!K39*3.78541)*C30</f>
        <v>0</v>
      </c>
      <c r="E30" s="156">
        <f t="shared" si="2"/>
        <v>2400</v>
      </c>
      <c r="F30" s="156">
        <f>('Table 2 StormwaterGroundwater'!M39*3.78541)*E30</f>
        <v>0</v>
      </c>
      <c r="G30" s="156">
        <f t="shared" si="3"/>
        <v>2400</v>
      </c>
      <c r="H30" s="156">
        <f>('Table 2 StormwaterGroundwater'!O39*3.78541)*G30</f>
        <v>0</v>
      </c>
      <c r="I30" s="156">
        <f t="shared" si="4"/>
        <v>2402</v>
      </c>
      <c r="J30" s="156">
        <f>('Table 2 StormwaterGroundwater'!G34*3.78541)*I30</f>
        <v>163665.98676000003</v>
      </c>
      <c r="K30" s="156">
        <f t="shared" si="5"/>
        <v>1492.5</v>
      </c>
      <c r="L30" s="156">
        <f>K30*('Table 2 StormwaterGroundwater'!H34*3.78541)</f>
        <v>48870.116276250003</v>
      </c>
      <c r="M30" s="156">
        <f t="shared" si="6"/>
        <v>47950</v>
      </c>
      <c r="N30" s="156">
        <f>('Table 2 StormwaterGroundwater'!Q39*3.78541)*M30</f>
        <v>609533.17620956874</v>
      </c>
      <c r="O30" s="156">
        <f t="shared" si="7"/>
        <v>47950</v>
      </c>
      <c r="P30" s="156">
        <f>('Table 2 StormwaterGroundwater'!U39*3.78541)*O30</f>
        <v>232794.78614465453</v>
      </c>
      <c r="Q30" s="156">
        <f t="shared" si="8"/>
        <v>47950</v>
      </c>
      <c r="R30" s="156">
        <f>('Table 2 StormwaterGroundwater'!W39*3.78541)*Q30</f>
        <v>187079.7979289369</v>
      </c>
      <c r="S30" s="156">
        <f t="shared" si="9"/>
        <v>47950</v>
      </c>
      <c r="T30" s="156">
        <f>('Table 2 StormwaterGroundwater'!Y39*3.78541)*S30</f>
        <v>632976.75990993681</v>
      </c>
      <c r="U30" s="156">
        <f t="shared" si="10"/>
        <v>199667</v>
      </c>
      <c r="V30" s="156">
        <f>('Table 2 StormwaterGroundwater'!AA39*3.78541)*U30</f>
        <v>4998177.1296582036</v>
      </c>
      <c r="W30" s="156">
        <f t="shared" si="11"/>
        <v>199667</v>
      </c>
      <c r="X30" s="156">
        <f>('Table 2 StormwaterGroundwater'!AC39*3.78541)*W30</f>
        <v>6140338.7003027536</v>
      </c>
      <c r="Y30" s="156">
        <f t="shared" si="12"/>
        <v>199667</v>
      </c>
      <c r="Z30" s="156">
        <f>('Table 2 StormwaterGroundwater'!AE39*3.78541)*Y30</f>
        <v>7721793.1827336689</v>
      </c>
      <c r="AA30" s="156">
        <f>'Table 7 WTP Sulfate Balance'!G32</f>
        <v>7539.5719844357973</v>
      </c>
      <c r="AB30" s="156">
        <f>AA30*'Table 6 WTP Flow Balance'!H30</f>
        <v>968835</v>
      </c>
      <c r="AC30" s="156">
        <f>(D30+F30+H30+J30+L30+N30+P30+R30+T30+V30+X30+Z30+AB30)/(('Table 5 Flows to Evap &amp; WTP'!F36+'Table 6 WTP Flow Balance'!H30)*3.78541)</f>
        <v>42781.610872018609</v>
      </c>
      <c r="AD30" s="156">
        <f>(AC30/(453592*2000))*(('Table 5 Flows to Evap &amp; WTP'!F36+'Table 6 WTP Flow Balance'!H30)*365*1440*3.785)</f>
        <v>12573.436924174974</v>
      </c>
      <c r="AE30" s="140">
        <f t="shared" si="13"/>
        <v>24191.316833429482</v>
      </c>
    </row>
    <row r="31" spans="2:37" ht="14.25" x14ac:dyDescent="0.2">
      <c r="B31" s="345">
        <f t="shared" si="0"/>
        <v>32</v>
      </c>
      <c r="C31" s="156">
        <f t="shared" si="1"/>
        <v>2400</v>
      </c>
      <c r="D31" s="156">
        <f>('Table 2 StormwaterGroundwater'!K40*3.78541)*C31</f>
        <v>0</v>
      </c>
      <c r="E31" s="156">
        <f t="shared" si="2"/>
        <v>2400</v>
      </c>
      <c r="F31" s="156">
        <f>('Table 2 StormwaterGroundwater'!M40*3.78541)*E31</f>
        <v>0</v>
      </c>
      <c r="G31" s="156">
        <f t="shared" si="3"/>
        <v>2400</v>
      </c>
      <c r="H31" s="156">
        <f>('Table 2 StormwaterGroundwater'!O40*3.78541)*G31</f>
        <v>0</v>
      </c>
      <c r="I31" s="156">
        <f t="shared" si="4"/>
        <v>2402</v>
      </c>
      <c r="J31" s="156">
        <f>('Table 2 StormwaterGroundwater'!G35*3.78541)*I31</f>
        <v>163665.98676000003</v>
      </c>
      <c r="K31" s="156">
        <f t="shared" si="5"/>
        <v>1492.5</v>
      </c>
      <c r="L31" s="156">
        <f>K31*('Table 2 StormwaterGroundwater'!H35*3.78541)</f>
        <v>48870.116276250003</v>
      </c>
      <c r="M31" s="156">
        <f t="shared" si="6"/>
        <v>47950</v>
      </c>
      <c r="N31" s="156">
        <f>('Table 2 StormwaterGroundwater'!Q40*3.78541)*M31</f>
        <v>609533.17620956874</v>
      </c>
      <c r="O31" s="156">
        <f t="shared" si="7"/>
        <v>47950</v>
      </c>
      <c r="P31" s="156">
        <f>('Table 2 StormwaterGroundwater'!U40*3.78541)*O31</f>
        <v>232794.78614465453</v>
      </c>
      <c r="Q31" s="156">
        <f t="shared" si="8"/>
        <v>47950</v>
      </c>
      <c r="R31" s="156">
        <f>('Table 2 StormwaterGroundwater'!W40*3.78541)*Q31</f>
        <v>187079.7979289369</v>
      </c>
      <c r="S31" s="156">
        <f t="shared" si="9"/>
        <v>47950</v>
      </c>
      <c r="T31" s="156">
        <f>('Table 2 StormwaterGroundwater'!Y40*3.78541)*S31</f>
        <v>632976.75990993681</v>
      </c>
      <c r="U31" s="156">
        <f t="shared" si="10"/>
        <v>199667</v>
      </c>
      <c r="V31" s="156">
        <f>('Table 2 StormwaterGroundwater'!AA40*3.78541)*U31</f>
        <v>4998177.1296582036</v>
      </c>
      <c r="W31" s="156">
        <f t="shared" si="11"/>
        <v>199667</v>
      </c>
      <c r="X31" s="156">
        <f>('Table 2 StormwaterGroundwater'!AC40*3.78541)*W31</f>
        <v>6140338.7003027536</v>
      </c>
      <c r="Y31" s="156">
        <f t="shared" si="12"/>
        <v>199667</v>
      </c>
      <c r="Z31" s="156">
        <f>('Table 2 StormwaterGroundwater'!AE40*3.78541)*Y31</f>
        <v>7721793.1827336689</v>
      </c>
      <c r="AA31" s="156">
        <f>'Table 7 WTP Sulfate Balance'!G33</f>
        <v>7540.0857365549491</v>
      </c>
      <c r="AB31" s="156">
        <f>AA31*'Table 6 WTP Flow Balance'!H31</f>
        <v>967393</v>
      </c>
      <c r="AC31" s="156">
        <f>(D31+F31+H31+J31+L31+N31+P31+R31+T31+V31+X31+Z31+AB31)/(('Table 5 Flows to Evap &amp; WTP'!F37+'Table 6 WTP Flow Balance'!H31)*3.78541)</f>
        <v>42844.001028900617</v>
      </c>
      <c r="AD31" s="156">
        <f>(AC31/(453592*2000))*(('Table 5 Flows to Evap &amp; WTP'!F37+'Table 6 WTP Flow Balance'!H31)*365*1440*3.785)</f>
        <v>12572.601555484876</v>
      </c>
      <c r="AE31" s="140">
        <f t="shared" si="13"/>
        <v>24189.709582462485</v>
      </c>
    </row>
    <row r="32" spans="2:37" ht="14.25" x14ac:dyDescent="0.2">
      <c r="B32" s="345">
        <f t="shared" si="0"/>
        <v>33</v>
      </c>
      <c r="C32" s="156">
        <f t="shared" si="1"/>
        <v>2400</v>
      </c>
      <c r="D32" s="156">
        <f>('Table 2 StormwaterGroundwater'!K41*3.78541)*C32</f>
        <v>0</v>
      </c>
      <c r="E32" s="156">
        <f t="shared" si="2"/>
        <v>2400</v>
      </c>
      <c r="F32" s="156">
        <f>('Table 2 StormwaterGroundwater'!M41*3.78541)*E32</f>
        <v>0</v>
      </c>
      <c r="G32" s="156">
        <f t="shared" si="3"/>
        <v>2400</v>
      </c>
      <c r="H32" s="156">
        <f>('Table 2 StormwaterGroundwater'!O41*3.78541)*G32</f>
        <v>0</v>
      </c>
      <c r="I32" s="156">
        <f t="shared" si="4"/>
        <v>2402</v>
      </c>
      <c r="J32" s="156">
        <f>('Table 2 StormwaterGroundwater'!G36*3.78541)*I32</f>
        <v>163665.98676000003</v>
      </c>
      <c r="K32" s="156">
        <f t="shared" si="5"/>
        <v>1492.5</v>
      </c>
      <c r="L32" s="156">
        <f>K32*('Table 2 StormwaterGroundwater'!H36*3.78541)</f>
        <v>48870.116276250003</v>
      </c>
      <c r="M32" s="156">
        <f t="shared" si="6"/>
        <v>47950</v>
      </c>
      <c r="N32" s="156">
        <f>('Table 2 StormwaterGroundwater'!Q41*3.78541)*M32</f>
        <v>609533.17620956874</v>
      </c>
      <c r="O32" s="156">
        <f t="shared" si="7"/>
        <v>47950</v>
      </c>
      <c r="P32" s="156">
        <f>('Table 2 StormwaterGroundwater'!U41*3.78541)*O32</f>
        <v>232794.78614465453</v>
      </c>
      <c r="Q32" s="156">
        <f t="shared" si="8"/>
        <v>47950</v>
      </c>
      <c r="R32" s="156">
        <f>('Table 2 StormwaterGroundwater'!W41*3.78541)*Q32</f>
        <v>187079.7979289369</v>
      </c>
      <c r="S32" s="156">
        <f t="shared" si="9"/>
        <v>47950</v>
      </c>
      <c r="T32" s="156">
        <f>('Table 2 StormwaterGroundwater'!Y41*3.78541)*S32</f>
        <v>632976.75990993681</v>
      </c>
      <c r="U32" s="156">
        <f t="shared" si="10"/>
        <v>199667</v>
      </c>
      <c r="V32" s="156">
        <f>('Table 2 StormwaterGroundwater'!AA41*3.78541)*U32</f>
        <v>4998177.1296582036</v>
      </c>
      <c r="W32" s="156">
        <f t="shared" si="11"/>
        <v>199667</v>
      </c>
      <c r="X32" s="156">
        <f>('Table 2 StormwaterGroundwater'!AC41*3.78541)*W32</f>
        <v>6140338.7003027536</v>
      </c>
      <c r="Y32" s="156">
        <f t="shared" si="12"/>
        <v>199667</v>
      </c>
      <c r="Z32" s="156">
        <f>('Table 2 StormwaterGroundwater'!AE41*3.78541)*Y32</f>
        <v>7721793.1827336689</v>
      </c>
      <c r="AA32" s="156">
        <f>'Table 7 WTP Sulfate Balance'!G34</f>
        <v>7540.3432137285481</v>
      </c>
      <c r="AB32" s="156">
        <f>AA32*'Table 6 WTP Flow Balance'!H32</f>
        <v>966672</v>
      </c>
      <c r="AC32" s="156">
        <f>(D32+F32+H32+J32+L32+N32+P32+R32+T32+V32+X32+Z32+AB32)/(('Table 5 Flows to Evap &amp; WTP'!F38+'Table 6 WTP Flow Balance'!H32)*3.78541)</f>
        <v>42875.267514959552</v>
      </c>
      <c r="AD32" s="156">
        <f>(AC32/(453592*2000))*(('Table 5 Flows to Evap &amp; WTP'!F38+'Table 6 WTP Flow Balance'!H32)*365*1440*3.785)</f>
        <v>12572.18387113983</v>
      </c>
      <c r="AE32" s="140">
        <f t="shared" si="13"/>
        <v>24188.905956978993</v>
      </c>
    </row>
    <row r="33" spans="2:31" ht="14.25" x14ac:dyDescent="0.2">
      <c r="B33" s="345">
        <f t="shared" si="0"/>
        <v>34</v>
      </c>
      <c r="C33" s="156">
        <f t="shared" si="1"/>
        <v>2400</v>
      </c>
      <c r="D33" s="156">
        <f>('Table 2 StormwaterGroundwater'!K42*3.78541)*C33</f>
        <v>0</v>
      </c>
      <c r="E33" s="156">
        <f t="shared" si="2"/>
        <v>2400</v>
      </c>
      <c r="F33" s="156">
        <f>('Table 2 StormwaterGroundwater'!M42*3.78541)*E33</f>
        <v>0</v>
      </c>
      <c r="G33" s="156">
        <f t="shared" si="3"/>
        <v>2400</v>
      </c>
      <c r="H33" s="156">
        <f>('Table 2 StormwaterGroundwater'!O42*3.78541)*G33</f>
        <v>0</v>
      </c>
      <c r="I33" s="156">
        <f t="shared" si="4"/>
        <v>2402</v>
      </c>
      <c r="J33" s="156">
        <f>('Table 2 StormwaterGroundwater'!G37*3.78541)*I33</f>
        <v>163665.98676000003</v>
      </c>
      <c r="K33" s="156">
        <f t="shared" si="5"/>
        <v>1492.5</v>
      </c>
      <c r="L33" s="156">
        <f>K33*('Table 2 StormwaterGroundwater'!H37*3.78541)</f>
        <v>48870.116276250003</v>
      </c>
      <c r="M33" s="156">
        <f t="shared" si="6"/>
        <v>47950</v>
      </c>
      <c r="N33" s="156">
        <f>('Table 2 StormwaterGroundwater'!Q42*3.78541)*M33</f>
        <v>609533.17620956874</v>
      </c>
      <c r="O33" s="156">
        <f t="shared" si="7"/>
        <v>47950</v>
      </c>
      <c r="P33" s="156">
        <f>('Table 2 StormwaterGroundwater'!U42*3.78541)*O33</f>
        <v>232794.78614465453</v>
      </c>
      <c r="Q33" s="156">
        <f t="shared" si="8"/>
        <v>47950</v>
      </c>
      <c r="R33" s="156">
        <f>('Table 2 StormwaterGroundwater'!W42*3.78541)*Q33</f>
        <v>187079.7979289369</v>
      </c>
      <c r="S33" s="156">
        <f t="shared" si="9"/>
        <v>47950</v>
      </c>
      <c r="T33" s="156">
        <f>('Table 2 StormwaterGroundwater'!Y42*3.78541)*S33</f>
        <v>632976.75990993681</v>
      </c>
      <c r="U33" s="156">
        <f t="shared" si="10"/>
        <v>199667</v>
      </c>
      <c r="V33" s="156">
        <f>('Table 2 StormwaterGroundwater'!AA42*3.78541)*U33</f>
        <v>4998177.1296582036</v>
      </c>
      <c r="W33" s="156">
        <f t="shared" si="11"/>
        <v>199667</v>
      </c>
      <c r="X33" s="156">
        <f>('Table 2 StormwaterGroundwater'!AC42*3.78541)*W33</f>
        <v>6140338.7003027536</v>
      </c>
      <c r="Y33" s="156">
        <f t="shared" si="12"/>
        <v>199667</v>
      </c>
      <c r="Z33" s="156">
        <f>('Table 2 StormwaterGroundwater'!AE42*3.78541)*Y33</f>
        <v>7721793.1827336689</v>
      </c>
      <c r="AA33" s="156">
        <f>'Table 7 WTP Sulfate Balance'!G35</f>
        <v>7540.859375</v>
      </c>
      <c r="AB33" s="156">
        <f>AA33*'Table 6 WTP Flow Balance'!H33</f>
        <v>965230</v>
      </c>
      <c r="AC33" s="156">
        <f>(D33+F33+H33+J33+L33+N33+P33+R33+T33+V33+X33+Z33+AB33)/(('Table 5 Flows to Evap &amp; WTP'!F39+'Table 6 WTP Flow Balance'!H33)*3.78541)</f>
        <v>42937.943848002062</v>
      </c>
      <c r="AD33" s="156">
        <f>(AC33/(453592*2000))*(('Table 5 Flows to Evap &amp; WTP'!F39+'Table 6 WTP Flow Balance'!H33)*365*1440*3.785)</f>
        <v>12571.348502449735</v>
      </c>
      <c r="AE33" s="140">
        <f t="shared" si="13"/>
        <v>24187.298706011992</v>
      </c>
    </row>
    <row r="34" spans="2:31" ht="14.25" x14ac:dyDescent="0.2">
      <c r="B34" s="345">
        <f t="shared" si="0"/>
        <v>35</v>
      </c>
      <c r="C34" s="156">
        <f t="shared" si="1"/>
        <v>2400</v>
      </c>
      <c r="D34" s="156">
        <f>('Table 2 StormwaterGroundwater'!K43*3.78541)*C34</f>
        <v>0</v>
      </c>
      <c r="E34" s="156">
        <f t="shared" si="2"/>
        <v>2400</v>
      </c>
      <c r="F34" s="156">
        <f>('Table 2 StormwaterGroundwater'!M43*3.78541)*E34</f>
        <v>0</v>
      </c>
      <c r="G34" s="156">
        <f t="shared" si="3"/>
        <v>2400</v>
      </c>
      <c r="H34" s="156">
        <f>('Table 2 StormwaterGroundwater'!O43*3.78541)*G34</f>
        <v>0</v>
      </c>
      <c r="I34" s="156">
        <f t="shared" si="4"/>
        <v>2402</v>
      </c>
      <c r="J34" s="156">
        <f>('Table 2 StormwaterGroundwater'!G38*3.78541)*I34</f>
        <v>163665.98676000003</v>
      </c>
      <c r="K34" s="156">
        <f t="shared" si="5"/>
        <v>1492.5</v>
      </c>
      <c r="L34" s="156">
        <f>K34*('Table 2 StormwaterGroundwater'!H38*3.78541)</f>
        <v>48870.116276250003</v>
      </c>
      <c r="M34" s="156">
        <f t="shared" si="6"/>
        <v>47950</v>
      </c>
      <c r="N34" s="156">
        <f>('Table 2 StormwaterGroundwater'!Q43*3.78541)*M34</f>
        <v>609533.17620956874</v>
      </c>
      <c r="O34" s="156">
        <f t="shared" si="7"/>
        <v>47950</v>
      </c>
      <c r="P34" s="156">
        <f>('Table 2 StormwaterGroundwater'!U43*3.78541)*O34</f>
        <v>232794.78614465453</v>
      </c>
      <c r="Q34" s="156">
        <f t="shared" si="8"/>
        <v>47950</v>
      </c>
      <c r="R34" s="156">
        <f>('Table 2 StormwaterGroundwater'!W43*3.78541)*Q34</f>
        <v>187079.7979289369</v>
      </c>
      <c r="S34" s="156">
        <f t="shared" si="9"/>
        <v>47950</v>
      </c>
      <c r="T34" s="156">
        <f>('Table 2 StormwaterGroundwater'!Y43*3.78541)*S34</f>
        <v>632976.75990993681</v>
      </c>
      <c r="U34" s="156">
        <f t="shared" si="10"/>
        <v>199667</v>
      </c>
      <c r="V34" s="156">
        <f>('Table 2 StormwaterGroundwater'!AA43*3.78541)*U34</f>
        <v>4998177.1296582036</v>
      </c>
      <c r="W34" s="156">
        <f t="shared" si="11"/>
        <v>199667</v>
      </c>
      <c r="X34" s="156">
        <f>('Table 2 StormwaterGroundwater'!AC43*3.78541)*W34</f>
        <v>6140338.7003027536</v>
      </c>
      <c r="Y34" s="156">
        <f t="shared" si="12"/>
        <v>199667</v>
      </c>
      <c r="Z34" s="156">
        <f>('Table 2 StormwaterGroundwater'!AE43*3.78541)*Y34</f>
        <v>7721793.1827336689</v>
      </c>
      <c r="AA34" s="156">
        <f>'Table 7 WTP Sulfate Balance'!G36</f>
        <v>7541.1180609851444</v>
      </c>
      <c r="AB34" s="156">
        <f>AA34*'Table 6 WTP Flow Balance'!H34</f>
        <v>964509</v>
      </c>
      <c r="AC34" s="156">
        <f>(D34+F34+H34+J34+L34+N34+P34+R34+T34+V34+X34+Z34+AB34)/(('Table 5 Flows to Evap &amp; WTP'!F40+'Table 6 WTP Flow Balance'!H34)*3.78541)</f>
        <v>42969.35391426272</v>
      </c>
      <c r="AD34" s="156">
        <f>(AC34/(453592*2000))*(('Table 5 Flows to Evap &amp; WTP'!F40+'Table 6 WTP Flow Balance'!H34)*365*1440*3.785)</f>
        <v>12570.930818104687</v>
      </c>
      <c r="AE34" s="140">
        <f t="shared" si="13"/>
        <v>24186.495080528501</v>
      </c>
    </row>
    <row r="35" spans="2:31" ht="14.25" x14ac:dyDescent="0.2">
      <c r="B35" s="345">
        <f t="shared" si="0"/>
        <v>36</v>
      </c>
      <c r="C35" s="156">
        <f t="shared" si="1"/>
        <v>2400</v>
      </c>
      <c r="D35" s="156">
        <f>('Table 2 StormwaterGroundwater'!K44*3.78541)*C35</f>
        <v>0</v>
      </c>
      <c r="E35" s="156">
        <f t="shared" si="2"/>
        <v>2400</v>
      </c>
      <c r="F35" s="156">
        <f>('Table 2 StormwaterGroundwater'!M44*3.78541)*E35</f>
        <v>0</v>
      </c>
      <c r="G35" s="156">
        <f t="shared" si="3"/>
        <v>2400</v>
      </c>
      <c r="H35" s="156">
        <f>('Table 2 StormwaterGroundwater'!O44*3.78541)*G35</f>
        <v>0</v>
      </c>
      <c r="I35" s="156">
        <f t="shared" si="4"/>
        <v>2402</v>
      </c>
      <c r="J35" s="156">
        <f>('Table 2 StormwaterGroundwater'!G39*3.78541)*I35</f>
        <v>163665.98676000003</v>
      </c>
      <c r="K35" s="156">
        <f t="shared" si="5"/>
        <v>1492.5</v>
      </c>
      <c r="L35" s="156">
        <f>K35*('Table 2 StormwaterGroundwater'!H39*3.78541)</f>
        <v>48870.116276250003</v>
      </c>
      <c r="M35" s="156">
        <f t="shared" si="6"/>
        <v>47950</v>
      </c>
      <c r="N35" s="156">
        <f>('Table 2 StormwaterGroundwater'!Q44*3.78541)*M35</f>
        <v>609533.17620956874</v>
      </c>
      <c r="O35" s="156">
        <f t="shared" si="7"/>
        <v>47950</v>
      </c>
      <c r="P35" s="156">
        <f>('Table 2 StormwaterGroundwater'!U44*3.78541)*O35</f>
        <v>232794.78614465453</v>
      </c>
      <c r="Q35" s="156">
        <f t="shared" si="8"/>
        <v>47950</v>
      </c>
      <c r="R35" s="156">
        <f>('Table 2 StormwaterGroundwater'!W44*3.78541)*Q35</f>
        <v>187079.7979289369</v>
      </c>
      <c r="S35" s="156">
        <f t="shared" si="9"/>
        <v>47950</v>
      </c>
      <c r="T35" s="156">
        <f>('Table 2 StormwaterGroundwater'!Y44*3.78541)*S35</f>
        <v>632976.75990993681</v>
      </c>
      <c r="U35" s="156">
        <f t="shared" si="10"/>
        <v>199667</v>
      </c>
      <c r="V35" s="156">
        <f>('Table 2 StormwaterGroundwater'!AA44*3.78541)*U35</f>
        <v>4998177.1296582036</v>
      </c>
      <c r="W35" s="156">
        <f t="shared" si="11"/>
        <v>199667</v>
      </c>
      <c r="X35" s="156">
        <f>('Table 2 StormwaterGroundwater'!AC44*3.78541)*W35</f>
        <v>6140338.7003027536</v>
      </c>
      <c r="Y35" s="156">
        <f t="shared" si="12"/>
        <v>199667</v>
      </c>
      <c r="Z35" s="156">
        <f>('Table 2 StormwaterGroundwater'!AE44*3.78541)*Y35</f>
        <v>7721793.1827336689</v>
      </c>
      <c r="AA35" s="156">
        <f>'Table 7 WTP Sulfate Balance'!G37</f>
        <v>7541.6366483946749</v>
      </c>
      <c r="AB35" s="156">
        <f>AA35*'Table 6 WTP Flow Balance'!H35</f>
        <v>963067</v>
      </c>
      <c r="AC35" s="156">
        <f>(D35+F35+H35+J35+L35+N35+P35+R35+T35+V35+X35+Z35+AB35)/(('Table 5 Flows to Evap &amp; WTP'!F41+'Table 6 WTP Flow Balance'!H35)*3.78541)</f>
        <v>43032.318396974908</v>
      </c>
      <c r="AD35" s="156">
        <f>(AC35/(453592*2000))*(('Table 5 Flows to Evap &amp; WTP'!F41+'Table 6 WTP Flow Balance'!H35)*365*1440*3.785)</f>
        <v>12570.095449414592</v>
      </c>
      <c r="AE35" s="140">
        <f t="shared" si="13"/>
        <v>24184.887829561507</v>
      </c>
    </row>
    <row r="36" spans="2:31" ht="14.25" x14ac:dyDescent="0.2">
      <c r="B36" s="345">
        <f t="shared" si="0"/>
        <v>37</v>
      </c>
      <c r="C36" s="156">
        <f t="shared" si="1"/>
        <v>2400</v>
      </c>
      <c r="D36" s="156">
        <f>('Table 2 StormwaterGroundwater'!K45*3.78541)*C36</f>
        <v>0</v>
      </c>
      <c r="E36" s="156">
        <f t="shared" si="2"/>
        <v>2400</v>
      </c>
      <c r="F36" s="156">
        <f>('Table 2 StormwaterGroundwater'!M45*3.78541)*E36</f>
        <v>0</v>
      </c>
      <c r="G36" s="156">
        <f t="shared" si="3"/>
        <v>2400</v>
      </c>
      <c r="H36" s="156">
        <f>('Table 2 StormwaterGroundwater'!O45*3.78541)*G36</f>
        <v>0</v>
      </c>
      <c r="I36" s="156">
        <f t="shared" si="4"/>
        <v>2402</v>
      </c>
      <c r="J36" s="156">
        <f>('Table 2 StormwaterGroundwater'!G40*3.78541)*I36</f>
        <v>163665.98676000003</v>
      </c>
      <c r="K36" s="156">
        <f t="shared" si="5"/>
        <v>1492.5</v>
      </c>
      <c r="L36" s="156">
        <f>K36*('Table 2 StormwaterGroundwater'!H40*3.78541)</f>
        <v>48870.116276250003</v>
      </c>
      <c r="M36" s="156">
        <f t="shared" si="6"/>
        <v>47950</v>
      </c>
      <c r="N36" s="156">
        <f>('Table 2 StormwaterGroundwater'!Q45*3.78541)*M36</f>
        <v>609533.17620956874</v>
      </c>
      <c r="O36" s="156">
        <f t="shared" si="7"/>
        <v>47950</v>
      </c>
      <c r="P36" s="156">
        <f>('Table 2 StormwaterGroundwater'!U45*3.78541)*O36</f>
        <v>232794.78614465453</v>
      </c>
      <c r="Q36" s="156">
        <f t="shared" si="8"/>
        <v>47950</v>
      </c>
      <c r="R36" s="156">
        <f>('Table 2 StormwaterGroundwater'!W45*3.78541)*Q36</f>
        <v>187079.7979289369</v>
      </c>
      <c r="S36" s="156">
        <f t="shared" si="9"/>
        <v>47950</v>
      </c>
      <c r="T36" s="156">
        <f>('Table 2 StormwaterGroundwater'!Y45*3.78541)*S36</f>
        <v>632976.75990993681</v>
      </c>
      <c r="U36" s="156">
        <f t="shared" si="10"/>
        <v>199667</v>
      </c>
      <c r="V36" s="156">
        <f>('Table 2 StormwaterGroundwater'!AA45*3.78541)*U36</f>
        <v>4998177.1296582036</v>
      </c>
      <c r="W36" s="156">
        <f t="shared" si="11"/>
        <v>199667</v>
      </c>
      <c r="X36" s="156">
        <f>('Table 2 StormwaterGroundwater'!AC45*3.78541)*W36</f>
        <v>6140338.7003027536</v>
      </c>
      <c r="Y36" s="156">
        <f t="shared" si="12"/>
        <v>199667</v>
      </c>
      <c r="Z36" s="156">
        <f>('Table 2 StormwaterGroundwater'!AE45*3.78541)*Y36</f>
        <v>7721793.1827336689</v>
      </c>
      <c r="AA36" s="156">
        <f>'Table 7 WTP Sulfate Balance'!G38</f>
        <v>7541.8965517241377</v>
      </c>
      <c r="AB36" s="156">
        <f>AA36*'Table 6 WTP Flow Balance'!H36</f>
        <v>962346</v>
      </c>
      <c r="AC36" s="156">
        <f>(D36+F36+H36+J36+L36+N36+P36+R36+T36+V36+X36+Z36+AB36)/(('Table 5 Flows to Evap &amp; WTP'!F42+'Table 6 WTP Flow Balance'!H36)*3.78541)</f>
        <v>43063.873034724376</v>
      </c>
      <c r="AD36" s="156">
        <f>(AC36/(453592*2000))*(('Table 5 Flows to Evap &amp; WTP'!F42+'Table 6 WTP Flow Balance'!H36)*365*1440*3.785)</f>
        <v>12569.677765069544</v>
      </c>
      <c r="AE36" s="140">
        <f t="shared" si="13"/>
        <v>24184.084204078004</v>
      </c>
    </row>
    <row r="37" spans="2:31" ht="14.25" x14ac:dyDescent="0.2">
      <c r="B37" s="345">
        <f t="shared" si="0"/>
        <v>38</v>
      </c>
      <c r="C37" s="156">
        <f t="shared" si="1"/>
        <v>2400</v>
      </c>
      <c r="D37" s="156">
        <f>('Table 2 StormwaterGroundwater'!K46*3.78541)*C37</f>
        <v>0</v>
      </c>
      <c r="E37" s="156">
        <f t="shared" si="2"/>
        <v>2400</v>
      </c>
      <c r="F37" s="156">
        <f>('Table 2 StormwaterGroundwater'!M46*3.78541)*E37</f>
        <v>0</v>
      </c>
      <c r="G37" s="156">
        <f t="shared" si="3"/>
        <v>2400</v>
      </c>
      <c r="H37" s="156">
        <f>('Table 2 StormwaterGroundwater'!O46*3.78541)*G37</f>
        <v>0</v>
      </c>
      <c r="I37" s="156">
        <f t="shared" si="4"/>
        <v>2402</v>
      </c>
      <c r="J37" s="156">
        <f>('Table 2 StormwaterGroundwater'!G41*3.78541)*I37</f>
        <v>163665.98676000003</v>
      </c>
      <c r="K37" s="156">
        <f t="shared" si="5"/>
        <v>1492.5</v>
      </c>
      <c r="L37" s="156">
        <f>K37*('Table 2 StormwaterGroundwater'!H41*3.78541)</f>
        <v>48870.116276250003</v>
      </c>
      <c r="M37" s="156">
        <f t="shared" si="6"/>
        <v>47950</v>
      </c>
      <c r="N37" s="156">
        <f>('Table 2 StormwaterGroundwater'!Q46*3.78541)*M37</f>
        <v>609533.17620956874</v>
      </c>
      <c r="O37" s="156">
        <f t="shared" si="7"/>
        <v>47950</v>
      </c>
      <c r="P37" s="156">
        <f>('Table 2 StormwaterGroundwater'!U46*3.78541)*O37</f>
        <v>232794.78614465453</v>
      </c>
      <c r="Q37" s="156">
        <f t="shared" si="8"/>
        <v>47950</v>
      </c>
      <c r="R37" s="156">
        <f>('Table 2 StormwaterGroundwater'!W46*3.78541)*Q37</f>
        <v>187079.7979289369</v>
      </c>
      <c r="S37" s="156">
        <f t="shared" si="9"/>
        <v>47950</v>
      </c>
      <c r="T37" s="156">
        <f>('Table 2 StormwaterGroundwater'!Y46*3.78541)*S37</f>
        <v>632976.75990993681</v>
      </c>
      <c r="U37" s="156">
        <f t="shared" si="10"/>
        <v>199667</v>
      </c>
      <c r="V37" s="156">
        <f>('Table 2 StormwaterGroundwater'!AA46*3.78541)*U37</f>
        <v>4998177.1296582036</v>
      </c>
      <c r="W37" s="156">
        <f t="shared" si="11"/>
        <v>199667</v>
      </c>
      <c r="X37" s="156">
        <f>('Table 2 StormwaterGroundwater'!AC46*3.78541)*W37</f>
        <v>6140338.7003027536</v>
      </c>
      <c r="Y37" s="156">
        <f t="shared" si="12"/>
        <v>199667</v>
      </c>
      <c r="Z37" s="156">
        <f>('Table 2 StormwaterGroundwater'!AE46*3.78541)*Y37</f>
        <v>7721793.1827336689</v>
      </c>
      <c r="AA37" s="156">
        <f>'Table 7 WTP Sulfate Balance'!G39</f>
        <v>7542.1568627450979</v>
      </c>
      <c r="AB37" s="156">
        <f>AA37*'Table 6 WTP Flow Balance'!H37</f>
        <v>961625</v>
      </c>
      <c r="AC37" s="156">
        <f>(D37+F37+H37+J37+L37+N37+P37+R37+T37+V37+X37+Z37+AB37)/(('Table 5 Flows to Evap &amp; WTP'!F43+'Table 6 WTP Flow Balance'!H37)*3.78541)</f>
        <v>43095.476084833936</v>
      </c>
      <c r="AD37" s="156">
        <f>(AC37/(453592*2000))*(('Table 5 Flows to Evap &amp; WTP'!F43+'Table 6 WTP Flow Balance'!H37)*365*1440*3.785)</f>
        <v>12569.260080724496</v>
      </c>
      <c r="AE37" s="140">
        <f t="shared" si="13"/>
        <v>24183.280578594509</v>
      </c>
    </row>
    <row r="38" spans="2:31" ht="14.25" x14ac:dyDescent="0.2">
      <c r="B38" s="345">
        <f t="shared" ref="B38:B61" si="14">B37+1</f>
        <v>39</v>
      </c>
      <c r="C38" s="156">
        <f t="shared" si="1"/>
        <v>2400</v>
      </c>
      <c r="D38" s="156">
        <f>('Table 2 StormwaterGroundwater'!K47*3.78541)*C38</f>
        <v>0</v>
      </c>
      <c r="E38" s="156">
        <f t="shared" si="2"/>
        <v>2400</v>
      </c>
      <c r="F38" s="156">
        <f>('Table 2 StormwaterGroundwater'!M47*3.78541)*E38</f>
        <v>0</v>
      </c>
      <c r="G38" s="156">
        <f t="shared" si="3"/>
        <v>2400</v>
      </c>
      <c r="H38" s="156">
        <f>('Table 2 StormwaterGroundwater'!O47*3.78541)*G38</f>
        <v>0</v>
      </c>
      <c r="I38" s="156">
        <f t="shared" ref="I38:I69" si="15">I37</f>
        <v>2402</v>
      </c>
      <c r="J38" s="156">
        <f>('Table 2 StormwaterGroundwater'!G42*3.78541)*I38</f>
        <v>163665.98676000003</v>
      </c>
      <c r="K38" s="156">
        <f t="shared" ref="K38:K69" si="16">K37</f>
        <v>1492.5</v>
      </c>
      <c r="L38" s="156">
        <f>K38*('Table 2 StormwaterGroundwater'!H42*3.78541)</f>
        <v>48870.116276250003</v>
      </c>
      <c r="M38" s="156">
        <f t="shared" si="6"/>
        <v>47950</v>
      </c>
      <c r="N38" s="156">
        <f>('Table 2 StormwaterGroundwater'!Q47*3.78541)*M38</f>
        <v>609533.17620956874</v>
      </c>
      <c r="O38" s="156">
        <f t="shared" si="7"/>
        <v>47950</v>
      </c>
      <c r="P38" s="156">
        <f>('Table 2 StormwaterGroundwater'!U47*3.78541)*O38</f>
        <v>232794.78614465453</v>
      </c>
      <c r="Q38" s="156">
        <f t="shared" si="8"/>
        <v>47950</v>
      </c>
      <c r="R38" s="156">
        <f>('Table 2 StormwaterGroundwater'!W47*3.78541)*Q38</f>
        <v>187079.7979289369</v>
      </c>
      <c r="S38" s="156">
        <f t="shared" si="9"/>
        <v>47950</v>
      </c>
      <c r="T38" s="156">
        <f>('Table 2 StormwaterGroundwater'!Y47*3.78541)*S38</f>
        <v>632976.75990993681</v>
      </c>
      <c r="U38" s="156">
        <f t="shared" si="10"/>
        <v>199667</v>
      </c>
      <c r="V38" s="156">
        <f>('Table 2 StormwaterGroundwater'!AA47*3.78541)*U38</f>
        <v>4998177.1296582036</v>
      </c>
      <c r="W38" s="156">
        <f t="shared" si="11"/>
        <v>199667</v>
      </c>
      <c r="X38" s="156">
        <f>('Table 2 StormwaterGroundwater'!AC47*3.78541)*W38</f>
        <v>6140338.7003027536</v>
      </c>
      <c r="Y38" s="156">
        <f t="shared" si="12"/>
        <v>199667</v>
      </c>
      <c r="Z38" s="156">
        <f>('Table 2 StormwaterGroundwater'!AE47*3.78541)*Y38</f>
        <v>7721793.1827336689</v>
      </c>
      <c r="AA38" s="156">
        <f>'Table 7 WTP Sulfate Balance'!G40</f>
        <v>7542.6787117046333</v>
      </c>
      <c r="AB38" s="156">
        <f>AA38*'Table 6 WTP Flow Balance'!H38</f>
        <v>960182.99999999988</v>
      </c>
      <c r="AC38" s="156">
        <f>(D38+F38+H38+J38+L38+N38+P38+R38+T38+V38+X38+Z38+AB38)/(('Table 5 Flows to Evap &amp; WTP'!F44+'Table 6 WTP Flow Balance'!H38)*3.78541)</f>
        <v>43158.82786847496</v>
      </c>
      <c r="AD38" s="156">
        <f>(AC38/(453592*2000))*(('Table 5 Flows to Evap &amp; WTP'!F44+'Table 6 WTP Flow Balance'!H38)*365*1440*3.785)</f>
        <v>12568.424712034401</v>
      </c>
      <c r="AE38" s="140">
        <f t="shared" si="13"/>
        <v>24181.673327627515</v>
      </c>
    </row>
    <row r="39" spans="2:31" ht="14.25" x14ac:dyDescent="0.2">
      <c r="B39" s="345">
        <f t="shared" si="14"/>
        <v>40</v>
      </c>
      <c r="C39" s="156">
        <f t="shared" si="1"/>
        <v>2400</v>
      </c>
      <c r="D39" s="156">
        <f>('Table 2 StormwaterGroundwater'!K48*3.78541)*C39</f>
        <v>0</v>
      </c>
      <c r="E39" s="156">
        <f t="shared" si="2"/>
        <v>2400</v>
      </c>
      <c r="F39" s="156">
        <f>('Table 2 StormwaterGroundwater'!M48*3.78541)*E39</f>
        <v>0</v>
      </c>
      <c r="G39" s="156">
        <f t="shared" si="3"/>
        <v>2400</v>
      </c>
      <c r="H39" s="156">
        <f>('Table 2 StormwaterGroundwater'!O48*3.78541)*G39</f>
        <v>0</v>
      </c>
      <c r="I39" s="156">
        <f t="shared" si="15"/>
        <v>2402</v>
      </c>
      <c r="J39" s="156">
        <f>('Table 2 StormwaterGroundwater'!G43*3.78541)*I39</f>
        <v>163665.98676000003</v>
      </c>
      <c r="K39" s="156">
        <f t="shared" si="16"/>
        <v>1492.5</v>
      </c>
      <c r="L39" s="156">
        <f>K39*('Table 2 StormwaterGroundwater'!H43*3.78541)</f>
        <v>48870.116276250003</v>
      </c>
      <c r="M39" s="156">
        <f t="shared" si="6"/>
        <v>47950</v>
      </c>
      <c r="N39" s="156">
        <f>('Table 2 StormwaterGroundwater'!Q48*3.78541)*M39</f>
        <v>609533.17620956874</v>
      </c>
      <c r="O39" s="156">
        <f t="shared" si="7"/>
        <v>47950</v>
      </c>
      <c r="P39" s="156">
        <f>('Table 2 StormwaterGroundwater'!U48*3.78541)*O39</f>
        <v>232794.78614465453</v>
      </c>
      <c r="Q39" s="156">
        <f t="shared" si="8"/>
        <v>47950</v>
      </c>
      <c r="R39" s="156">
        <f>('Table 2 StormwaterGroundwater'!W48*3.78541)*Q39</f>
        <v>187079.7979289369</v>
      </c>
      <c r="S39" s="156">
        <f t="shared" si="9"/>
        <v>47950</v>
      </c>
      <c r="T39" s="156">
        <f>('Table 2 StormwaterGroundwater'!Y48*3.78541)*S39</f>
        <v>632976.75990993681</v>
      </c>
      <c r="U39" s="156">
        <f t="shared" si="10"/>
        <v>199667</v>
      </c>
      <c r="V39" s="156">
        <f>('Table 2 StormwaterGroundwater'!AA48*3.78541)*U39</f>
        <v>4998177.1296582036</v>
      </c>
      <c r="W39" s="156">
        <f t="shared" si="11"/>
        <v>199667</v>
      </c>
      <c r="X39" s="156">
        <f>('Table 2 StormwaterGroundwater'!AC48*3.78541)*W39</f>
        <v>6140338.7003027536</v>
      </c>
      <c r="Y39" s="156">
        <f t="shared" si="12"/>
        <v>199667</v>
      </c>
      <c r="Z39" s="156">
        <f>('Table 2 StormwaterGroundwater'!AE48*3.78541)*Y39</f>
        <v>7721793.1827336689</v>
      </c>
      <c r="AA39" s="156">
        <f>'Table 7 WTP Sulfate Balance'!G41</f>
        <v>7542.9402515723268</v>
      </c>
      <c r="AB39" s="156">
        <f>AA39*'Table 6 WTP Flow Balance'!H39</f>
        <v>959462</v>
      </c>
      <c r="AC39" s="156">
        <f>(D39+F39+H39+J39+L39+N39+P39+R39+T39+V39+X39+Z39+AB39)/(('Table 5 Flows to Evap &amp; WTP'!F45+'Table 6 WTP Flow Balance'!H39)*3.78541)</f>
        <v>43190.576826035205</v>
      </c>
      <c r="AD39" s="156">
        <f>(AC39/(453592*2000))*(('Table 5 Flows to Evap &amp; WTP'!F45+'Table 6 WTP Flow Balance'!H39)*365*1440*3.785)</f>
        <v>12568.007027689355</v>
      </c>
      <c r="AE39" s="140">
        <f t="shared" si="13"/>
        <v>24180.86970214402</v>
      </c>
    </row>
    <row r="40" spans="2:31" ht="14.25" x14ac:dyDescent="0.2">
      <c r="B40" s="345">
        <f t="shared" si="14"/>
        <v>41</v>
      </c>
      <c r="C40" s="156">
        <f t="shared" si="1"/>
        <v>2400</v>
      </c>
      <c r="D40" s="156">
        <f>('Table 2 StormwaterGroundwater'!K49*3.78541)*C40</f>
        <v>0</v>
      </c>
      <c r="E40" s="156">
        <f t="shared" si="2"/>
        <v>2400</v>
      </c>
      <c r="F40" s="156">
        <f>('Table 2 StormwaterGroundwater'!M49*3.78541)*E40</f>
        <v>0</v>
      </c>
      <c r="G40" s="156">
        <f t="shared" si="3"/>
        <v>2400</v>
      </c>
      <c r="H40" s="156">
        <f>('Table 2 StormwaterGroundwater'!O49*3.78541)*G40</f>
        <v>0</v>
      </c>
      <c r="I40" s="156">
        <f t="shared" si="15"/>
        <v>2402</v>
      </c>
      <c r="J40" s="156">
        <f>('Table 2 StormwaterGroundwater'!G44*3.78541)*I40</f>
        <v>163665.98676000003</v>
      </c>
      <c r="K40" s="156">
        <f t="shared" si="16"/>
        <v>1492.5</v>
      </c>
      <c r="L40" s="156">
        <f>K40*('Table 2 StormwaterGroundwater'!H44*3.78541)</f>
        <v>48870.116276250003</v>
      </c>
      <c r="M40" s="156">
        <f t="shared" si="6"/>
        <v>47950</v>
      </c>
      <c r="N40" s="156">
        <f>('Table 2 StormwaterGroundwater'!Q49*3.78541)*M40</f>
        <v>609533.17620956874</v>
      </c>
      <c r="O40" s="156">
        <f t="shared" si="7"/>
        <v>47950</v>
      </c>
      <c r="P40" s="156">
        <f>('Table 2 StormwaterGroundwater'!U49*3.78541)*O40</f>
        <v>232794.78614465453</v>
      </c>
      <c r="Q40" s="156">
        <f t="shared" si="8"/>
        <v>47950</v>
      </c>
      <c r="R40" s="156">
        <f>('Table 2 StormwaterGroundwater'!W49*3.78541)*Q40</f>
        <v>187079.7979289369</v>
      </c>
      <c r="S40" s="156">
        <f t="shared" si="9"/>
        <v>47950</v>
      </c>
      <c r="T40" s="156">
        <f>('Table 2 StormwaterGroundwater'!Y49*3.78541)*S40</f>
        <v>632976.75990993681</v>
      </c>
      <c r="U40" s="156">
        <f t="shared" si="10"/>
        <v>199667</v>
      </c>
      <c r="V40" s="156">
        <f>('Table 2 StormwaterGroundwater'!AA49*3.78541)*U40</f>
        <v>4998177.1296582036</v>
      </c>
      <c r="W40" s="156">
        <f t="shared" si="11"/>
        <v>199667</v>
      </c>
      <c r="X40" s="156">
        <f>('Table 2 StormwaterGroundwater'!AC49*3.78541)*W40</f>
        <v>6140338.7003027536</v>
      </c>
      <c r="Y40" s="156">
        <f t="shared" si="12"/>
        <v>199667</v>
      </c>
      <c r="Z40" s="156">
        <f>('Table 2 StormwaterGroundwater'!AE49*3.78541)*Y40</f>
        <v>7721793.1827336689</v>
      </c>
      <c r="AA40" s="156">
        <f>'Table 7 WTP Sulfate Balance'!G42</f>
        <v>7543.2022029897726</v>
      </c>
      <c r="AB40" s="156">
        <f>AA40*'Table 6 WTP Flow Balance'!H40</f>
        <v>958741.00000000012</v>
      </c>
      <c r="AC40" s="156">
        <f>(D40+F40+H40+J40+L40+N40+P40+R40+T40+V40+X40+Z40+AB40)/(('Table 5 Flows to Evap &amp; WTP'!F46+'Table 6 WTP Flow Balance'!H40)*3.78541)</f>
        <v>43222.374644015727</v>
      </c>
      <c r="AD40" s="156">
        <f>(AC40/(453592*2000))*(('Table 5 Flows to Evap &amp; WTP'!F46+'Table 6 WTP Flow Balance'!H40)*365*1440*3.785)</f>
        <v>12567.589343344303</v>
      </c>
      <c r="AE40" s="140">
        <f t="shared" si="13"/>
        <v>24180.066076660514</v>
      </c>
    </row>
    <row r="41" spans="2:31" ht="14.25" x14ac:dyDescent="0.2">
      <c r="B41" s="345">
        <f t="shared" si="14"/>
        <v>42</v>
      </c>
      <c r="C41" s="156">
        <f t="shared" si="1"/>
        <v>2400</v>
      </c>
      <c r="D41" s="156">
        <f>('Table 2 StormwaterGroundwater'!K50*3.78541)*C41</f>
        <v>0</v>
      </c>
      <c r="E41" s="156">
        <f t="shared" si="2"/>
        <v>2400</v>
      </c>
      <c r="F41" s="156">
        <f>('Table 2 StormwaterGroundwater'!M50*3.78541)*E41</f>
        <v>0</v>
      </c>
      <c r="G41" s="156">
        <f t="shared" si="3"/>
        <v>2400</v>
      </c>
      <c r="H41" s="156">
        <f>('Table 2 StormwaterGroundwater'!O50*3.78541)*G41</f>
        <v>0</v>
      </c>
      <c r="I41" s="156">
        <f t="shared" si="15"/>
        <v>2402</v>
      </c>
      <c r="J41" s="156">
        <f>('Table 2 StormwaterGroundwater'!G45*3.78541)*I41</f>
        <v>163665.98676000003</v>
      </c>
      <c r="K41" s="156">
        <f t="shared" si="16"/>
        <v>1492.5</v>
      </c>
      <c r="L41" s="156">
        <f>K41*('Table 2 StormwaterGroundwater'!H45*3.78541)</f>
        <v>48870.116276250003</v>
      </c>
      <c r="M41" s="156">
        <f t="shared" si="6"/>
        <v>47950</v>
      </c>
      <c r="N41" s="156">
        <f>('Table 2 StormwaterGroundwater'!Q50*3.78541)*M41</f>
        <v>609533.17620956874</v>
      </c>
      <c r="O41" s="156">
        <f t="shared" si="7"/>
        <v>47950</v>
      </c>
      <c r="P41" s="156">
        <f>('Table 2 StormwaterGroundwater'!U50*3.78541)*O41</f>
        <v>232794.78614465453</v>
      </c>
      <c r="Q41" s="156">
        <f t="shared" si="8"/>
        <v>47950</v>
      </c>
      <c r="R41" s="156">
        <f>('Table 2 StormwaterGroundwater'!W50*3.78541)*Q41</f>
        <v>187079.7979289369</v>
      </c>
      <c r="S41" s="156">
        <f t="shared" si="9"/>
        <v>47950</v>
      </c>
      <c r="T41" s="156">
        <f>('Table 2 StormwaterGroundwater'!Y50*3.78541)*S41</f>
        <v>632976.75990993681</v>
      </c>
      <c r="U41" s="156">
        <f t="shared" si="10"/>
        <v>199667</v>
      </c>
      <c r="V41" s="156">
        <f>('Table 2 StormwaterGroundwater'!AA50*3.78541)*U41</f>
        <v>4998177.1296582036</v>
      </c>
      <c r="W41" s="156">
        <f t="shared" si="11"/>
        <v>199667</v>
      </c>
      <c r="X41" s="156">
        <f>('Table 2 StormwaterGroundwater'!AC50*3.78541)*W41</f>
        <v>6140338.7003027536</v>
      </c>
      <c r="Y41" s="156">
        <f t="shared" si="12"/>
        <v>199667</v>
      </c>
      <c r="Z41" s="156">
        <f>('Table 2 StormwaterGroundwater'!AE50*3.78541)*Y41</f>
        <v>7721793.1827336689</v>
      </c>
      <c r="AA41" s="156">
        <f>'Table 7 WTP Sulfate Balance'!G43</f>
        <v>7543.7273443656422</v>
      </c>
      <c r="AB41" s="156">
        <f>AA41*'Table 6 WTP Flow Balance'!H41</f>
        <v>957299</v>
      </c>
      <c r="AC41" s="156">
        <f>(D41+F41+H41+J41+L41+N41+P41+R41+T41+V41+X41+Z41+AB41)/(('Table 5 Flows to Evap &amp; WTP'!F47+'Table 6 WTP Flow Balance'!H41)*3.78541)</f>
        <v>43286.117313098854</v>
      </c>
      <c r="AD41" s="156">
        <f>(AC41/(453592*2000))*(('Table 5 Flows to Evap &amp; WTP'!F47+'Table 6 WTP Flow Balance'!H41)*365*1440*3.785)</f>
        <v>12566.753974654208</v>
      </c>
      <c r="AE41" s="140">
        <f t="shared" si="13"/>
        <v>24178.45882569352</v>
      </c>
    </row>
    <row r="42" spans="2:31" ht="14.25" x14ac:dyDescent="0.2">
      <c r="B42" s="345">
        <f t="shared" si="14"/>
        <v>43</v>
      </c>
      <c r="C42" s="156">
        <f t="shared" si="1"/>
        <v>2400</v>
      </c>
      <c r="D42" s="156">
        <f>('Table 2 StormwaterGroundwater'!K51*3.78541)*C42</f>
        <v>0</v>
      </c>
      <c r="E42" s="156">
        <f t="shared" si="2"/>
        <v>2400</v>
      </c>
      <c r="F42" s="156">
        <f>('Table 2 StormwaterGroundwater'!M51*3.78541)*E42</f>
        <v>0</v>
      </c>
      <c r="G42" s="156">
        <f t="shared" si="3"/>
        <v>2400</v>
      </c>
      <c r="H42" s="156">
        <f>('Table 2 StormwaterGroundwater'!O51*3.78541)*G42</f>
        <v>0</v>
      </c>
      <c r="I42" s="156">
        <f t="shared" si="15"/>
        <v>2402</v>
      </c>
      <c r="J42" s="156">
        <f>('Table 2 StormwaterGroundwater'!G46*3.78541)*I42</f>
        <v>163665.98676000003</v>
      </c>
      <c r="K42" s="156">
        <f t="shared" si="16"/>
        <v>1492.5</v>
      </c>
      <c r="L42" s="156">
        <f>K42*('Table 2 StormwaterGroundwater'!H46*3.78541)</f>
        <v>48870.116276250003</v>
      </c>
      <c r="M42" s="156">
        <f t="shared" si="6"/>
        <v>47950</v>
      </c>
      <c r="N42" s="156">
        <f>('Table 2 StormwaterGroundwater'!Q51*3.78541)*M42</f>
        <v>609533.17620956874</v>
      </c>
      <c r="O42" s="156">
        <f t="shared" si="7"/>
        <v>47950</v>
      </c>
      <c r="P42" s="156">
        <f>('Table 2 StormwaterGroundwater'!U51*3.78541)*O42</f>
        <v>232794.78614465453</v>
      </c>
      <c r="Q42" s="156">
        <f t="shared" si="8"/>
        <v>47950</v>
      </c>
      <c r="R42" s="156">
        <f>('Table 2 StormwaterGroundwater'!W51*3.78541)*Q42</f>
        <v>187079.7979289369</v>
      </c>
      <c r="S42" s="156">
        <f t="shared" si="9"/>
        <v>47950</v>
      </c>
      <c r="T42" s="156">
        <f>('Table 2 StormwaterGroundwater'!Y51*3.78541)*S42</f>
        <v>632976.75990993681</v>
      </c>
      <c r="U42" s="156">
        <f t="shared" si="10"/>
        <v>199667</v>
      </c>
      <c r="V42" s="156">
        <f>('Table 2 StormwaterGroundwater'!AA51*3.78541)*U42</f>
        <v>4998177.1296582036</v>
      </c>
      <c r="W42" s="156">
        <f t="shared" si="11"/>
        <v>199667</v>
      </c>
      <c r="X42" s="156">
        <f>('Table 2 StormwaterGroundwater'!AC51*3.78541)*W42</f>
        <v>6140338.7003027536</v>
      </c>
      <c r="Y42" s="156">
        <f t="shared" si="12"/>
        <v>199667</v>
      </c>
      <c r="Z42" s="156">
        <f>('Table 2 StormwaterGroundwater'!AE51*3.78541)*Y42</f>
        <v>7721793.1827336689</v>
      </c>
      <c r="AA42" s="156">
        <f>'Table 7 WTP Sulfate Balance'!G44</f>
        <v>7543.9905362776017</v>
      </c>
      <c r="AB42" s="156">
        <f>AA42*'Table 6 WTP Flow Balance'!H42</f>
        <v>956578</v>
      </c>
      <c r="AC42" s="156">
        <f>(D42+F42+H42+J42+L42+N42+P42+R42+T42+V42+X42+Z42+AB42)/(('Table 5 Flows to Evap &amp; WTP'!F48+'Table 6 WTP Flow Balance'!H42)*3.78541)</f>
        <v>43318.06239100331</v>
      </c>
      <c r="AD42" s="156">
        <f>(AC42/(453592*2000))*(('Table 5 Flows to Evap &amp; WTP'!F48+'Table 6 WTP Flow Balance'!H42)*365*1440*3.785)</f>
        <v>12566.336290309164</v>
      </c>
      <c r="AE42" s="140">
        <f t="shared" si="13"/>
        <v>24177.655200210032</v>
      </c>
    </row>
    <row r="43" spans="2:31" ht="14.25" x14ac:dyDescent="0.2">
      <c r="B43" s="345">
        <f t="shared" si="14"/>
        <v>44</v>
      </c>
      <c r="C43" s="156">
        <f t="shared" si="1"/>
        <v>2400</v>
      </c>
      <c r="D43" s="156">
        <f>('Table 2 StormwaterGroundwater'!K52*3.78541)*C43</f>
        <v>0</v>
      </c>
      <c r="E43" s="156">
        <f t="shared" si="2"/>
        <v>2400</v>
      </c>
      <c r="F43" s="156">
        <f>('Table 2 StormwaterGroundwater'!M52*3.78541)*E43</f>
        <v>0</v>
      </c>
      <c r="G43" s="156">
        <f t="shared" si="3"/>
        <v>2400</v>
      </c>
      <c r="H43" s="156">
        <f>('Table 2 StormwaterGroundwater'!O52*3.78541)*G43</f>
        <v>0</v>
      </c>
      <c r="I43" s="156">
        <f t="shared" si="15"/>
        <v>2402</v>
      </c>
      <c r="J43" s="156">
        <f>('Table 2 StormwaterGroundwater'!G47*3.78541)*I43</f>
        <v>163665.98676000003</v>
      </c>
      <c r="K43" s="156">
        <f t="shared" si="16"/>
        <v>1492.5</v>
      </c>
      <c r="L43" s="156">
        <f>K43*('Table 2 StormwaterGroundwater'!H47*3.78541)</f>
        <v>48870.116276250003</v>
      </c>
      <c r="M43" s="156">
        <f t="shared" si="6"/>
        <v>47950</v>
      </c>
      <c r="N43" s="156">
        <f>('Table 2 StormwaterGroundwater'!Q52*3.78541)*M43</f>
        <v>609533.17620956874</v>
      </c>
      <c r="O43" s="156">
        <f t="shared" si="7"/>
        <v>47950</v>
      </c>
      <c r="P43" s="156">
        <f>('Table 2 StormwaterGroundwater'!U52*3.78541)*O43</f>
        <v>232794.78614465453</v>
      </c>
      <c r="Q43" s="156">
        <f t="shared" si="8"/>
        <v>47950</v>
      </c>
      <c r="R43" s="156">
        <f>('Table 2 StormwaterGroundwater'!W52*3.78541)*Q43</f>
        <v>187079.7979289369</v>
      </c>
      <c r="S43" s="156">
        <f t="shared" si="9"/>
        <v>47950</v>
      </c>
      <c r="T43" s="156">
        <f>('Table 2 StormwaterGroundwater'!Y52*3.78541)*S43</f>
        <v>632976.75990993681</v>
      </c>
      <c r="U43" s="156">
        <f t="shared" si="10"/>
        <v>199667</v>
      </c>
      <c r="V43" s="156">
        <f>('Table 2 StormwaterGroundwater'!AA52*3.78541)*U43</f>
        <v>4998177.1296582036</v>
      </c>
      <c r="W43" s="156">
        <f t="shared" si="11"/>
        <v>199667</v>
      </c>
      <c r="X43" s="156">
        <f>('Table 2 StormwaterGroundwater'!AC52*3.78541)*W43</f>
        <v>6140338.7003027536</v>
      </c>
      <c r="Y43" s="156">
        <f t="shared" si="12"/>
        <v>199667</v>
      </c>
      <c r="Z43" s="156">
        <f>('Table 2 StormwaterGroundwater'!AE52*3.78541)*Y43</f>
        <v>7721793.1827336689</v>
      </c>
      <c r="AA43" s="156">
        <f>'Table 7 WTP Sulfate Balance'!G45</f>
        <v>7544.2541436464089</v>
      </c>
      <c r="AB43" s="156">
        <f>AA43*'Table 6 WTP Flow Balance'!H43</f>
        <v>955857</v>
      </c>
      <c r="AC43" s="156">
        <f>(D43+F43+H43+J43+L43+N43+P43+R43+T43+V43+X43+Z43+AB43)/(('Table 5 Flows to Evap &amp; WTP'!F49+'Table 6 WTP Flow Balance'!H43)*3.78541)</f>
        <v>43350.056782934473</v>
      </c>
      <c r="AD43" s="156">
        <f>(AC43/(453592*2000))*(('Table 5 Flows to Evap &amp; WTP'!F49+'Table 6 WTP Flow Balance'!H43)*365*1440*3.785)</f>
        <v>12565.918605964114</v>
      </c>
      <c r="AE43" s="140">
        <f t="shared" si="13"/>
        <v>24176.851574726534</v>
      </c>
    </row>
    <row r="44" spans="2:31" ht="14.25" x14ac:dyDescent="0.2">
      <c r="B44" s="345">
        <f t="shared" si="14"/>
        <v>45</v>
      </c>
      <c r="C44" s="156">
        <f t="shared" si="1"/>
        <v>2400</v>
      </c>
      <c r="D44" s="156">
        <f>('Table 2 StormwaterGroundwater'!K53*3.78541)*C44</f>
        <v>0</v>
      </c>
      <c r="E44" s="156">
        <f t="shared" si="2"/>
        <v>2400</v>
      </c>
      <c r="F44" s="156">
        <f>('Table 2 StormwaterGroundwater'!M53*3.78541)*E44</f>
        <v>0</v>
      </c>
      <c r="G44" s="156">
        <f t="shared" si="3"/>
        <v>2400</v>
      </c>
      <c r="H44" s="156">
        <f>('Table 2 StormwaterGroundwater'!O53*3.78541)*G44</f>
        <v>0</v>
      </c>
      <c r="I44" s="156">
        <f t="shared" si="15"/>
        <v>2402</v>
      </c>
      <c r="J44" s="156">
        <f>('Table 2 StormwaterGroundwater'!G48*3.78541)*I44</f>
        <v>163665.98676000003</v>
      </c>
      <c r="K44" s="156">
        <f t="shared" si="16"/>
        <v>1492.5</v>
      </c>
      <c r="L44" s="156">
        <f>K44*('Table 2 StormwaterGroundwater'!H48*3.78541)</f>
        <v>48870.116276250003</v>
      </c>
      <c r="M44" s="156">
        <f t="shared" si="6"/>
        <v>47950</v>
      </c>
      <c r="N44" s="156">
        <f>('Table 2 StormwaterGroundwater'!Q53*3.78541)*M44</f>
        <v>609533.17620956874</v>
      </c>
      <c r="O44" s="156">
        <f t="shared" si="7"/>
        <v>47950</v>
      </c>
      <c r="P44" s="156">
        <f>('Table 2 StormwaterGroundwater'!U53*3.78541)*O44</f>
        <v>232794.78614465453</v>
      </c>
      <c r="Q44" s="156">
        <f t="shared" si="8"/>
        <v>47950</v>
      </c>
      <c r="R44" s="156">
        <f>('Table 2 StormwaterGroundwater'!W53*3.78541)*Q44</f>
        <v>187079.7979289369</v>
      </c>
      <c r="S44" s="156">
        <f t="shared" si="9"/>
        <v>47950</v>
      </c>
      <c r="T44" s="156">
        <f>('Table 2 StormwaterGroundwater'!Y53*3.78541)*S44</f>
        <v>632976.75990993681</v>
      </c>
      <c r="U44" s="156">
        <f t="shared" si="10"/>
        <v>199667</v>
      </c>
      <c r="V44" s="156">
        <f>('Table 2 StormwaterGroundwater'!AA53*3.78541)*U44</f>
        <v>4998177.1296582036</v>
      </c>
      <c r="W44" s="156">
        <f t="shared" si="11"/>
        <v>199667</v>
      </c>
      <c r="X44" s="156">
        <f>('Table 2 StormwaterGroundwater'!AC53*3.78541)*W44</f>
        <v>6140338.7003027536</v>
      </c>
      <c r="Y44" s="156">
        <f t="shared" si="12"/>
        <v>199667</v>
      </c>
      <c r="Z44" s="156">
        <f>('Table 2 StormwaterGroundwater'!AE53*3.78541)*Y44</f>
        <v>7721793.1827336689</v>
      </c>
      <c r="AA44" s="156">
        <f>'Table 7 WTP Sulfate Balance'!G46</f>
        <v>7544.782608695652</v>
      </c>
      <c r="AB44" s="156">
        <f>AA44*'Table 6 WTP Flow Balance'!H44</f>
        <v>954415</v>
      </c>
      <c r="AC44" s="156">
        <f>(D44+F44+H44+J44+L44+N44+P44+R44+T44+V44+X44+Z44+AB44)/(('Table 5 Flows to Evap &amp; WTP'!F50+'Table 6 WTP Flow Balance'!H44)*3.78541)</f>
        <v>43414.193966343242</v>
      </c>
      <c r="AD44" s="156">
        <f>(AC44/(453592*2000))*(('Table 5 Flows to Evap &amp; WTP'!F50+'Table 6 WTP Flow Balance'!H44)*365*1440*3.785)</f>
        <v>12565.083237274017</v>
      </c>
      <c r="AE44" s="140">
        <f t="shared" si="13"/>
        <v>24175.244323759533</v>
      </c>
    </row>
    <row r="45" spans="2:31" ht="14.25" x14ac:dyDescent="0.2">
      <c r="B45" s="345">
        <f t="shared" si="14"/>
        <v>46</v>
      </c>
      <c r="C45" s="156">
        <f t="shared" si="1"/>
        <v>2400</v>
      </c>
      <c r="D45" s="156">
        <f>('Table 2 StormwaterGroundwater'!K54*3.78541)*C45</f>
        <v>0</v>
      </c>
      <c r="E45" s="156">
        <f t="shared" si="2"/>
        <v>2400</v>
      </c>
      <c r="F45" s="156">
        <f>('Table 2 StormwaterGroundwater'!M54*3.78541)*E45</f>
        <v>0</v>
      </c>
      <c r="G45" s="156">
        <f t="shared" si="3"/>
        <v>2400</v>
      </c>
      <c r="H45" s="156">
        <f>('Table 2 StormwaterGroundwater'!O54*3.78541)*G45</f>
        <v>0</v>
      </c>
      <c r="I45" s="156">
        <f t="shared" si="15"/>
        <v>2402</v>
      </c>
      <c r="J45" s="156">
        <f>('Table 2 StormwaterGroundwater'!G49*3.78541)*I45</f>
        <v>163665.98676000003</v>
      </c>
      <c r="K45" s="156">
        <f t="shared" si="16"/>
        <v>1492.5</v>
      </c>
      <c r="L45" s="156">
        <f>K45*('Table 2 StormwaterGroundwater'!H49*3.78541)</f>
        <v>48870.116276250003</v>
      </c>
      <c r="M45" s="156">
        <f t="shared" si="6"/>
        <v>47950</v>
      </c>
      <c r="N45" s="156">
        <f>('Table 2 StormwaterGroundwater'!Q54*3.78541)*M45</f>
        <v>609533.17620956874</v>
      </c>
      <c r="O45" s="156">
        <f t="shared" si="7"/>
        <v>47950</v>
      </c>
      <c r="P45" s="156">
        <f>('Table 2 StormwaterGroundwater'!U54*3.78541)*O45</f>
        <v>232794.78614465453</v>
      </c>
      <c r="Q45" s="156">
        <f t="shared" si="8"/>
        <v>47950</v>
      </c>
      <c r="R45" s="156">
        <f>('Table 2 StormwaterGroundwater'!W54*3.78541)*Q45</f>
        <v>187079.7979289369</v>
      </c>
      <c r="S45" s="156">
        <f t="shared" si="9"/>
        <v>47950</v>
      </c>
      <c r="T45" s="156">
        <f>('Table 2 StormwaterGroundwater'!Y54*3.78541)*S45</f>
        <v>632976.75990993681</v>
      </c>
      <c r="U45" s="156">
        <f t="shared" si="10"/>
        <v>199667</v>
      </c>
      <c r="V45" s="156">
        <f>('Table 2 StormwaterGroundwater'!AA54*3.78541)*U45</f>
        <v>4998177.1296582036</v>
      </c>
      <c r="W45" s="156">
        <f t="shared" si="11"/>
        <v>199667</v>
      </c>
      <c r="X45" s="156">
        <f>('Table 2 StormwaterGroundwater'!AC54*3.78541)*W45</f>
        <v>6140338.7003027536</v>
      </c>
      <c r="Y45" s="156">
        <f t="shared" si="12"/>
        <v>199667</v>
      </c>
      <c r="Z45" s="156">
        <f>('Table 2 StormwaterGroundwater'!AE54*3.78541)*Y45</f>
        <v>7721793.1827336689</v>
      </c>
      <c r="AA45" s="156">
        <f>'Table 7 WTP Sulfate Balance'!G47</f>
        <v>7545.0474683544298</v>
      </c>
      <c r="AB45" s="156">
        <f>AA45*'Table 6 WTP Flow Balance'!H45</f>
        <v>953694</v>
      </c>
      <c r="AC45" s="156">
        <f>(D45+F45+H45+J45+L45+N45+P45+R45+T45+V45+X45+Z45+AB45)/(('Table 5 Flows to Evap &amp; WTP'!F51+'Table 6 WTP Flow Balance'!H45)*3.78541)</f>
        <v>43446.336987438837</v>
      </c>
      <c r="AD45" s="156">
        <f>(AC45/(453592*2000))*(('Table 5 Flows to Evap &amp; WTP'!F51+'Table 6 WTP Flow Balance'!H45)*365*1440*3.785)</f>
        <v>12564.665552928973</v>
      </c>
      <c r="AE45" s="140">
        <f t="shared" si="13"/>
        <v>24174.440698276041</v>
      </c>
    </row>
    <row r="46" spans="2:31" ht="14.25" x14ac:dyDescent="0.2">
      <c r="B46" s="345">
        <f t="shared" si="14"/>
        <v>47</v>
      </c>
      <c r="C46" s="156">
        <f t="shared" si="1"/>
        <v>2400</v>
      </c>
      <c r="D46" s="156">
        <f>('Table 2 StormwaterGroundwater'!K55*3.78541)*C46</f>
        <v>0</v>
      </c>
      <c r="E46" s="156">
        <f t="shared" si="2"/>
        <v>2400</v>
      </c>
      <c r="F46" s="156">
        <f>('Table 2 StormwaterGroundwater'!M55*3.78541)*E46</f>
        <v>0</v>
      </c>
      <c r="G46" s="156">
        <f t="shared" si="3"/>
        <v>2400</v>
      </c>
      <c r="H46" s="156">
        <f>('Table 2 StormwaterGroundwater'!O55*3.78541)*G46</f>
        <v>0</v>
      </c>
      <c r="I46" s="156">
        <f t="shared" si="15"/>
        <v>2402</v>
      </c>
      <c r="J46" s="156">
        <f>('Table 2 StormwaterGroundwater'!G50*3.78541)*I46</f>
        <v>163665.98676000003</v>
      </c>
      <c r="K46" s="156">
        <f t="shared" si="16"/>
        <v>1492.5</v>
      </c>
      <c r="L46" s="156">
        <f>K46*('Table 2 StormwaterGroundwater'!H50*3.78541)</f>
        <v>48870.116276250003</v>
      </c>
      <c r="M46" s="156">
        <f t="shared" si="6"/>
        <v>47950</v>
      </c>
      <c r="N46" s="156">
        <f>('Table 2 StormwaterGroundwater'!Q55*3.78541)*M46</f>
        <v>609533.17620956874</v>
      </c>
      <c r="O46" s="156">
        <f t="shared" si="7"/>
        <v>47950</v>
      </c>
      <c r="P46" s="156">
        <f>('Table 2 StormwaterGroundwater'!U55*3.78541)*O46</f>
        <v>232794.78614465453</v>
      </c>
      <c r="Q46" s="156">
        <f t="shared" si="8"/>
        <v>47950</v>
      </c>
      <c r="R46" s="156">
        <f>('Table 2 StormwaterGroundwater'!W55*3.78541)*Q46</f>
        <v>187079.7979289369</v>
      </c>
      <c r="S46" s="156">
        <f t="shared" si="9"/>
        <v>47950</v>
      </c>
      <c r="T46" s="156">
        <f>('Table 2 StormwaterGroundwater'!Y55*3.78541)*S46</f>
        <v>632976.75990993681</v>
      </c>
      <c r="U46" s="156">
        <f t="shared" si="10"/>
        <v>199667</v>
      </c>
      <c r="V46" s="156">
        <f>('Table 2 StormwaterGroundwater'!AA55*3.78541)*U46</f>
        <v>4998177.1296582036</v>
      </c>
      <c r="W46" s="156">
        <f t="shared" si="11"/>
        <v>199667</v>
      </c>
      <c r="X46" s="156">
        <f>('Table 2 StormwaterGroundwater'!AC55*3.78541)*W46</f>
        <v>6140338.7003027536</v>
      </c>
      <c r="Y46" s="156">
        <f t="shared" si="12"/>
        <v>199667</v>
      </c>
      <c r="Z46" s="156">
        <f>('Table 2 StormwaterGroundwater'!AE55*3.78541)*Y46</f>
        <v>7721793.1827336689</v>
      </c>
      <c r="AA46" s="156">
        <f>'Table 7 WTP Sulfate Balance'!G48</f>
        <v>7545.3127474267612</v>
      </c>
      <c r="AB46" s="156">
        <f>AA46*'Table 6 WTP Flow Balance'!H46</f>
        <v>952973</v>
      </c>
      <c r="AC46" s="156">
        <f>(D46+F46+H46+J46+L46+N46+P46+R46+T46+V46+X46+Z46+AB46)/(('Table 5 Flows to Evap &amp; WTP'!F52+'Table 6 WTP Flow Balance'!H46)*3.78541)</f>
        <v>43478.529781799843</v>
      </c>
      <c r="AD46" s="156">
        <f>(AC46/(453592*2000))*(('Table 5 Flows to Evap &amp; WTP'!F52+'Table 6 WTP Flow Balance'!H46)*365*1440*3.785)</f>
        <v>12564.247868583923</v>
      </c>
      <c r="AE46" s="140">
        <f t="shared" si="13"/>
        <v>24173.637072792539</v>
      </c>
    </row>
    <row r="47" spans="2:31" ht="14.25" x14ac:dyDescent="0.2">
      <c r="B47" s="345">
        <f t="shared" si="14"/>
        <v>48</v>
      </c>
      <c r="C47" s="156">
        <f t="shared" si="1"/>
        <v>2400</v>
      </c>
      <c r="D47" s="156">
        <f>('Table 2 StormwaterGroundwater'!K56*3.78541)*C47</f>
        <v>0</v>
      </c>
      <c r="E47" s="156">
        <f t="shared" si="2"/>
        <v>2400</v>
      </c>
      <c r="F47" s="156">
        <f>('Table 2 StormwaterGroundwater'!M56*3.78541)*E47</f>
        <v>0</v>
      </c>
      <c r="G47" s="156">
        <f t="shared" si="3"/>
        <v>2400</v>
      </c>
      <c r="H47" s="156">
        <f>('Table 2 StormwaterGroundwater'!O56*3.78541)*G47</f>
        <v>0</v>
      </c>
      <c r="I47" s="156">
        <f t="shared" si="15"/>
        <v>2402</v>
      </c>
      <c r="J47" s="156">
        <f>('Table 2 StormwaterGroundwater'!G51*3.78541)*I47</f>
        <v>163665.98676000003</v>
      </c>
      <c r="K47" s="156">
        <f t="shared" si="16"/>
        <v>1492.5</v>
      </c>
      <c r="L47" s="156">
        <f>K47*('Table 2 StormwaterGroundwater'!H51*3.78541)</f>
        <v>48870.116276250003</v>
      </c>
      <c r="M47" s="156">
        <f t="shared" si="6"/>
        <v>47950</v>
      </c>
      <c r="N47" s="156">
        <f>('Table 2 StormwaterGroundwater'!Q56*3.78541)*M47</f>
        <v>609533.17620956874</v>
      </c>
      <c r="O47" s="156">
        <f t="shared" si="7"/>
        <v>47950</v>
      </c>
      <c r="P47" s="156">
        <f>('Table 2 StormwaterGroundwater'!U56*3.78541)*O47</f>
        <v>232794.78614465453</v>
      </c>
      <c r="Q47" s="156">
        <f t="shared" si="8"/>
        <v>47950</v>
      </c>
      <c r="R47" s="156">
        <f>('Table 2 StormwaterGroundwater'!W56*3.78541)*Q47</f>
        <v>187079.7979289369</v>
      </c>
      <c r="S47" s="156">
        <f t="shared" si="9"/>
        <v>47950</v>
      </c>
      <c r="T47" s="156">
        <f>('Table 2 StormwaterGroundwater'!Y56*3.78541)*S47</f>
        <v>632976.75990993681</v>
      </c>
      <c r="U47" s="156">
        <f t="shared" si="10"/>
        <v>199667</v>
      </c>
      <c r="V47" s="156">
        <f>('Table 2 StormwaterGroundwater'!AA56*3.78541)*U47</f>
        <v>4998177.1296582036</v>
      </c>
      <c r="W47" s="156">
        <f t="shared" si="11"/>
        <v>199667</v>
      </c>
      <c r="X47" s="156">
        <f>('Table 2 StormwaterGroundwater'!AC56*3.78541)*W47</f>
        <v>6140338.7003027536</v>
      </c>
      <c r="Y47" s="156">
        <f t="shared" si="12"/>
        <v>199667</v>
      </c>
      <c r="Z47" s="156">
        <f>('Table 2 StormwaterGroundwater'!AE56*3.78541)*Y47</f>
        <v>7721793.1827336689</v>
      </c>
      <c r="AA47" s="156">
        <f>'Table 7 WTP Sulfate Balance'!G49</f>
        <v>7545.578446909667</v>
      </c>
      <c r="AB47" s="156">
        <f>AA47*'Table 6 WTP Flow Balance'!H47</f>
        <v>952252</v>
      </c>
      <c r="AC47" s="156">
        <f>(D47+F47+H47+J47+L47+N47+P47+R47+T47+V47+X47+Z47+AB47)/(('Table 5 Flows to Evap &amp; WTP'!F53+'Table 6 WTP Flow Balance'!H47)*3.78541)</f>
        <v>43510.772465126196</v>
      </c>
      <c r="AD47" s="156">
        <f>(AC47/(453592*2000))*(('Table 5 Flows to Evap &amp; WTP'!F53+'Table 6 WTP Flow Balance'!H47)*365*1440*3.785)</f>
        <v>12563.830184238876</v>
      </c>
      <c r="AE47" s="140">
        <f t="shared" si="13"/>
        <v>24172.833447309044</v>
      </c>
    </row>
    <row r="48" spans="2:31" ht="14.25" x14ac:dyDescent="0.2">
      <c r="B48" s="345">
        <f t="shared" si="14"/>
        <v>49</v>
      </c>
      <c r="C48" s="156">
        <f t="shared" si="1"/>
        <v>2400</v>
      </c>
      <c r="D48" s="156">
        <f>('Table 2 StormwaterGroundwater'!K57*3.78541)*C48</f>
        <v>0</v>
      </c>
      <c r="E48" s="156">
        <f t="shared" si="2"/>
        <v>2400</v>
      </c>
      <c r="F48" s="156">
        <f>('Table 2 StormwaterGroundwater'!M57*3.78541)*E48</f>
        <v>0</v>
      </c>
      <c r="G48" s="156">
        <f t="shared" si="3"/>
        <v>2400</v>
      </c>
      <c r="H48" s="156">
        <f>('Table 2 StormwaterGroundwater'!O57*3.78541)*G48</f>
        <v>0</v>
      </c>
      <c r="I48" s="156">
        <f t="shared" si="15"/>
        <v>2402</v>
      </c>
      <c r="J48" s="156">
        <f>('Table 2 StormwaterGroundwater'!G52*3.78541)*I48</f>
        <v>163665.98676000003</v>
      </c>
      <c r="K48" s="156">
        <f t="shared" si="16"/>
        <v>1492.5</v>
      </c>
      <c r="L48" s="156">
        <f>K48*('Table 2 StormwaterGroundwater'!H52*3.78541)</f>
        <v>48870.116276250003</v>
      </c>
      <c r="M48" s="156">
        <f t="shared" si="6"/>
        <v>47950</v>
      </c>
      <c r="N48" s="156">
        <f>('Table 2 StormwaterGroundwater'!Q57*3.78541)*M48</f>
        <v>609533.17620956874</v>
      </c>
      <c r="O48" s="156">
        <f t="shared" si="7"/>
        <v>47950</v>
      </c>
      <c r="P48" s="156">
        <f>('Table 2 StormwaterGroundwater'!U57*3.78541)*O48</f>
        <v>232794.78614465453</v>
      </c>
      <c r="Q48" s="156">
        <f t="shared" si="8"/>
        <v>47950</v>
      </c>
      <c r="R48" s="156">
        <f>('Table 2 StormwaterGroundwater'!W57*3.78541)*Q48</f>
        <v>187079.7979289369</v>
      </c>
      <c r="S48" s="156">
        <f t="shared" si="9"/>
        <v>47950</v>
      </c>
      <c r="T48" s="156">
        <f>('Table 2 StormwaterGroundwater'!Y57*3.78541)*S48</f>
        <v>632976.75990993681</v>
      </c>
      <c r="U48" s="156">
        <f t="shared" si="10"/>
        <v>199667</v>
      </c>
      <c r="V48" s="156">
        <f>('Table 2 StormwaterGroundwater'!AA57*3.78541)*U48</f>
        <v>4998177.1296582036</v>
      </c>
      <c r="W48" s="156">
        <f t="shared" si="11"/>
        <v>199667</v>
      </c>
      <c r="X48" s="156">
        <f>('Table 2 StormwaterGroundwater'!AC57*3.78541)*W48</f>
        <v>6140338.7003027536</v>
      </c>
      <c r="Y48" s="156">
        <f t="shared" si="12"/>
        <v>199667</v>
      </c>
      <c r="Z48" s="156">
        <f>('Table 2 StormwaterGroundwater'!AE57*3.78541)*Y48</f>
        <v>7721793.1827336689</v>
      </c>
      <c r="AA48" s="156">
        <f>'Table 7 WTP Sulfate Balance'!G50</f>
        <v>7545.8445678033304</v>
      </c>
      <c r="AB48" s="156">
        <f>AA48*'Table 6 WTP Flow Balance'!H48</f>
        <v>951531</v>
      </c>
      <c r="AC48" s="156">
        <f>(D48+F48+H48+J48+L48+N48+P48+R48+T48+V48+X48+Z48+AB48)/(('Table 5 Flows to Evap &amp; WTP'!F54+'Table 6 WTP Flow Balance'!H48)*3.78541)</f>
        <v>43543.065153476746</v>
      </c>
      <c r="AD48" s="156">
        <f>(AC48/(453592*2000))*(('Table 5 Flows to Evap &amp; WTP'!F54+'Table 6 WTP Flow Balance'!H48)*365*1440*3.785)</f>
        <v>12563.412499893826</v>
      </c>
      <c r="AE48" s="140">
        <f t="shared" si="13"/>
        <v>24172.029821825541</v>
      </c>
    </row>
    <row r="49" spans="2:31" ht="14.25" x14ac:dyDescent="0.2">
      <c r="B49" s="345">
        <f t="shared" si="14"/>
        <v>50</v>
      </c>
      <c r="C49" s="156">
        <f t="shared" si="1"/>
        <v>2400</v>
      </c>
      <c r="D49" s="156">
        <f>('Table 2 StormwaterGroundwater'!K58*3.78541)*C49</f>
        <v>0</v>
      </c>
      <c r="E49" s="156">
        <f t="shared" si="2"/>
        <v>2400</v>
      </c>
      <c r="F49" s="156">
        <f>('Table 2 StormwaterGroundwater'!M58*3.78541)*E49</f>
        <v>0</v>
      </c>
      <c r="G49" s="156">
        <f t="shared" si="3"/>
        <v>2400</v>
      </c>
      <c r="H49" s="156">
        <f>('Table 2 StormwaterGroundwater'!O58*3.78541)*G49</f>
        <v>0</v>
      </c>
      <c r="I49" s="156">
        <f t="shared" si="15"/>
        <v>2402</v>
      </c>
      <c r="J49" s="156">
        <f>('Table 2 StormwaterGroundwater'!G53*3.78541)*I49</f>
        <v>163665.98676000003</v>
      </c>
      <c r="K49" s="156">
        <f t="shared" si="16"/>
        <v>1492.5</v>
      </c>
      <c r="L49" s="156">
        <f>K49*('Table 2 StormwaterGroundwater'!H53*3.78541)</f>
        <v>48870.116276250003</v>
      </c>
      <c r="M49" s="156">
        <f t="shared" si="6"/>
        <v>47950</v>
      </c>
      <c r="N49" s="156">
        <f>('Table 2 StormwaterGroundwater'!Q58*3.78541)*M49</f>
        <v>609533.17620956874</v>
      </c>
      <c r="O49" s="156">
        <f t="shared" si="7"/>
        <v>47950</v>
      </c>
      <c r="P49" s="156">
        <f>('Table 2 StormwaterGroundwater'!U58*3.78541)*O49</f>
        <v>232794.78614465453</v>
      </c>
      <c r="Q49" s="156">
        <f t="shared" si="8"/>
        <v>47950</v>
      </c>
      <c r="R49" s="156">
        <f>('Table 2 StormwaterGroundwater'!W58*3.78541)*Q49</f>
        <v>187079.7979289369</v>
      </c>
      <c r="S49" s="156">
        <f t="shared" si="9"/>
        <v>47950</v>
      </c>
      <c r="T49" s="156">
        <f>('Table 2 StormwaterGroundwater'!Y58*3.78541)*S49</f>
        <v>632976.75990993681</v>
      </c>
      <c r="U49" s="156">
        <f t="shared" si="10"/>
        <v>199667</v>
      </c>
      <c r="V49" s="156">
        <f>('Table 2 StormwaterGroundwater'!AA58*3.78541)*U49</f>
        <v>4998177.1296582036</v>
      </c>
      <c r="W49" s="156">
        <f t="shared" si="11"/>
        <v>199667</v>
      </c>
      <c r="X49" s="156">
        <f>('Table 2 StormwaterGroundwater'!AC58*3.78541)*W49</f>
        <v>6140338.7003027536</v>
      </c>
      <c r="Y49" s="156">
        <f t="shared" si="12"/>
        <v>199667</v>
      </c>
      <c r="Z49" s="156">
        <f>('Table 2 StormwaterGroundwater'!AE58*3.78541)*Y49</f>
        <v>7721793.1827336689</v>
      </c>
      <c r="AA49" s="156">
        <f>'Table 7 WTP Sulfate Balance'!G51</f>
        <v>7546.1111111111113</v>
      </c>
      <c r="AB49" s="156">
        <f>AA49*'Table 6 WTP Flow Balance'!H49</f>
        <v>950810</v>
      </c>
      <c r="AC49" s="156">
        <f>(D49+F49+H49+J49+L49+N49+P49+R49+T49+V49+X49+Z49+AB49)/(('Table 5 Flows to Evap &amp; WTP'!F55+'Table 6 WTP Flow Balance'!H49)*3.78541)</f>
        <v>43575.40796327062</v>
      </c>
      <c r="AD49" s="156">
        <f>(AC49/(453592*2000))*(('Table 5 Flows to Evap &amp; WTP'!F55+'Table 6 WTP Flow Balance'!H49)*365*1440*3.785)</f>
        <v>12562.99481554878</v>
      </c>
      <c r="AE49" s="140">
        <f t="shared" si="13"/>
        <v>24171.22619634205</v>
      </c>
    </row>
    <row r="50" spans="2:31" ht="14.25" x14ac:dyDescent="0.2">
      <c r="B50" s="345">
        <f t="shared" si="14"/>
        <v>51</v>
      </c>
      <c r="C50" s="156">
        <f t="shared" si="1"/>
        <v>2400</v>
      </c>
      <c r="D50" s="156">
        <f>('Table 2 StormwaterGroundwater'!K59*3.78541)*C50</f>
        <v>0</v>
      </c>
      <c r="E50" s="156">
        <f t="shared" si="2"/>
        <v>2400</v>
      </c>
      <c r="F50" s="156">
        <f>('Table 2 StormwaterGroundwater'!M59*3.78541)*E50</f>
        <v>0</v>
      </c>
      <c r="G50" s="156">
        <f t="shared" si="3"/>
        <v>2400</v>
      </c>
      <c r="H50" s="156">
        <f>('Table 2 StormwaterGroundwater'!O59*3.78541)*G50</f>
        <v>0</v>
      </c>
      <c r="I50" s="156">
        <f t="shared" si="15"/>
        <v>2402</v>
      </c>
      <c r="J50" s="156">
        <f>('Table 2 StormwaterGroundwater'!G54*3.78541)*I50</f>
        <v>163665.98676000003</v>
      </c>
      <c r="K50" s="156">
        <f t="shared" si="16"/>
        <v>1492.5</v>
      </c>
      <c r="L50" s="156">
        <f>K50*('Table 2 StormwaterGroundwater'!H54*3.78541)</f>
        <v>48870.116276250003</v>
      </c>
      <c r="M50" s="156">
        <f t="shared" si="6"/>
        <v>47950</v>
      </c>
      <c r="N50" s="156">
        <f>('Table 2 StormwaterGroundwater'!Q59*3.78541)*M50</f>
        <v>609533.17620956874</v>
      </c>
      <c r="O50" s="156">
        <f t="shared" si="7"/>
        <v>47950</v>
      </c>
      <c r="P50" s="156">
        <f>('Table 2 StormwaterGroundwater'!U59*3.78541)*O50</f>
        <v>232794.78614465453</v>
      </c>
      <c r="Q50" s="156">
        <f t="shared" si="8"/>
        <v>47950</v>
      </c>
      <c r="R50" s="156">
        <f>('Table 2 StormwaterGroundwater'!W59*3.78541)*Q50</f>
        <v>187079.7979289369</v>
      </c>
      <c r="S50" s="156">
        <f t="shared" si="9"/>
        <v>47950</v>
      </c>
      <c r="T50" s="156">
        <f>('Table 2 StormwaterGroundwater'!Y59*3.78541)*S50</f>
        <v>632976.75990993681</v>
      </c>
      <c r="U50" s="156">
        <f t="shared" si="10"/>
        <v>199667</v>
      </c>
      <c r="V50" s="156">
        <f>('Table 2 StormwaterGroundwater'!AA59*3.78541)*U50</f>
        <v>4998177.1296582036</v>
      </c>
      <c r="W50" s="156">
        <f t="shared" si="11"/>
        <v>199667</v>
      </c>
      <c r="X50" s="156">
        <f>('Table 2 StormwaterGroundwater'!AC59*3.78541)*W50</f>
        <v>6140338.7003027536</v>
      </c>
      <c r="Y50" s="156">
        <f t="shared" si="12"/>
        <v>199667</v>
      </c>
      <c r="Z50" s="156">
        <f>('Table 2 StormwaterGroundwater'!AE59*3.78541)*Y50</f>
        <v>7721793.1827336689</v>
      </c>
      <c r="AA50" s="156">
        <f>'Table 7 WTP Sulfate Balance'!G52</f>
        <v>7546.3780778395549</v>
      </c>
      <c r="AB50" s="156">
        <f>AA50*'Table 6 WTP Flow Balance'!H50</f>
        <v>950089</v>
      </c>
      <c r="AC50" s="156">
        <f>(D50+F50+H50+J50+L50+N50+P50+R50+T50+V50+X50+Z50+AB50)/(('Table 5 Flows to Evap &amp; WTP'!F56+'Table 6 WTP Flow Balance'!H50)*3.78541)</f>
        <v>43607.80101128856</v>
      </c>
      <c r="AD50" s="156">
        <f>(AC50/(453592*2000))*(('Table 5 Flows to Evap &amp; WTP'!F56+'Table 6 WTP Flow Balance'!H50)*365*1440*3.785)</f>
        <v>12562.577131203734</v>
      </c>
      <c r="AE50" s="140">
        <f t="shared" si="13"/>
        <v>24170.422570858555</v>
      </c>
    </row>
    <row r="51" spans="2:31" ht="14.25" x14ac:dyDescent="0.2">
      <c r="B51" s="345">
        <f t="shared" si="14"/>
        <v>52</v>
      </c>
      <c r="C51" s="156">
        <f t="shared" si="1"/>
        <v>2400</v>
      </c>
      <c r="D51" s="156">
        <f>('Table 2 StormwaterGroundwater'!K60*3.78541)*C51</f>
        <v>0</v>
      </c>
      <c r="E51" s="156">
        <f t="shared" si="2"/>
        <v>2400</v>
      </c>
      <c r="F51" s="156">
        <f>('Table 2 StormwaterGroundwater'!M60*3.78541)*E51</f>
        <v>0</v>
      </c>
      <c r="G51" s="156">
        <f t="shared" si="3"/>
        <v>2400</v>
      </c>
      <c r="H51" s="156">
        <f>('Table 2 StormwaterGroundwater'!O60*3.78541)*G51</f>
        <v>0</v>
      </c>
      <c r="I51" s="156">
        <f t="shared" si="15"/>
        <v>2402</v>
      </c>
      <c r="J51" s="156">
        <f>('Table 2 StormwaterGroundwater'!G55*3.78541)*I51</f>
        <v>163665.98676000003</v>
      </c>
      <c r="K51" s="156">
        <f t="shared" si="16"/>
        <v>1492.5</v>
      </c>
      <c r="L51" s="156">
        <f>K51*('Table 2 StormwaterGroundwater'!H55*3.78541)</f>
        <v>48870.116276250003</v>
      </c>
      <c r="M51" s="156">
        <f t="shared" si="6"/>
        <v>47950</v>
      </c>
      <c r="N51" s="156">
        <f>('Table 2 StormwaterGroundwater'!Q60*3.78541)*M51</f>
        <v>609533.17620956874</v>
      </c>
      <c r="O51" s="156">
        <f t="shared" si="7"/>
        <v>47950</v>
      </c>
      <c r="P51" s="156">
        <f>('Table 2 StormwaterGroundwater'!U60*3.78541)*O51</f>
        <v>232794.78614465453</v>
      </c>
      <c r="Q51" s="156">
        <f t="shared" si="8"/>
        <v>47950</v>
      </c>
      <c r="R51" s="156">
        <f>('Table 2 StormwaterGroundwater'!W60*3.78541)*Q51</f>
        <v>187079.7979289369</v>
      </c>
      <c r="S51" s="156">
        <f t="shared" si="9"/>
        <v>47950</v>
      </c>
      <c r="T51" s="156">
        <f>('Table 2 StormwaterGroundwater'!Y60*3.78541)*S51</f>
        <v>632976.75990993681</v>
      </c>
      <c r="U51" s="156">
        <f t="shared" si="10"/>
        <v>199667</v>
      </c>
      <c r="V51" s="156">
        <f>('Table 2 StormwaterGroundwater'!AA60*3.78541)*U51</f>
        <v>4998177.1296582036</v>
      </c>
      <c r="W51" s="156">
        <f t="shared" si="11"/>
        <v>199667</v>
      </c>
      <c r="X51" s="156">
        <f>('Table 2 StormwaterGroundwater'!AC60*3.78541)*W51</f>
        <v>6140338.7003027536</v>
      </c>
      <c r="Y51" s="156">
        <f t="shared" si="12"/>
        <v>199667</v>
      </c>
      <c r="Z51" s="156">
        <f>('Table 2 StormwaterGroundwater'!AE60*3.78541)*Y51</f>
        <v>7721793.1827336689</v>
      </c>
      <c r="AA51" s="156">
        <f>'Table 7 WTP Sulfate Balance'!G53</f>
        <v>7546.6454689984103</v>
      </c>
      <c r="AB51" s="156">
        <f>AA51*'Table 6 WTP Flow Balance'!H51</f>
        <v>949368.00000000012</v>
      </c>
      <c r="AC51" s="156">
        <f>(D51+F51+H51+J51+L51+N51+P51+R51+T51+V51+X51+Z51+AB51)/(('Table 5 Flows to Evap &amp; WTP'!F57+'Table 6 WTP Flow Balance'!H51)*3.78541)</f>
        <v>43640.244414674431</v>
      </c>
      <c r="AD51" s="156">
        <f>(AC51/(453592*2000))*(('Table 5 Flows to Evap &amp; WTP'!F57+'Table 6 WTP Flow Balance'!H51)*365*1440*3.785)</f>
        <v>12562.159446858683</v>
      </c>
      <c r="AE51" s="140">
        <f t="shared" si="13"/>
        <v>24169.618945375056</v>
      </c>
    </row>
    <row r="52" spans="2:31" ht="14.25" x14ac:dyDescent="0.2">
      <c r="B52" s="345">
        <f t="shared" si="14"/>
        <v>53</v>
      </c>
      <c r="C52" s="156">
        <f t="shared" si="1"/>
        <v>2400</v>
      </c>
      <c r="D52" s="156">
        <f>('Table 2 StormwaterGroundwater'!K61*3.78541)*C52</f>
        <v>0</v>
      </c>
      <c r="E52" s="156">
        <f t="shared" si="2"/>
        <v>2400</v>
      </c>
      <c r="F52" s="156">
        <f>('Table 2 StormwaterGroundwater'!M61*3.78541)*E52</f>
        <v>0</v>
      </c>
      <c r="G52" s="156">
        <f t="shared" si="3"/>
        <v>2400</v>
      </c>
      <c r="H52" s="156">
        <f>('Table 2 StormwaterGroundwater'!O61*3.78541)*G52</f>
        <v>0</v>
      </c>
      <c r="I52" s="156">
        <f t="shared" si="15"/>
        <v>2402</v>
      </c>
      <c r="J52" s="156">
        <f>('Table 2 StormwaterGroundwater'!G56*3.78541)*I52</f>
        <v>163665.98676000003</v>
      </c>
      <c r="K52" s="156">
        <f t="shared" si="16"/>
        <v>1492.5</v>
      </c>
      <c r="L52" s="156">
        <f>K52*('Table 2 StormwaterGroundwater'!H56*3.78541)</f>
        <v>48870.116276250003</v>
      </c>
      <c r="M52" s="156">
        <f t="shared" si="6"/>
        <v>47950</v>
      </c>
      <c r="N52" s="156">
        <f>('Table 2 StormwaterGroundwater'!Q61*3.78541)*M52</f>
        <v>609533.17620956874</v>
      </c>
      <c r="O52" s="156">
        <f t="shared" si="7"/>
        <v>47950</v>
      </c>
      <c r="P52" s="156">
        <f>('Table 2 StormwaterGroundwater'!U61*3.78541)*O52</f>
        <v>232794.78614465453</v>
      </c>
      <c r="Q52" s="156">
        <f t="shared" si="8"/>
        <v>47950</v>
      </c>
      <c r="R52" s="156">
        <f>('Table 2 StormwaterGroundwater'!W61*3.78541)*Q52</f>
        <v>187079.7979289369</v>
      </c>
      <c r="S52" s="156">
        <f t="shared" si="9"/>
        <v>47950</v>
      </c>
      <c r="T52" s="156">
        <f>('Table 2 StormwaterGroundwater'!Y61*3.78541)*S52</f>
        <v>632976.75990993681</v>
      </c>
      <c r="U52" s="156">
        <f t="shared" si="10"/>
        <v>199667</v>
      </c>
      <c r="V52" s="156">
        <f>('Table 2 StormwaterGroundwater'!AA61*3.78541)*U52</f>
        <v>4998177.1296582036</v>
      </c>
      <c r="W52" s="156">
        <f t="shared" si="11"/>
        <v>199667</v>
      </c>
      <c r="X52" s="156">
        <f>('Table 2 StormwaterGroundwater'!AC61*3.78541)*W52</f>
        <v>6140338.7003027536</v>
      </c>
      <c r="Y52" s="156">
        <f t="shared" si="12"/>
        <v>199667</v>
      </c>
      <c r="Z52" s="156">
        <f>('Table 2 StormwaterGroundwater'!AE61*3.78541)*Y52</f>
        <v>7721793.1827336689</v>
      </c>
      <c r="AA52" s="156">
        <f>'Table 7 WTP Sulfate Balance'!G54</f>
        <v>7547.1815286624196</v>
      </c>
      <c r="AB52" s="156">
        <f>AA52*'Table 6 WTP Flow Balance'!H52</f>
        <v>947926</v>
      </c>
      <c r="AC52" s="156">
        <f>(D52+F52+H52+J52+L52+N52+P52+R52+T52+V52+X52+Z52+AB52)/(('Table 5 Flows to Evap &amp; WTP'!F58+'Table 6 WTP Flow Balance'!H52)*3.78541)</f>
        <v>43705.282757949244</v>
      </c>
      <c r="AD52" s="156">
        <f>(AC52/(453592*2000))*(('Table 5 Flows to Evap &amp; WTP'!F58+'Table 6 WTP Flow Balance'!H52)*365*1440*3.785)</f>
        <v>12561.324078168591</v>
      </c>
      <c r="AE52" s="140">
        <f t="shared" si="13"/>
        <v>24168.011694408066</v>
      </c>
    </row>
    <row r="53" spans="2:31" ht="14.25" x14ac:dyDescent="0.2">
      <c r="B53" s="345">
        <f t="shared" si="14"/>
        <v>54</v>
      </c>
      <c r="C53" s="156">
        <f t="shared" si="1"/>
        <v>2400</v>
      </c>
      <c r="D53" s="156">
        <f>('Table 2 StormwaterGroundwater'!K62*3.78541)*C53</f>
        <v>0</v>
      </c>
      <c r="E53" s="156">
        <f t="shared" si="2"/>
        <v>2400</v>
      </c>
      <c r="F53" s="156">
        <f>('Table 2 StormwaterGroundwater'!M62*3.78541)*E53</f>
        <v>0</v>
      </c>
      <c r="G53" s="156">
        <f t="shared" si="3"/>
        <v>2400</v>
      </c>
      <c r="H53" s="156">
        <f>('Table 2 StormwaterGroundwater'!O62*3.78541)*G53</f>
        <v>0</v>
      </c>
      <c r="I53" s="156">
        <f t="shared" si="15"/>
        <v>2402</v>
      </c>
      <c r="J53" s="156">
        <f>('Table 2 StormwaterGroundwater'!G57*3.78541)*I53</f>
        <v>163665.98676000003</v>
      </c>
      <c r="K53" s="156">
        <f t="shared" si="16"/>
        <v>1492.5</v>
      </c>
      <c r="L53" s="156">
        <f>K53*('Table 2 StormwaterGroundwater'!H57*3.78541)</f>
        <v>48870.116276250003</v>
      </c>
      <c r="M53" s="156">
        <f t="shared" si="6"/>
        <v>47950</v>
      </c>
      <c r="N53" s="156">
        <f>('Table 2 StormwaterGroundwater'!Q62*3.78541)*M53</f>
        <v>609533.17620956874</v>
      </c>
      <c r="O53" s="156">
        <f t="shared" si="7"/>
        <v>47950</v>
      </c>
      <c r="P53" s="156">
        <f>('Table 2 StormwaterGroundwater'!U62*3.78541)*O53</f>
        <v>232794.78614465453</v>
      </c>
      <c r="Q53" s="156">
        <f t="shared" si="8"/>
        <v>47950</v>
      </c>
      <c r="R53" s="156">
        <f>('Table 2 StormwaterGroundwater'!W62*3.78541)*Q53</f>
        <v>187079.7979289369</v>
      </c>
      <c r="S53" s="156">
        <f t="shared" si="9"/>
        <v>47950</v>
      </c>
      <c r="T53" s="156">
        <f>('Table 2 StormwaterGroundwater'!Y62*3.78541)*S53</f>
        <v>632976.75990993681</v>
      </c>
      <c r="U53" s="156">
        <f t="shared" si="10"/>
        <v>199667</v>
      </c>
      <c r="V53" s="156">
        <f>('Table 2 StormwaterGroundwater'!AA62*3.78541)*U53</f>
        <v>4998177.1296582036</v>
      </c>
      <c r="W53" s="156">
        <f t="shared" si="11"/>
        <v>199667</v>
      </c>
      <c r="X53" s="156">
        <f>('Table 2 StormwaterGroundwater'!AC62*3.78541)*W53</f>
        <v>6140338.7003027536</v>
      </c>
      <c r="Y53" s="156">
        <f t="shared" si="12"/>
        <v>199667</v>
      </c>
      <c r="Z53" s="156">
        <f>('Table 2 StormwaterGroundwater'!AE62*3.78541)*Y53</f>
        <v>7721793.1827336689</v>
      </c>
      <c r="AA53" s="156">
        <f>'Table 7 WTP Sulfate Balance'!G55</f>
        <v>7547.4501992031865</v>
      </c>
      <c r="AB53" s="156">
        <f>AA53*'Table 6 WTP Flow Balance'!H53</f>
        <v>947204.99999999988</v>
      </c>
      <c r="AC53" s="156">
        <f>(D53+F53+H53+J53+L53+N53+P53+R53+T53+V53+X53+Z53+AB53)/(('Table 5 Flows to Evap &amp; WTP'!F59+'Table 6 WTP Flow Balance'!H53)*3.78541)</f>
        <v>43737.877933953998</v>
      </c>
      <c r="AD53" s="156">
        <f>(AC53/(453592*2000))*(('Table 5 Flows to Evap &amp; WTP'!F59+'Table 6 WTP Flow Balance'!H53)*365*1440*3.785)</f>
        <v>12560.906393823541</v>
      </c>
      <c r="AE53" s="140">
        <f t="shared" si="13"/>
        <v>24167.208068924563</v>
      </c>
    </row>
    <row r="54" spans="2:31" ht="14.25" x14ac:dyDescent="0.2">
      <c r="B54" s="345">
        <f t="shared" si="14"/>
        <v>55</v>
      </c>
      <c r="C54" s="156">
        <f t="shared" si="1"/>
        <v>2400</v>
      </c>
      <c r="D54" s="156">
        <f>('Table 2 StormwaterGroundwater'!K63*3.78541)*C54</f>
        <v>0</v>
      </c>
      <c r="E54" s="156">
        <f t="shared" si="2"/>
        <v>2400</v>
      </c>
      <c r="F54" s="156">
        <f>('Table 2 StormwaterGroundwater'!M63*3.78541)*E54</f>
        <v>0</v>
      </c>
      <c r="G54" s="156">
        <f t="shared" si="3"/>
        <v>2400</v>
      </c>
      <c r="H54" s="156">
        <f>('Table 2 StormwaterGroundwater'!O63*3.78541)*G54</f>
        <v>0</v>
      </c>
      <c r="I54" s="156">
        <f t="shared" si="15"/>
        <v>2402</v>
      </c>
      <c r="J54" s="156">
        <f>('Table 2 StormwaterGroundwater'!G58*3.78541)*I54</f>
        <v>163665.98676000003</v>
      </c>
      <c r="K54" s="156">
        <f t="shared" si="16"/>
        <v>1492.5</v>
      </c>
      <c r="L54" s="156">
        <f>K54*('Table 2 StormwaterGroundwater'!H58*3.78541)</f>
        <v>48870.116276250003</v>
      </c>
      <c r="M54" s="156">
        <f t="shared" si="6"/>
        <v>47950</v>
      </c>
      <c r="N54" s="156">
        <f>('Table 2 StormwaterGroundwater'!Q63*3.78541)*M54</f>
        <v>609533.17620956874</v>
      </c>
      <c r="O54" s="156">
        <f t="shared" si="7"/>
        <v>47950</v>
      </c>
      <c r="P54" s="156">
        <f>('Table 2 StormwaterGroundwater'!U63*3.78541)*O54</f>
        <v>232794.78614465453</v>
      </c>
      <c r="Q54" s="156">
        <f t="shared" si="8"/>
        <v>47950</v>
      </c>
      <c r="R54" s="156">
        <f>('Table 2 StormwaterGroundwater'!W63*3.78541)*Q54</f>
        <v>187079.7979289369</v>
      </c>
      <c r="S54" s="156">
        <f t="shared" si="9"/>
        <v>47950</v>
      </c>
      <c r="T54" s="156">
        <f>('Table 2 StormwaterGroundwater'!Y63*3.78541)*S54</f>
        <v>632976.75990993681</v>
      </c>
      <c r="U54" s="156">
        <f t="shared" si="10"/>
        <v>199667</v>
      </c>
      <c r="V54" s="156">
        <f>('Table 2 StormwaterGroundwater'!AA63*3.78541)*U54</f>
        <v>4998177.1296582036</v>
      </c>
      <c r="W54" s="156">
        <f t="shared" si="11"/>
        <v>199667</v>
      </c>
      <c r="X54" s="156">
        <f>('Table 2 StormwaterGroundwater'!AC63*3.78541)*W54</f>
        <v>6140338.7003027536</v>
      </c>
      <c r="Y54" s="156">
        <f t="shared" si="12"/>
        <v>199667</v>
      </c>
      <c r="Z54" s="156">
        <f>('Table 2 StormwaterGroundwater'!AE63*3.78541)*Y54</f>
        <v>7721793.1827336689</v>
      </c>
      <c r="AA54" s="156">
        <f>'Table 7 WTP Sulfate Balance'!G56</f>
        <v>7547.7192982456136</v>
      </c>
      <c r="AB54" s="156">
        <f>AA54*'Table 6 WTP Flow Balance'!H54</f>
        <v>946484</v>
      </c>
      <c r="AC54" s="156">
        <f>(D54+F54+H54+J54+L54+N54+P54+R54+T54+V54+X54+Z54+AB54)/(('Table 5 Flows to Evap &amp; WTP'!F60+'Table 6 WTP Flow Balance'!H54)*3.78541)</f>
        <v>43770.523937561164</v>
      </c>
      <c r="AD54" s="156">
        <f>(AC54/(453592*2000))*(('Table 5 Flows to Evap &amp; WTP'!F60+'Table 6 WTP Flow Balance'!H54)*365*1440*3.785)</f>
        <v>12560.488709478494</v>
      </c>
      <c r="AE54" s="140">
        <f t="shared" si="13"/>
        <v>24166.404443441068</v>
      </c>
    </row>
    <row r="55" spans="2:31" ht="14.25" x14ac:dyDescent="0.2">
      <c r="B55" s="345">
        <f t="shared" si="14"/>
        <v>56</v>
      </c>
      <c r="C55" s="156">
        <f t="shared" si="1"/>
        <v>2400</v>
      </c>
      <c r="D55" s="156">
        <f>('Table 2 StormwaterGroundwater'!K64*3.78541)*C55</f>
        <v>0</v>
      </c>
      <c r="E55" s="156">
        <f t="shared" si="2"/>
        <v>2400</v>
      </c>
      <c r="F55" s="156">
        <f>('Table 2 StormwaterGroundwater'!M64*3.78541)*E55</f>
        <v>0</v>
      </c>
      <c r="G55" s="156">
        <f t="shared" si="3"/>
        <v>2400</v>
      </c>
      <c r="H55" s="156">
        <f>('Table 2 StormwaterGroundwater'!O64*3.78541)*G55</f>
        <v>0</v>
      </c>
      <c r="I55" s="156">
        <f t="shared" si="15"/>
        <v>2402</v>
      </c>
      <c r="J55" s="156">
        <f>('Table 2 StormwaterGroundwater'!G59*3.78541)*I55</f>
        <v>163665.98676000003</v>
      </c>
      <c r="K55" s="156">
        <f t="shared" si="16"/>
        <v>1492.5</v>
      </c>
      <c r="L55" s="156">
        <f>K55*('Table 2 StormwaterGroundwater'!H59*3.78541)</f>
        <v>48870.116276250003</v>
      </c>
      <c r="M55" s="156">
        <f t="shared" si="6"/>
        <v>47950</v>
      </c>
      <c r="N55" s="156">
        <f>('Table 2 StormwaterGroundwater'!Q64*3.78541)*M55</f>
        <v>609533.17620956874</v>
      </c>
      <c r="O55" s="156">
        <f t="shared" si="7"/>
        <v>47950</v>
      </c>
      <c r="P55" s="156">
        <f>('Table 2 StormwaterGroundwater'!U64*3.78541)*O55</f>
        <v>232794.78614465453</v>
      </c>
      <c r="Q55" s="156">
        <f t="shared" si="8"/>
        <v>47950</v>
      </c>
      <c r="R55" s="156">
        <f>('Table 2 StormwaterGroundwater'!W64*3.78541)*Q55</f>
        <v>187079.7979289369</v>
      </c>
      <c r="S55" s="156">
        <f t="shared" si="9"/>
        <v>47950</v>
      </c>
      <c r="T55" s="156">
        <f>('Table 2 StormwaterGroundwater'!Y64*3.78541)*S55</f>
        <v>632976.75990993681</v>
      </c>
      <c r="U55" s="156">
        <f t="shared" si="10"/>
        <v>199667</v>
      </c>
      <c r="V55" s="156">
        <f>('Table 2 StormwaterGroundwater'!AA64*3.78541)*U55</f>
        <v>4998177.1296582036</v>
      </c>
      <c r="W55" s="156">
        <f t="shared" si="11"/>
        <v>199667</v>
      </c>
      <c r="X55" s="156">
        <f>('Table 2 StormwaterGroundwater'!AC64*3.78541)*W55</f>
        <v>6140338.7003027536</v>
      </c>
      <c r="Y55" s="156">
        <f t="shared" si="12"/>
        <v>199667</v>
      </c>
      <c r="Z55" s="156">
        <f>('Table 2 StormwaterGroundwater'!AE64*3.78541)*Y55</f>
        <v>7721793.1827336689</v>
      </c>
      <c r="AA55" s="156">
        <f>'Table 7 WTP Sulfate Balance'!G57</f>
        <v>7547.9888268156419</v>
      </c>
      <c r="AB55" s="156">
        <f>AA55*'Table 6 WTP Flow Balance'!H55</f>
        <v>945763</v>
      </c>
      <c r="AC55" s="156">
        <f>(D55+F55+H55+J55+L55+N55+P55+R55+T55+V55+X55+Z55+AB55)/(('Table 5 Flows to Evap &amp; WTP'!F61+'Table 6 WTP Flow Balance'!H55)*3.78541)</f>
        <v>43803.220887751289</v>
      </c>
      <c r="AD55" s="156">
        <f>(AC55/(453592*2000))*(('Table 5 Flows to Evap &amp; WTP'!F61+'Table 6 WTP Flow Balance'!H55)*365*1440*3.785)</f>
        <v>12560.071025133444</v>
      </c>
      <c r="AE55" s="140">
        <f t="shared" si="13"/>
        <v>24165.600817957566</v>
      </c>
    </row>
    <row r="56" spans="2:31" ht="14.25" x14ac:dyDescent="0.2">
      <c r="B56" s="345">
        <f t="shared" si="14"/>
        <v>57</v>
      </c>
      <c r="C56" s="156">
        <f t="shared" si="1"/>
        <v>2400</v>
      </c>
      <c r="D56" s="156">
        <f>('Table 2 StormwaterGroundwater'!K65*3.78541)*C56</f>
        <v>0</v>
      </c>
      <c r="E56" s="156">
        <f t="shared" si="2"/>
        <v>2400</v>
      </c>
      <c r="F56" s="156">
        <f>('Table 2 StormwaterGroundwater'!M65*3.78541)*E56</f>
        <v>0</v>
      </c>
      <c r="G56" s="156">
        <f t="shared" si="3"/>
        <v>2400</v>
      </c>
      <c r="H56" s="156">
        <f>('Table 2 StormwaterGroundwater'!O65*3.78541)*G56</f>
        <v>0</v>
      </c>
      <c r="I56" s="156">
        <f t="shared" si="15"/>
        <v>2402</v>
      </c>
      <c r="J56" s="156">
        <f>('Table 2 StormwaterGroundwater'!G60*3.78541)*I56</f>
        <v>163665.98676000003</v>
      </c>
      <c r="K56" s="156">
        <f t="shared" si="16"/>
        <v>1492.5</v>
      </c>
      <c r="L56" s="156">
        <f>K56*('Table 2 StormwaterGroundwater'!H60*3.78541)</f>
        <v>48870.116276250003</v>
      </c>
      <c r="M56" s="156">
        <f t="shared" si="6"/>
        <v>47950</v>
      </c>
      <c r="N56" s="156">
        <f>('Table 2 StormwaterGroundwater'!Q65*3.78541)*M56</f>
        <v>609533.17620956874</v>
      </c>
      <c r="O56" s="156">
        <f t="shared" si="7"/>
        <v>47950</v>
      </c>
      <c r="P56" s="156">
        <f>('Table 2 StormwaterGroundwater'!U65*3.78541)*O56</f>
        <v>232794.78614465453</v>
      </c>
      <c r="Q56" s="156">
        <f t="shared" si="8"/>
        <v>47950</v>
      </c>
      <c r="R56" s="156">
        <f>('Table 2 StormwaterGroundwater'!W65*3.78541)*Q56</f>
        <v>187079.7979289369</v>
      </c>
      <c r="S56" s="156">
        <f t="shared" si="9"/>
        <v>47950</v>
      </c>
      <c r="T56" s="156">
        <f>('Table 2 StormwaterGroundwater'!Y65*3.78541)*S56</f>
        <v>632976.75990993681</v>
      </c>
      <c r="U56" s="156">
        <f t="shared" si="10"/>
        <v>199667</v>
      </c>
      <c r="V56" s="156">
        <f>('Table 2 StormwaterGroundwater'!AA65*3.78541)*U56</f>
        <v>4998177.1296582036</v>
      </c>
      <c r="W56" s="156">
        <f t="shared" si="11"/>
        <v>199667</v>
      </c>
      <c r="X56" s="156">
        <f>('Table 2 StormwaterGroundwater'!AC65*3.78541)*W56</f>
        <v>6140338.7003027536</v>
      </c>
      <c r="Y56" s="156">
        <f t="shared" si="12"/>
        <v>199667</v>
      </c>
      <c r="Z56" s="156">
        <f>('Table 2 StormwaterGroundwater'!AE65*3.78541)*Y56</f>
        <v>7721793.1827336689</v>
      </c>
      <c r="AA56" s="156">
        <f>'Table 7 WTP Sulfate Balance'!G58</f>
        <v>7548.2587859424921</v>
      </c>
      <c r="AB56" s="156">
        <f>AA56*'Table 6 WTP Flow Balance'!H56</f>
        <v>945042</v>
      </c>
      <c r="AC56" s="156">
        <f>(D56+F56+H56+J56+L56+N56+P56+R56+T56+V56+X56+Z56+AB56)/(('Table 5 Flows to Evap &amp; WTP'!F62+'Table 6 WTP Flow Balance'!H56)*3.78541)</f>
        <v>43835.96890387655</v>
      </c>
      <c r="AD56" s="156">
        <f>(AC56/(453592*2000))*(('Table 5 Flows to Evap &amp; WTP'!F62+'Table 6 WTP Flow Balance'!H56)*365*1440*3.785)</f>
        <v>12559.653340788398</v>
      </c>
      <c r="AE56" s="140">
        <f t="shared" si="13"/>
        <v>24164.797192474067</v>
      </c>
    </row>
    <row r="57" spans="2:31" ht="14.25" x14ac:dyDescent="0.2">
      <c r="B57" s="345">
        <f t="shared" si="14"/>
        <v>58</v>
      </c>
      <c r="C57" s="156">
        <f t="shared" si="1"/>
        <v>2400</v>
      </c>
      <c r="D57" s="156">
        <f>('Table 2 StormwaterGroundwater'!K66*3.78541)*C57</f>
        <v>0</v>
      </c>
      <c r="E57" s="156">
        <f t="shared" si="2"/>
        <v>2400</v>
      </c>
      <c r="F57" s="156">
        <f>('Table 2 StormwaterGroundwater'!M66*3.78541)*E57</f>
        <v>0</v>
      </c>
      <c r="G57" s="156">
        <f t="shared" si="3"/>
        <v>2400</v>
      </c>
      <c r="H57" s="156">
        <f>('Table 2 StormwaterGroundwater'!O66*3.78541)*G57</f>
        <v>0</v>
      </c>
      <c r="I57" s="156">
        <f t="shared" si="15"/>
        <v>2402</v>
      </c>
      <c r="J57" s="156">
        <f>('Table 2 StormwaterGroundwater'!G61*3.78541)*I57</f>
        <v>163665.98676000003</v>
      </c>
      <c r="K57" s="156">
        <f t="shared" si="16"/>
        <v>1492.5</v>
      </c>
      <c r="L57" s="156">
        <f>K57*('Table 2 StormwaterGroundwater'!H61*3.78541)</f>
        <v>48870.116276250003</v>
      </c>
      <c r="M57" s="156">
        <f t="shared" si="6"/>
        <v>47950</v>
      </c>
      <c r="N57" s="156">
        <f>('Table 2 StormwaterGroundwater'!Q66*3.78541)*M57</f>
        <v>609533.17620956874</v>
      </c>
      <c r="O57" s="156">
        <f t="shared" si="7"/>
        <v>47950</v>
      </c>
      <c r="P57" s="156">
        <f>('Table 2 StormwaterGroundwater'!U66*3.78541)*O57</f>
        <v>232794.78614465453</v>
      </c>
      <c r="Q57" s="156">
        <f t="shared" si="8"/>
        <v>47950</v>
      </c>
      <c r="R57" s="156">
        <f>('Table 2 StormwaterGroundwater'!W66*3.78541)*Q57</f>
        <v>187079.7979289369</v>
      </c>
      <c r="S57" s="156">
        <f t="shared" si="9"/>
        <v>47950</v>
      </c>
      <c r="T57" s="156">
        <f>('Table 2 StormwaterGroundwater'!Y66*3.78541)*S57</f>
        <v>632976.75990993681</v>
      </c>
      <c r="U57" s="156">
        <f t="shared" si="10"/>
        <v>199667</v>
      </c>
      <c r="V57" s="156">
        <f>('Table 2 StormwaterGroundwater'!AA66*3.78541)*U57</f>
        <v>4998177.1296582036</v>
      </c>
      <c r="W57" s="156">
        <f t="shared" si="11"/>
        <v>199667</v>
      </c>
      <c r="X57" s="156">
        <f>('Table 2 StormwaterGroundwater'!AC66*3.78541)*W57</f>
        <v>6140338.7003027536</v>
      </c>
      <c r="Y57" s="156">
        <f t="shared" si="12"/>
        <v>199667</v>
      </c>
      <c r="Z57" s="156">
        <f>('Table 2 StormwaterGroundwater'!AE66*3.78541)*Y57</f>
        <v>7721793.1827336689</v>
      </c>
      <c r="AA57" s="156">
        <f>'Table 7 WTP Sulfate Balance'!G59</f>
        <v>7548.5291766586724</v>
      </c>
      <c r="AB57" s="156">
        <f>AA57*'Table 6 WTP Flow Balance'!H57</f>
        <v>944321</v>
      </c>
      <c r="AC57" s="156">
        <f>(D57+F57+H57+J57+L57+N57+P57+R57+T57+V57+X57+Z57+AB57)/(('Table 5 Flows to Evap &amp; WTP'!F63+'Table 6 WTP Flow Balance'!H57)*3.78541)</f>
        <v>43868.768105662239</v>
      </c>
      <c r="AD57" s="156">
        <f>(AC57/(453592*2000))*(('Table 5 Flows to Evap &amp; WTP'!F63+'Table 6 WTP Flow Balance'!H57)*365*1440*3.785)</f>
        <v>12559.235656443348</v>
      </c>
      <c r="AE57" s="140">
        <f t="shared" si="13"/>
        <v>24163.993566990568</v>
      </c>
    </row>
    <row r="58" spans="2:31" ht="14.25" x14ac:dyDescent="0.2">
      <c r="B58" s="345">
        <f t="shared" si="14"/>
        <v>59</v>
      </c>
      <c r="C58" s="156">
        <f t="shared" si="1"/>
        <v>2400</v>
      </c>
      <c r="D58" s="156">
        <f>('Table 2 StormwaterGroundwater'!K67*3.78541)*C58</f>
        <v>0</v>
      </c>
      <c r="E58" s="156">
        <f t="shared" si="2"/>
        <v>2400</v>
      </c>
      <c r="F58" s="156">
        <f>('Table 2 StormwaterGroundwater'!M67*3.78541)*E58</f>
        <v>0</v>
      </c>
      <c r="G58" s="156">
        <f t="shared" si="3"/>
        <v>2400</v>
      </c>
      <c r="H58" s="156">
        <f>('Table 2 StormwaterGroundwater'!O67*3.78541)*G58</f>
        <v>0</v>
      </c>
      <c r="I58" s="156">
        <f t="shared" si="15"/>
        <v>2402</v>
      </c>
      <c r="J58" s="156">
        <f>('Table 2 StormwaterGroundwater'!G62*3.78541)*I58</f>
        <v>163665.98676000003</v>
      </c>
      <c r="K58" s="156">
        <f t="shared" si="16"/>
        <v>1492.5</v>
      </c>
      <c r="L58" s="156">
        <f>K58*('Table 2 StormwaterGroundwater'!H62*3.78541)</f>
        <v>48870.116276250003</v>
      </c>
      <c r="M58" s="156">
        <f t="shared" si="6"/>
        <v>47950</v>
      </c>
      <c r="N58" s="156">
        <f>('Table 2 StormwaterGroundwater'!Q67*3.78541)*M58</f>
        <v>609533.17620956874</v>
      </c>
      <c r="O58" s="156">
        <f t="shared" si="7"/>
        <v>47950</v>
      </c>
      <c r="P58" s="156">
        <f>('Table 2 StormwaterGroundwater'!U67*3.78541)*O58</f>
        <v>232794.78614465453</v>
      </c>
      <c r="Q58" s="156">
        <f t="shared" si="8"/>
        <v>47950</v>
      </c>
      <c r="R58" s="156">
        <f>('Table 2 StormwaterGroundwater'!W67*3.78541)*Q58</f>
        <v>187079.7979289369</v>
      </c>
      <c r="S58" s="156">
        <f t="shared" si="9"/>
        <v>47950</v>
      </c>
      <c r="T58" s="156">
        <f>('Table 2 StormwaterGroundwater'!Y67*3.78541)*S58</f>
        <v>632976.75990993681</v>
      </c>
      <c r="U58" s="156">
        <f t="shared" si="10"/>
        <v>199667</v>
      </c>
      <c r="V58" s="156">
        <f>('Table 2 StormwaterGroundwater'!AA67*3.78541)*U58</f>
        <v>4998177.1296582036</v>
      </c>
      <c r="W58" s="156">
        <f t="shared" si="11"/>
        <v>199667</v>
      </c>
      <c r="X58" s="156">
        <f>('Table 2 StormwaterGroundwater'!AC67*3.78541)*W58</f>
        <v>6140338.7003027536</v>
      </c>
      <c r="Y58" s="156">
        <f t="shared" si="12"/>
        <v>199667</v>
      </c>
      <c r="Z58" s="156">
        <f>('Table 2 StormwaterGroundwater'!AE67*3.78541)*Y58</f>
        <v>7721793.1827336689</v>
      </c>
      <c r="AA58" s="156">
        <f>'Table 7 WTP Sulfate Balance'!G60</f>
        <v>7548.8</v>
      </c>
      <c r="AB58" s="156">
        <f>AA58*'Table 6 WTP Flow Balance'!H58</f>
        <v>943600</v>
      </c>
      <c r="AC58" s="156">
        <f>(D58+F58+H58+J58+L58+N58+P58+R58+T58+V58+X58+Z58+AB58)/(('Table 5 Flows to Evap &amp; WTP'!F64+'Table 6 WTP Flow Balance'!H58)*3.78541)</f>
        <v>43901.618613208178</v>
      </c>
      <c r="AD58" s="156">
        <f>(AC58/(453592*2000))*(('Table 5 Flows to Evap &amp; WTP'!F64+'Table 6 WTP Flow Balance'!H58)*365*1440*3.785)</f>
        <v>12558.817972098303</v>
      </c>
      <c r="AE58" s="140">
        <f t="shared" si="13"/>
        <v>24163.189941507073</v>
      </c>
    </row>
    <row r="59" spans="2:31" ht="14.25" x14ac:dyDescent="0.2">
      <c r="B59" s="345">
        <f t="shared" si="14"/>
        <v>60</v>
      </c>
      <c r="C59" s="156">
        <f t="shared" si="1"/>
        <v>2400</v>
      </c>
      <c r="D59" s="156">
        <f>('Table 2 StormwaterGroundwater'!K68*3.78541)*C59</f>
        <v>0</v>
      </c>
      <c r="E59" s="156">
        <f t="shared" si="2"/>
        <v>2400</v>
      </c>
      <c r="F59" s="156">
        <f>('Table 2 StormwaterGroundwater'!M68*3.78541)*E59</f>
        <v>0</v>
      </c>
      <c r="G59" s="156">
        <f t="shared" si="3"/>
        <v>2400</v>
      </c>
      <c r="H59" s="156">
        <f>('Table 2 StormwaterGroundwater'!O68*3.78541)*G59</f>
        <v>0</v>
      </c>
      <c r="I59" s="156">
        <f t="shared" si="15"/>
        <v>2402</v>
      </c>
      <c r="J59" s="156">
        <f>('Table 2 StormwaterGroundwater'!G63*3.78541)*I59</f>
        <v>163665.98676000003</v>
      </c>
      <c r="K59" s="156">
        <f t="shared" si="16"/>
        <v>1492.5</v>
      </c>
      <c r="L59" s="156">
        <f>K59*('Table 2 StormwaterGroundwater'!H63*3.78541)</f>
        <v>48870.116276250003</v>
      </c>
      <c r="M59" s="156">
        <f t="shared" si="6"/>
        <v>47950</v>
      </c>
      <c r="N59" s="156">
        <f>('Table 2 StormwaterGroundwater'!Q68*3.78541)*M59</f>
        <v>609533.17620956874</v>
      </c>
      <c r="O59" s="156">
        <f t="shared" si="7"/>
        <v>47950</v>
      </c>
      <c r="P59" s="156">
        <f>('Table 2 StormwaterGroundwater'!U68*3.78541)*O59</f>
        <v>232794.78614465453</v>
      </c>
      <c r="Q59" s="156">
        <f t="shared" si="8"/>
        <v>47950</v>
      </c>
      <c r="R59" s="156">
        <f>('Table 2 StormwaterGroundwater'!W68*3.78541)*Q59</f>
        <v>187079.7979289369</v>
      </c>
      <c r="S59" s="156">
        <f t="shared" si="9"/>
        <v>47950</v>
      </c>
      <c r="T59" s="156">
        <f>('Table 2 StormwaterGroundwater'!Y68*3.78541)*S59</f>
        <v>632976.75990993681</v>
      </c>
      <c r="U59" s="156">
        <f t="shared" si="10"/>
        <v>199667</v>
      </c>
      <c r="V59" s="156">
        <f>('Table 2 StormwaterGroundwater'!AA68*3.78541)*U59</f>
        <v>4998177.1296582036</v>
      </c>
      <c r="W59" s="156">
        <f t="shared" si="11"/>
        <v>199667</v>
      </c>
      <c r="X59" s="156">
        <f>('Table 2 StormwaterGroundwater'!AC68*3.78541)*W59</f>
        <v>6140338.7003027536</v>
      </c>
      <c r="Y59" s="156">
        <f t="shared" si="12"/>
        <v>199667</v>
      </c>
      <c r="Z59" s="156">
        <f>('Table 2 StormwaterGroundwater'!AE68*3.78541)*Y59</f>
        <v>7721793.1827336689</v>
      </c>
      <c r="AA59" s="156">
        <f>'Table 7 WTP Sulfate Balance'!G61</f>
        <v>7549.0712570056039</v>
      </c>
      <c r="AB59" s="156">
        <f>AA59*'Table 6 WTP Flow Balance'!H59</f>
        <v>942879</v>
      </c>
      <c r="AC59" s="156">
        <f>(D59+F59+H59+J59+L59+N59+P59+R59+T59+V59+X59+Z59+AB59)/(('Table 5 Flows to Evap &amp; WTP'!F65+'Table 6 WTP Flow Balance'!H59)*3.78541)</f>
        <v>43934.520546990236</v>
      </c>
      <c r="AD59" s="156">
        <f>(AC59/(453592*2000))*(('Table 5 Flows to Evap &amp; WTP'!F65+'Table 6 WTP Flow Balance'!H59)*365*1440*3.785)</f>
        <v>12558.400287753255</v>
      </c>
      <c r="AE59" s="140">
        <f t="shared" si="13"/>
        <v>24162.386316023578</v>
      </c>
    </row>
    <row r="60" spans="2:31" ht="14.25" x14ac:dyDescent="0.2">
      <c r="B60" s="345">
        <f t="shared" si="14"/>
        <v>61</v>
      </c>
      <c r="C60" s="156">
        <f t="shared" si="1"/>
        <v>2400</v>
      </c>
      <c r="D60" s="156">
        <f>('Table 2 StormwaterGroundwater'!K69*3.78541)*C60</f>
        <v>0</v>
      </c>
      <c r="E60" s="156">
        <f t="shared" si="2"/>
        <v>2400</v>
      </c>
      <c r="F60" s="156">
        <f>('Table 2 StormwaterGroundwater'!M69*3.78541)*E60</f>
        <v>0</v>
      </c>
      <c r="G60" s="156">
        <f t="shared" si="3"/>
        <v>2400</v>
      </c>
      <c r="H60" s="156">
        <f>('Table 2 StormwaterGroundwater'!O69*3.78541)*G60</f>
        <v>0</v>
      </c>
      <c r="I60" s="156">
        <f t="shared" si="15"/>
        <v>2402</v>
      </c>
      <c r="J60" s="156">
        <f>('Table 2 StormwaterGroundwater'!G64*3.78541)*I60</f>
        <v>163665.98676000003</v>
      </c>
      <c r="K60" s="156">
        <f t="shared" si="16"/>
        <v>1492.5</v>
      </c>
      <c r="L60" s="156">
        <f>K60*('Table 2 StormwaterGroundwater'!H64*3.78541)</f>
        <v>48870.116276250003</v>
      </c>
      <c r="M60" s="156">
        <f t="shared" si="6"/>
        <v>47950</v>
      </c>
      <c r="N60" s="156">
        <f>('Table 2 StormwaterGroundwater'!Q69*3.78541)*M60</f>
        <v>609533.17620956874</v>
      </c>
      <c r="O60" s="156">
        <f t="shared" si="7"/>
        <v>47950</v>
      </c>
      <c r="P60" s="156">
        <f>('Table 2 StormwaterGroundwater'!U69*3.78541)*O60</f>
        <v>232794.78614465453</v>
      </c>
      <c r="Q60" s="156">
        <f t="shared" si="8"/>
        <v>47950</v>
      </c>
      <c r="R60" s="156">
        <f>('Table 2 StormwaterGroundwater'!W69*3.78541)*Q60</f>
        <v>187079.7979289369</v>
      </c>
      <c r="S60" s="156">
        <f t="shared" si="9"/>
        <v>47950</v>
      </c>
      <c r="T60" s="156">
        <f>('Table 2 StormwaterGroundwater'!Y69*3.78541)*S60</f>
        <v>632976.75990993681</v>
      </c>
      <c r="U60" s="156">
        <f t="shared" si="10"/>
        <v>199667</v>
      </c>
      <c r="V60" s="156">
        <f>('Table 2 StormwaterGroundwater'!AA69*3.78541)*U60</f>
        <v>4998177.1296582036</v>
      </c>
      <c r="W60" s="156">
        <f t="shared" si="11"/>
        <v>199667</v>
      </c>
      <c r="X60" s="156">
        <f>('Table 2 StormwaterGroundwater'!AC69*3.78541)*W60</f>
        <v>6140338.7003027536</v>
      </c>
      <c r="Y60" s="156">
        <f t="shared" si="12"/>
        <v>199667</v>
      </c>
      <c r="Z60" s="156">
        <f>('Table 2 StormwaterGroundwater'!AE69*3.78541)*Y60</f>
        <v>7721793.1827336689</v>
      </c>
      <c r="AA60" s="156">
        <f>'Table 7 WTP Sulfate Balance'!G62</f>
        <v>7549.3429487179483</v>
      </c>
      <c r="AB60" s="156">
        <f>AA60*'Table 6 WTP Flow Balance'!H60</f>
        <v>942158</v>
      </c>
      <c r="AC60" s="156">
        <f>(D60+F60+H60+J60+L60+N60+P60+R60+T60+V60+X60+Z60+AB60)/(('Table 5 Flows to Evap &amp; WTP'!F66+'Table 6 WTP Flow Balance'!H60)*3.78541)</f>
        <v>43967.474027861768</v>
      </c>
      <c r="AD60" s="156">
        <f>(AC60/(453592*2000))*(('Table 5 Flows to Evap &amp; WTP'!F66+'Table 6 WTP Flow Balance'!H60)*365*1440*3.785)</f>
        <v>12557.982603408207</v>
      </c>
      <c r="AE60" s="140">
        <f t="shared" si="13"/>
        <v>24161.582690540079</v>
      </c>
    </row>
    <row r="61" spans="2:31" ht="14.25" x14ac:dyDescent="0.2">
      <c r="B61" s="345">
        <f t="shared" si="14"/>
        <v>62</v>
      </c>
      <c r="C61" s="156">
        <f t="shared" si="1"/>
        <v>2400</v>
      </c>
      <c r="D61" s="156">
        <f>('Table 2 StormwaterGroundwater'!K70*3.78541)*C61</f>
        <v>0</v>
      </c>
      <c r="E61" s="156">
        <f t="shared" si="2"/>
        <v>2400</v>
      </c>
      <c r="F61" s="156">
        <f>('Table 2 StormwaterGroundwater'!M70*3.78541)*E61</f>
        <v>0</v>
      </c>
      <c r="G61" s="156">
        <f t="shared" si="3"/>
        <v>2400</v>
      </c>
      <c r="H61" s="156">
        <f>('Table 2 StormwaterGroundwater'!O70*3.78541)*G61</f>
        <v>0</v>
      </c>
      <c r="I61" s="156">
        <f t="shared" si="15"/>
        <v>2402</v>
      </c>
      <c r="J61" s="156">
        <f>('Table 2 StormwaterGroundwater'!G65*3.78541)*I61</f>
        <v>163665.98676000003</v>
      </c>
      <c r="K61" s="156">
        <f t="shared" si="16"/>
        <v>1492.5</v>
      </c>
      <c r="L61" s="156">
        <f>K61*('Table 2 StormwaterGroundwater'!H65*3.78541)</f>
        <v>48870.116276250003</v>
      </c>
      <c r="M61" s="156">
        <f t="shared" si="6"/>
        <v>47950</v>
      </c>
      <c r="N61" s="156">
        <f>('Table 2 StormwaterGroundwater'!Q70*3.78541)*M61</f>
        <v>609533.17620956874</v>
      </c>
      <c r="O61" s="156">
        <f t="shared" si="7"/>
        <v>47950</v>
      </c>
      <c r="P61" s="156">
        <f>('Table 2 StormwaterGroundwater'!U70*3.78541)*O61</f>
        <v>232794.78614465453</v>
      </c>
      <c r="Q61" s="156">
        <f t="shared" si="8"/>
        <v>47950</v>
      </c>
      <c r="R61" s="156">
        <f>('Table 2 StormwaterGroundwater'!W70*3.78541)*Q61</f>
        <v>187079.7979289369</v>
      </c>
      <c r="S61" s="156">
        <f t="shared" si="9"/>
        <v>47950</v>
      </c>
      <c r="T61" s="156">
        <f>('Table 2 StormwaterGroundwater'!Y70*3.78541)*S61</f>
        <v>632976.75990993681</v>
      </c>
      <c r="U61" s="156">
        <f t="shared" si="10"/>
        <v>199667</v>
      </c>
      <c r="V61" s="156">
        <f>('Table 2 StormwaterGroundwater'!AA70*3.78541)*U61</f>
        <v>4998177.1296582036</v>
      </c>
      <c r="W61" s="156">
        <f t="shared" si="11"/>
        <v>199667</v>
      </c>
      <c r="X61" s="156">
        <f>('Table 2 StormwaterGroundwater'!AC70*3.78541)*W61</f>
        <v>6140338.7003027536</v>
      </c>
      <c r="Y61" s="156">
        <f t="shared" si="12"/>
        <v>199667</v>
      </c>
      <c r="Z61" s="156">
        <f>('Table 2 StormwaterGroundwater'!AE70*3.78541)*Y61</f>
        <v>7721793.1827336689</v>
      </c>
      <c r="AA61" s="156">
        <f>'Table 7 WTP Sulfate Balance'!G63</f>
        <v>7550.9822866344603</v>
      </c>
      <c r="AB61" s="156">
        <f>AA61*'Table 6 WTP Flow Balance'!H61</f>
        <v>937832</v>
      </c>
      <c r="AC61" s="156">
        <f>(D61+F61+H61+J61+L61+N61+P61+R61+T61+V61+X61+Z61+AB61)/(('Table 5 Flows to Evap &amp; WTP'!F67+'Table 6 WTP Flow Balance'!H61)*3.78541)</f>
        <v>44166.284217696972</v>
      </c>
      <c r="AD61" s="156">
        <f>(AC61/(453592*2000))*(('Table 5 Flows to Evap &amp; WTP'!F67+'Table 6 WTP Flow Balance'!H61)*365*1440*3.785)</f>
        <v>12555.476497337921</v>
      </c>
      <c r="AE61" s="140">
        <f t="shared" si="13"/>
        <v>24156.760937639097</v>
      </c>
    </row>
    <row r="62" spans="2:31" ht="15" thickBot="1" x14ac:dyDescent="0.25">
      <c r="B62" s="388">
        <v>63</v>
      </c>
      <c r="C62" s="389">
        <f t="shared" si="1"/>
        <v>2400</v>
      </c>
      <c r="D62" s="389">
        <f>('Table 2 StormwaterGroundwater'!K71*3.78541)*C62</f>
        <v>0</v>
      </c>
      <c r="E62" s="389">
        <f t="shared" si="2"/>
        <v>2400</v>
      </c>
      <c r="F62" s="389">
        <f>('Table 2 StormwaterGroundwater'!M71*3.78541)*E62</f>
        <v>0</v>
      </c>
      <c r="G62" s="389">
        <f t="shared" si="3"/>
        <v>2400</v>
      </c>
      <c r="H62" s="389">
        <f>('Table 2 StormwaterGroundwater'!O71*3.78541)*G62</f>
        <v>0</v>
      </c>
      <c r="I62" s="389">
        <f t="shared" si="15"/>
        <v>2402</v>
      </c>
      <c r="J62" s="389">
        <f>('Table 2 StormwaterGroundwater'!G66*3.78541)*I62</f>
        <v>163665.98676000003</v>
      </c>
      <c r="K62" s="389">
        <f t="shared" si="16"/>
        <v>1492.5</v>
      </c>
      <c r="L62" s="389">
        <f>K62*('Table 2 StormwaterGroundwater'!H66*3.78541)</f>
        <v>48870.116276250003</v>
      </c>
      <c r="M62" s="389">
        <f t="shared" si="6"/>
        <v>47950</v>
      </c>
      <c r="N62" s="389">
        <f>('Table 2 StormwaterGroundwater'!Q71*3.78541)*M62</f>
        <v>609533.17620956874</v>
      </c>
      <c r="O62" s="389">
        <f t="shared" si="7"/>
        <v>47950</v>
      </c>
      <c r="P62" s="389">
        <f>('Table 2 StormwaterGroundwater'!U71*3.78541)*O62</f>
        <v>232794.78614465453</v>
      </c>
      <c r="Q62" s="389">
        <f t="shared" si="8"/>
        <v>47950</v>
      </c>
      <c r="R62" s="389">
        <f>('Table 2 StormwaterGroundwater'!W71*3.78541)*Q62</f>
        <v>187079.7979289369</v>
      </c>
      <c r="S62" s="389">
        <f t="shared" si="9"/>
        <v>47950</v>
      </c>
      <c r="T62" s="389">
        <f>('Table 2 StormwaterGroundwater'!Y71*3.78541)*S62</f>
        <v>632976.75990993681</v>
      </c>
      <c r="U62" s="389">
        <f t="shared" si="10"/>
        <v>199667</v>
      </c>
      <c r="V62" s="389">
        <f>('Table 2 StormwaterGroundwater'!AA71*3.78541)*U62</f>
        <v>4998177.1296582036</v>
      </c>
      <c r="W62" s="389">
        <f t="shared" si="11"/>
        <v>199667</v>
      </c>
      <c r="X62" s="389">
        <f>('Table 2 StormwaterGroundwater'!AC71*3.78541)*W62</f>
        <v>6140338.7003027536</v>
      </c>
      <c r="Y62" s="389">
        <f t="shared" si="12"/>
        <v>199667</v>
      </c>
      <c r="Z62" s="389">
        <f>('Table 2 StormwaterGroundwater'!AE71*3.78541)*Y62</f>
        <v>7721793.1827336689</v>
      </c>
      <c r="AA62" s="389">
        <f>'Table 7 WTP Sulfate Balance'!G64</f>
        <v>7551.8079096045194</v>
      </c>
      <c r="AB62" s="389">
        <f>AA62*'Table 6 WTP Flow Balance'!H62</f>
        <v>935669</v>
      </c>
      <c r="AC62" s="389">
        <f>(D62+F62+H62+J62+L62+N62+P62+R62+T62+V62+X62+Z62+AB62)/(('Table 5 Flows to Evap &amp; WTP'!F68+'Table 6 WTP Flow Balance'!H62)*3.78541)</f>
        <v>44266.395104313291</v>
      </c>
      <c r="AD62" s="389">
        <f>(AC62/(453592*2000))*(('Table 5 Flows to Evap &amp; WTP'!F68+'Table 6 WTP Flow Balance'!H62)*365*1440*3.785)</f>
        <v>12554.223444302777</v>
      </c>
      <c r="AE62" s="390">
        <f t="shared" si="13"/>
        <v>24154.350061188601</v>
      </c>
    </row>
    <row r="63" spans="2:31" ht="14.25" x14ac:dyDescent="0.2">
      <c r="B63" s="396">
        <f>B61+2</f>
        <v>64</v>
      </c>
      <c r="C63" s="397">
        <f t="shared" si="1"/>
        <v>2400</v>
      </c>
      <c r="D63" s="397">
        <f>('Table 2 StormwaterGroundwater'!K72*3.78541)*C63</f>
        <v>0</v>
      </c>
      <c r="E63" s="397">
        <f t="shared" si="2"/>
        <v>2400</v>
      </c>
      <c r="F63" s="397">
        <f>('Table 2 StormwaterGroundwater'!M72*3.78541)*E63</f>
        <v>0</v>
      </c>
      <c r="G63" s="397">
        <f t="shared" si="3"/>
        <v>2400</v>
      </c>
      <c r="H63" s="397">
        <f>('Table 2 StormwaterGroundwater'!O72*3.78541)*G63</f>
        <v>0</v>
      </c>
      <c r="I63" s="397">
        <f t="shared" si="15"/>
        <v>2402</v>
      </c>
      <c r="J63" s="397">
        <f>('Table 2 StormwaterGroundwater'!G67*3.78541)*I63</f>
        <v>163665.98676000003</v>
      </c>
      <c r="K63" s="397">
        <f t="shared" si="16"/>
        <v>1492.5</v>
      </c>
      <c r="L63" s="397">
        <f>K63*('Table 2 StormwaterGroundwater'!H67*3.78541)</f>
        <v>48870.116276250003</v>
      </c>
      <c r="M63" s="397">
        <f t="shared" si="6"/>
        <v>47950</v>
      </c>
      <c r="N63" s="397">
        <f>('Table 2 StormwaterGroundwater'!Q72*3.78541)*M63</f>
        <v>609533.17620956874</v>
      </c>
      <c r="O63" s="397">
        <f t="shared" si="7"/>
        <v>47950</v>
      </c>
      <c r="P63" s="397">
        <f>('Table 2 StormwaterGroundwater'!U72*3.78541)*O63</f>
        <v>232794.78614465453</v>
      </c>
      <c r="Q63" s="397">
        <f t="shared" si="8"/>
        <v>47950</v>
      </c>
      <c r="R63" s="397">
        <f>('Table 2 StormwaterGroundwater'!W72*3.78541)*Q63</f>
        <v>187079.7979289369</v>
      </c>
      <c r="S63" s="397">
        <f t="shared" si="9"/>
        <v>47950</v>
      </c>
      <c r="T63" s="397">
        <f>('Table 2 StormwaterGroundwater'!Y72*3.78541)*S63</f>
        <v>632976.75990993681</v>
      </c>
      <c r="U63" s="397">
        <f t="shared" si="10"/>
        <v>199667</v>
      </c>
      <c r="V63" s="397">
        <f>('Table 2 StormwaterGroundwater'!AA72*3.78541)*U63</f>
        <v>4998177.1296582036</v>
      </c>
      <c r="W63" s="397">
        <f t="shared" si="11"/>
        <v>199667</v>
      </c>
      <c r="X63" s="397">
        <f>('Table 2 StormwaterGroundwater'!AC72*3.78541)*W63</f>
        <v>6140338.7003027536</v>
      </c>
      <c r="Y63" s="397">
        <f t="shared" si="12"/>
        <v>199667</v>
      </c>
      <c r="Z63" s="397">
        <f>('Table 2 StormwaterGroundwater'!AE72*3.78541)*Y63</f>
        <v>7721793.1827336689</v>
      </c>
      <c r="AA63" s="397">
        <f>'Table 7 WTP Sulfate Balance'!G65</f>
        <v>7551.8079096045194</v>
      </c>
      <c r="AB63" s="397">
        <f>AA63*'Table 6 WTP Flow Balance'!H63</f>
        <v>935669</v>
      </c>
      <c r="AC63" s="397">
        <f>(D63+F63+H63+J63+L63+N63+P63+R63+T63+V63+X63+Z63+AB63)/(('Table 5 Flows to Evap &amp; WTP'!F69+'Table 6 WTP Flow Balance'!H63)*3.78541)</f>
        <v>44266.395104313291</v>
      </c>
      <c r="AD63" s="397">
        <f>(AC63/(453592*2000))*(('Table 5 Flows to Evap &amp; WTP'!F69+'Table 6 WTP Flow Balance'!H63)*365*1440*3.785)</f>
        <v>12554.223444302777</v>
      </c>
      <c r="AE63" s="398">
        <f t="shared" si="13"/>
        <v>24154.350061188601</v>
      </c>
    </row>
    <row r="64" spans="2:31" ht="14.25" x14ac:dyDescent="0.2">
      <c r="B64" s="345">
        <f t="shared" ref="B64:B98" si="17">B63+1</f>
        <v>65</v>
      </c>
      <c r="C64" s="156">
        <f t="shared" si="1"/>
        <v>2400</v>
      </c>
      <c r="D64" s="156">
        <f>('Table 2 StormwaterGroundwater'!K73*3.78541)*C64</f>
        <v>0</v>
      </c>
      <c r="E64" s="156">
        <f t="shared" si="2"/>
        <v>2400</v>
      </c>
      <c r="F64" s="156">
        <f>('Table 2 StormwaterGroundwater'!M73*3.78541)*E64</f>
        <v>0</v>
      </c>
      <c r="G64" s="156">
        <f t="shared" si="3"/>
        <v>2400</v>
      </c>
      <c r="H64" s="156">
        <f>('Table 2 StormwaterGroundwater'!O73*3.78541)*G64</f>
        <v>0</v>
      </c>
      <c r="I64" s="156">
        <f t="shared" si="15"/>
        <v>2402</v>
      </c>
      <c r="J64" s="156">
        <f>('Table 2 StormwaterGroundwater'!G68*3.78541)*I64</f>
        <v>163665.98676000003</v>
      </c>
      <c r="K64" s="156">
        <f t="shared" si="16"/>
        <v>1492.5</v>
      </c>
      <c r="L64" s="156">
        <f>K64*('Table 2 StormwaterGroundwater'!H68*3.78541)</f>
        <v>48870.116276250003</v>
      </c>
      <c r="M64" s="156">
        <f t="shared" si="6"/>
        <v>47950</v>
      </c>
      <c r="N64" s="156">
        <f>('Table 2 StormwaterGroundwater'!Q73*3.78541)*M64</f>
        <v>609533.17620956874</v>
      </c>
      <c r="O64" s="156">
        <f t="shared" si="7"/>
        <v>47950</v>
      </c>
      <c r="P64" s="156">
        <f>('Table 2 StormwaterGroundwater'!U73*3.78541)*O64</f>
        <v>232794.78614465453</v>
      </c>
      <c r="Q64" s="156">
        <f t="shared" si="8"/>
        <v>47950</v>
      </c>
      <c r="R64" s="156">
        <f>('Table 2 StormwaterGroundwater'!W73*3.78541)*Q64</f>
        <v>187079.7979289369</v>
      </c>
      <c r="S64" s="156">
        <f t="shared" si="9"/>
        <v>47950</v>
      </c>
      <c r="T64" s="156">
        <f>('Table 2 StormwaterGroundwater'!Y73*3.78541)*S64</f>
        <v>632976.75990993681</v>
      </c>
      <c r="U64" s="156">
        <f t="shared" si="10"/>
        <v>199667</v>
      </c>
      <c r="V64" s="156">
        <f>('Table 2 StormwaterGroundwater'!AA73*3.78541)*U64</f>
        <v>4998177.1296582036</v>
      </c>
      <c r="W64" s="156">
        <f t="shared" si="11"/>
        <v>199667</v>
      </c>
      <c r="X64" s="156">
        <f>('Table 2 StormwaterGroundwater'!AC73*3.78541)*W64</f>
        <v>6140338.7003027536</v>
      </c>
      <c r="Y64" s="156">
        <f t="shared" si="12"/>
        <v>199667</v>
      </c>
      <c r="Z64" s="156">
        <f>('Table 2 StormwaterGroundwater'!AE73*3.78541)*Y64</f>
        <v>7721793.1827336689</v>
      </c>
      <c r="AA64" s="156">
        <f>'Table 7 WTP Sulfate Balance'!G66</f>
        <v>7551.8079096045194</v>
      </c>
      <c r="AB64" s="156">
        <f>AA64*'Table 6 WTP Flow Balance'!H64</f>
        <v>935669</v>
      </c>
      <c r="AC64" s="156">
        <f>(D64+F64+H64+J64+L64+N64+P64+R64+T64+V64+X64+Z64+AB64)/(('Table 5 Flows to Evap &amp; WTP'!F70+'Table 6 WTP Flow Balance'!H64)*3.78541)</f>
        <v>44266.395104313291</v>
      </c>
      <c r="AD64" s="156">
        <f>(AC64/(453592*2000))*(('Table 5 Flows to Evap &amp; WTP'!F70+'Table 6 WTP Flow Balance'!H64)*365*1440*3.785)</f>
        <v>12554.223444302777</v>
      </c>
      <c r="AE64" s="140">
        <f t="shared" si="13"/>
        <v>24154.350061188601</v>
      </c>
    </row>
    <row r="65" spans="2:31" ht="14.25" x14ac:dyDescent="0.2">
      <c r="B65" s="345">
        <f t="shared" si="17"/>
        <v>66</v>
      </c>
      <c r="C65" s="156">
        <f t="shared" si="1"/>
        <v>2400</v>
      </c>
      <c r="D65" s="156">
        <f>('Table 2 StormwaterGroundwater'!K74*3.78541)*C65</f>
        <v>0</v>
      </c>
      <c r="E65" s="156">
        <f t="shared" si="2"/>
        <v>2400</v>
      </c>
      <c r="F65" s="156">
        <f>('Table 2 StormwaterGroundwater'!M74*3.78541)*E65</f>
        <v>0</v>
      </c>
      <c r="G65" s="156">
        <f t="shared" si="3"/>
        <v>2400</v>
      </c>
      <c r="H65" s="156">
        <f>('Table 2 StormwaterGroundwater'!O74*3.78541)*G65</f>
        <v>0</v>
      </c>
      <c r="I65" s="156">
        <f t="shared" si="15"/>
        <v>2402</v>
      </c>
      <c r="J65" s="156">
        <f>('Table 2 StormwaterGroundwater'!G69*3.78541)*I65</f>
        <v>163665.98676000003</v>
      </c>
      <c r="K65" s="156">
        <f t="shared" si="16"/>
        <v>1492.5</v>
      </c>
      <c r="L65" s="156">
        <f>K65*('Table 2 StormwaterGroundwater'!H69*3.78541)</f>
        <v>48870.116276250003</v>
      </c>
      <c r="M65" s="156">
        <f t="shared" si="6"/>
        <v>47950</v>
      </c>
      <c r="N65" s="156">
        <f>('Table 2 StormwaterGroundwater'!Q74*3.78541)*M65</f>
        <v>609533.17620956874</v>
      </c>
      <c r="O65" s="156">
        <f t="shared" si="7"/>
        <v>47950</v>
      </c>
      <c r="P65" s="156">
        <f>('Table 2 StormwaterGroundwater'!U74*3.78541)*O65</f>
        <v>232794.78614465453</v>
      </c>
      <c r="Q65" s="156">
        <f t="shared" si="8"/>
        <v>47950</v>
      </c>
      <c r="R65" s="156">
        <f>('Table 2 StormwaterGroundwater'!W74*3.78541)*Q65</f>
        <v>187079.7979289369</v>
      </c>
      <c r="S65" s="156">
        <f t="shared" si="9"/>
        <v>47950</v>
      </c>
      <c r="T65" s="156">
        <f>('Table 2 StormwaterGroundwater'!Y74*3.78541)*S65</f>
        <v>632976.75990993681</v>
      </c>
      <c r="U65" s="156">
        <f t="shared" si="10"/>
        <v>199667</v>
      </c>
      <c r="V65" s="156">
        <f>('Table 2 StormwaterGroundwater'!AA74*3.78541)*U65</f>
        <v>4998177.1296582036</v>
      </c>
      <c r="W65" s="156">
        <f t="shared" si="11"/>
        <v>199667</v>
      </c>
      <c r="X65" s="156">
        <f>('Table 2 StormwaterGroundwater'!AC74*3.78541)*W65</f>
        <v>6140338.7003027536</v>
      </c>
      <c r="Y65" s="156">
        <f t="shared" si="12"/>
        <v>199667</v>
      </c>
      <c r="Z65" s="156">
        <f>('Table 2 StormwaterGroundwater'!AE74*3.78541)*Y65</f>
        <v>7721793.1827336689</v>
      </c>
      <c r="AA65" s="156">
        <f>'Table 7 WTP Sulfate Balance'!G67</f>
        <v>7551.8079096045194</v>
      </c>
      <c r="AB65" s="156">
        <f>AA65*'Table 6 WTP Flow Balance'!H65</f>
        <v>935669</v>
      </c>
      <c r="AC65" s="156">
        <f>(D65+F65+H65+J65+L65+N65+P65+R65+T65+V65+X65+Z65+AB65)/(('Table 5 Flows to Evap &amp; WTP'!F71+'Table 6 WTP Flow Balance'!H65)*3.78541)</f>
        <v>44266.395104313291</v>
      </c>
      <c r="AD65" s="156">
        <f>(AC65/(453592*2000))*(('Table 5 Flows to Evap &amp; WTP'!F71+'Table 6 WTP Flow Balance'!H65)*365*1440*3.785)</f>
        <v>12554.223444302777</v>
      </c>
      <c r="AE65" s="140">
        <f t="shared" si="13"/>
        <v>24154.350061188601</v>
      </c>
    </row>
    <row r="66" spans="2:31" ht="14.25" x14ac:dyDescent="0.2">
      <c r="B66" s="345">
        <f t="shared" si="17"/>
        <v>67</v>
      </c>
      <c r="C66" s="156">
        <f t="shared" ref="C66:C99" si="18">C65</f>
        <v>2400</v>
      </c>
      <c r="D66" s="156">
        <f>('Table 2 StormwaterGroundwater'!K75*3.78541)*C66</f>
        <v>0</v>
      </c>
      <c r="E66" s="156">
        <f t="shared" ref="E66:E99" si="19">E65</f>
        <v>2400</v>
      </c>
      <c r="F66" s="156">
        <f>('Table 2 StormwaterGroundwater'!M75*3.78541)*E66</f>
        <v>0</v>
      </c>
      <c r="G66" s="156">
        <f t="shared" ref="G66:G99" si="20">G65</f>
        <v>2400</v>
      </c>
      <c r="H66" s="156">
        <f>('Table 2 StormwaterGroundwater'!O75*3.78541)*G66</f>
        <v>0</v>
      </c>
      <c r="I66" s="156">
        <f t="shared" si="15"/>
        <v>2402</v>
      </c>
      <c r="J66" s="156">
        <f>('Table 2 StormwaterGroundwater'!G70*3.78541)*I66</f>
        <v>163665.98676000003</v>
      </c>
      <c r="K66" s="156">
        <f t="shared" si="16"/>
        <v>1492.5</v>
      </c>
      <c r="L66" s="156">
        <f>K66*('Table 2 StormwaterGroundwater'!H70*3.78541)</f>
        <v>48870.116276250003</v>
      </c>
      <c r="M66" s="156">
        <f t="shared" ref="M66:M99" si="21">M65</f>
        <v>47950</v>
      </c>
      <c r="N66" s="156">
        <f>('Table 2 StormwaterGroundwater'!Q75*3.78541)*M66</f>
        <v>609533.17620956874</v>
      </c>
      <c r="O66" s="156">
        <f t="shared" ref="O66:O99" si="22">O65</f>
        <v>47950</v>
      </c>
      <c r="P66" s="156">
        <f>('Table 2 StormwaterGroundwater'!U75*3.78541)*O66</f>
        <v>232794.78614465453</v>
      </c>
      <c r="Q66" s="156">
        <f t="shared" ref="Q66:Q99" si="23">Q65</f>
        <v>47950</v>
      </c>
      <c r="R66" s="156">
        <f>('Table 2 StormwaterGroundwater'!W75*3.78541)*Q66</f>
        <v>187079.7979289369</v>
      </c>
      <c r="S66" s="156">
        <f t="shared" ref="S66:S99" si="24">S65</f>
        <v>47950</v>
      </c>
      <c r="T66" s="156">
        <f>('Table 2 StormwaterGroundwater'!Y75*3.78541)*S66</f>
        <v>632976.75990993681</v>
      </c>
      <c r="U66" s="156">
        <f t="shared" ref="U66:U99" si="25">U65</f>
        <v>199667</v>
      </c>
      <c r="V66" s="156">
        <f>('Table 2 StormwaterGroundwater'!AA75*3.78541)*U66</f>
        <v>4998177.1296582036</v>
      </c>
      <c r="W66" s="156">
        <f t="shared" ref="W66:W99" si="26">W65</f>
        <v>199667</v>
      </c>
      <c r="X66" s="156">
        <f>('Table 2 StormwaterGroundwater'!AC75*3.78541)*W66</f>
        <v>6140338.7003027536</v>
      </c>
      <c r="Y66" s="156">
        <f t="shared" ref="Y66:Y99" si="27">Y65</f>
        <v>199667</v>
      </c>
      <c r="Z66" s="156">
        <f>('Table 2 StormwaterGroundwater'!AE75*3.78541)*Y66</f>
        <v>7721793.1827336689</v>
      </c>
      <c r="AA66" s="156">
        <f>'Table 7 WTP Sulfate Balance'!G68</f>
        <v>7551.8079096045194</v>
      </c>
      <c r="AB66" s="156">
        <f>AA66*'Table 6 WTP Flow Balance'!H66</f>
        <v>935669</v>
      </c>
      <c r="AC66" s="156">
        <f>(D66+F66+H66+J66+L66+N66+P66+R66+T66+V66+X66+Z66+AB66)/(('Table 5 Flows to Evap &amp; WTP'!F72+'Table 6 WTP Flow Balance'!H66)*3.78541)</f>
        <v>44266.395104313291</v>
      </c>
      <c r="AD66" s="156">
        <f>(AC66/(453592*2000))*(('Table 5 Flows to Evap &amp; WTP'!F72+'Table 6 WTP Flow Balance'!H66)*365*1440*3.785)</f>
        <v>12554.223444302777</v>
      </c>
      <c r="AE66" s="140">
        <f t="shared" si="13"/>
        <v>24154.350061188601</v>
      </c>
    </row>
    <row r="67" spans="2:31" ht="14.25" x14ac:dyDescent="0.2">
      <c r="B67" s="345">
        <f t="shared" si="17"/>
        <v>68</v>
      </c>
      <c r="C67" s="156">
        <f t="shared" si="18"/>
        <v>2400</v>
      </c>
      <c r="D67" s="156">
        <f>('Table 2 StormwaterGroundwater'!K76*3.78541)*C67</f>
        <v>0</v>
      </c>
      <c r="E67" s="156">
        <f t="shared" si="19"/>
        <v>2400</v>
      </c>
      <c r="F67" s="156">
        <f>('Table 2 StormwaterGroundwater'!M76*3.78541)*E67</f>
        <v>0</v>
      </c>
      <c r="G67" s="156">
        <f t="shared" si="20"/>
        <v>2400</v>
      </c>
      <c r="H67" s="156">
        <f>('Table 2 StormwaterGroundwater'!O76*3.78541)*G67</f>
        <v>0</v>
      </c>
      <c r="I67" s="156">
        <f t="shared" si="15"/>
        <v>2402</v>
      </c>
      <c r="J67" s="156">
        <f>('Table 2 StormwaterGroundwater'!G71*3.78541)*I67</f>
        <v>163665.98676000003</v>
      </c>
      <c r="K67" s="156">
        <f t="shared" si="16"/>
        <v>1492.5</v>
      </c>
      <c r="L67" s="156">
        <f>K67*('Table 2 StormwaterGroundwater'!H71*3.78541)</f>
        <v>48870.116276250003</v>
      </c>
      <c r="M67" s="156">
        <f t="shared" si="21"/>
        <v>47950</v>
      </c>
      <c r="N67" s="156">
        <f>('Table 2 StormwaterGroundwater'!Q76*3.78541)*M67</f>
        <v>609533.17620956874</v>
      </c>
      <c r="O67" s="156">
        <f t="shared" si="22"/>
        <v>47950</v>
      </c>
      <c r="P67" s="156">
        <f>('Table 2 StormwaterGroundwater'!U76*3.78541)*O67</f>
        <v>232794.78614465453</v>
      </c>
      <c r="Q67" s="156">
        <f t="shared" si="23"/>
        <v>47950</v>
      </c>
      <c r="R67" s="156">
        <f>('Table 2 StormwaterGroundwater'!W76*3.78541)*Q67</f>
        <v>187079.7979289369</v>
      </c>
      <c r="S67" s="156">
        <f t="shared" si="24"/>
        <v>47950</v>
      </c>
      <c r="T67" s="156">
        <f>('Table 2 StormwaterGroundwater'!Y76*3.78541)*S67</f>
        <v>632976.75990993681</v>
      </c>
      <c r="U67" s="156">
        <f t="shared" si="25"/>
        <v>199667</v>
      </c>
      <c r="V67" s="156">
        <f>('Table 2 StormwaterGroundwater'!AA76*3.78541)*U67</f>
        <v>4998177.1296582036</v>
      </c>
      <c r="W67" s="156">
        <f t="shared" si="26"/>
        <v>199667</v>
      </c>
      <c r="X67" s="156">
        <f>('Table 2 StormwaterGroundwater'!AC76*3.78541)*W67</f>
        <v>6140338.7003027536</v>
      </c>
      <c r="Y67" s="156">
        <f t="shared" si="27"/>
        <v>199667</v>
      </c>
      <c r="Z67" s="156">
        <f>('Table 2 StormwaterGroundwater'!AE76*3.78541)*Y67</f>
        <v>7721793.1827336689</v>
      </c>
      <c r="AA67" s="156">
        <f>'Table 7 WTP Sulfate Balance'!G69</f>
        <v>7551.8079096045194</v>
      </c>
      <c r="AB67" s="156">
        <f>AA67*'Table 6 WTP Flow Balance'!H67</f>
        <v>935669</v>
      </c>
      <c r="AC67" s="156">
        <f>(D67+F67+H67+J67+L67+N67+P67+R67+T67+V67+X67+Z67+AB67)/(('Table 5 Flows to Evap &amp; WTP'!F73+'Table 6 WTP Flow Balance'!H67)*3.78541)</f>
        <v>44266.395104313291</v>
      </c>
      <c r="AD67" s="156">
        <f>(AC67/(453592*2000))*(('Table 5 Flows to Evap &amp; WTP'!F73+'Table 6 WTP Flow Balance'!H67)*365*1440*3.785)</f>
        <v>12554.223444302777</v>
      </c>
      <c r="AE67" s="140">
        <f t="shared" si="13"/>
        <v>24154.350061188601</v>
      </c>
    </row>
    <row r="68" spans="2:31" ht="14.25" x14ac:dyDescent="0.2">
      <c r="B68" s="345">
        <f t="shared" si="17"/>
        <v>69</v>
      </c>
      <c r="C68" s="156">
        <f t="shared" si="18"/>
        <v>2400</v>
      </c>
      <c r="D68" s="156">
        <f>('Table 2 StormwaterGroundwater'!K77*3.78541)*C68</f>
        <v>0</v>
      </c>
      <c r="E68" s="156">
        <f t="shared" si="19"/>
        <v>2400</v>
      </c>
      <c r="F68" s="156">
        <f>('Table 2 StormwaterGroundwater'!M77*3.78541)*E68</f>
        <v>0</v>
      </c>
      <c r="G68" s="156">
        <f t="shared" si="20"/>
        <v>2400</v>
      </c>
      <c r="H68" s="156">
        <f>('Table 2 StormwaterGroundwater'!O77*3.78541)*G68</f>
        <v>0</v>
      </c>
      <c r="I68" s="156">
        <f t="shared" si="15"/>
        <v>2402</v>
      </c>
      <c r="J68" s="156">
        <f>('Table 2 StormwaterGroundwater'!G72*3.78541)*I68</f>
        <v>163665.98676000003</v>
      </c>
      <c r="K68" s="156">
        <f t="shared" si="16"/>
        <v>1492.5</v>
      </c>
      <c r="L68" s="156">
        <f>K68*('Table 2 StormwaterGroundwater'!H72*3.78541)</f>
        <v>48870.116276250003</v>
      </c>
      <c r="M68" s="156">
        <f t="shared" si="21"/>
        <v>47950</v>
      </c>
      <c r="N68" s="156">
        <f>('Table 2 StormwaterGroundwater'!Q77*3.78541)*M68</f>
        <v>609533.17620956874</v>
      </c>
      <c r="O68" s="156">
        <f t="shared" si="22"/>
        <v>47950</v>
      </c>
      <c r="P68" s="156">
        <f>('Table 2 StormwaterGroundwater'!U77*3.78541)*O68</f>
        <v>232794.78614465453</v>
      </c>
      <c r="Q68" s="156">
        <f t="shared" si="23"/>
        <v>47950</v>
      </c>
      <c r="R68" s="156">
        <f>('Table 2 StormwaterGroundwater'!W77*3.78541)*Q68</f>
        <v>187079.7979289369</v>
      </c>
      <c r="S68" s="156">
        <f t="shared" si="24"/>
        <v>47950</v>
      </c>
      <c r="T68" s="156">
        <f>('Table 2 StormwaterGroundwater'!Y77*3.78541)*S68</f>
        <v>632976.75990993681</v>
      </c>
      <c r="U68" s="156">
        <f t="shared" si="25"/>
        <v>199667</v>
      </c>
      <c r="V68" s="156">
        <f>('Table 2 StormwaterGroundwater'!AA77*3.78541)*U68</f>
        <v>4998177.1296582036</v>
      </c>
      <c r="W68" s="156">
        <f t="shared" si="26"/>
        <v>199667</v>
      </c>
      <c r="X68" s="156">
        <f>('Table 2 StormwaterGroundwater'!AC77*3.78541)*W68</f>
        <v>6140338.7003027536</v>
      </c>
      <c r="Y68" s="156">
        <f t="shared" si="27"/>
        <v>199667</v>
      </c>
      <c r="Z68" s="156">
        <f>('Table 2 StormwaterGroundwater'!AE77*3.78541)*Y68</f>
        <v>7721793.1827336689</v>
      </c>
      <c r="AA68" s="156">
        <f>'Table 7 WTP Sulfate Balance'!G70</f>
        <v>7551.8079096045194</v>
      </c>
      <c r="AB68" s="156">
        <f>AA68*'Table 6 WTP Flow Balance'!H68</f>
        <v>935669</v>
      </c>
      <c r="AC68" s="156">
        <f>(D68+F68+H68+J68+L68+N68+P68+R68+T68+V68+X68+Z68+AB68)/(('Table 5 Flows to Evap &amp; WTP'!F74+'Table 6 WTP Flow Balance'!H68)*3.78541)</f>
        <v>44266.395104313291</v>
      </c>
      <c r="AD68" s="156">
        <f>(AC68/(453592*2000))*(('Table 5 Flows to Evap &amp; WTP'!F74+'Table 6 WTP Flow Balance'!H68)*365*1440*3.785)</f>
        <v>12554.223444302777</v>
      </c>
      <c r="AE68" s="140">
        <f t="shared" si="13"/>
        <v>24154.350061188601</v>
      </c>
    </row>
    <row r="69" spans="2:31" ht="14.25" x14ac:dyDescent="0.2">
      <c r="B69" s="345">
        <f t="shared" si="17"/>
        <v>70</v>
      </c>
      <c r="C69" s="156">
        <f t="shared" si="18"/>
        <v>2400</v>
      </c>
      <c r="D69" s="156">
        <f>('Table 2 StormwaterGroundwater'!K78*3.78541)*C69</f>
        <v>0</v>
      </c>
      <c r="E69" s="156">
        <f t="shared" si="19"/>
        <v>2400</v>
      </c>
      <c r="F69" s="156">
        <f>('Table 2 StormwaterGroundwater'!M78*3.78541)*E69</f>
        <v>0</v>
      </c>
      <c r="G69" s="156">
        <f t="shared" si="20"/>
        <v>2400</v>
      </c>
      <c r="H69" s="156">
        <f>('Table 2 StormwaterGroundwater'!O78*3.78541)*G69</f>
        <v>0</v>
      </c>
      <c r="I69" s="156">
        <f t="shared" si="15"/>
        <v>2402</v>
      </c>
      <c r="J69" s="156">
        <f>('Table 2 StormwaterGroundwater'!G73*3.78541)*I69</f>
        <v>163665.98676000003</v>
      </c>
      <c r="K69" s="156">
        <f t="shared" si="16"/>
        <v>1492.5</v>
      </c>
      <c r="L69" s="156">
        <f>K69*('Table 2 StormwaterGroundwater'!H73*3.78541)</f>
        <v>48870.116276250003</v>
      </c>
      <c r="M69" s="156">
        <f t="shared" si="21"/>
        <v>47950</v>
      </c>
      <c r="N69" s="156">
        <f>('Table 2 StormwaterGroundwater'!Q78*3.78541)*M69</f>
        <v>609533.17620956874</v>
      </c>
      <c r="O69" s="156">
        <f t="shared" si="22"/>
        <v>47950</v>
      </c>
      <c r="P69" s="156">
        <f>('Table 2 StormwaterGroundwater'!U78*3.78541)*O69</f>
        <v>232794.78614465453</v>
      </c>
      <c r="Q69" s="156">
        <f t="shared" si="23"/>
        <v>47950</v>
      </c>
      <c r="R69" s="156">
        <f>('Table 2 StormwaterGroundwater'!W78*3.78541)*Q69</f>
        <v>187079.7979289369</v>
      </c>
      <c r="S69" s="156">
        <f t="shared" si="24"/>
        <v>47950</v>
      </c>
      <c r="T69" s="156">
        <f>('Table 2 StormwaterGroundwater'!Y78*3.78541)*S69</f>
        <v>632976.75990993681</v>
      </c>
      <c r="U69" s="156">
        <f t="shared" si="25"/>
        <v>199667</v>
      </c>
      <c r="V69" s="156">
        <f>('Table 2 StormwaterGroundwater'!AA78*3.78541)*U69</f>
        <v>4998177.1296582036</v>
      </c>
      <c r="W69" s="156">
        <f t="shared" si="26"/>
        <v>199667</v>
      </c>
      <c r="X69" s="156">
        <f>('Table 2 StormwaterGroundwater'!AC78*3.78541)*W69</f>
        <v>6140338.7003027536</v>
      </c>
      <c r="Y69" s="156">
        <f t="shared" si="27"/>
        <v>199667</v>
      </c>
      <c r="Z69" s="156">
        <f>('Table 2 StormwaterGroundwater'!AE78*3.78541)*Y69</f>
        <v>7721793.1827336689</v>
      </c>
      <c r="AA69" s="156">
        <f>'Table 7 WTP Sulfate Balance'!G71</f>
        <v>7551.8079096045194</v>
      </c>
      <c r="AB69" s="156">
        <f>AA69*'Table 6 WTP Flow Balance'!H69</f>
        <v>935669</v>
      </c>
      <c r="AC69" s="156">
        <f>(D69+F69+H69+J69+L69+N69+P69+R69+T69+V69+X69+Z69+AB69)/(('Table 5 Flows to Evap &amp; WTP'!F75+'Table 6 WTP Flow Balance'!H69)*3.78541)</f>
        <v>44266.395104313291</v>
      </c>
      <c r="AD69" s="156">
        <f>(AC69/(453592*2000))*(('Table 5 Flows to Evap &amp; WTP'!F75+'Table 6 WTP Flow Balance'!H69)*365*1440*3.785)</f>
        <v>12554.223444302777</v>
      </c>
      <c r="AE69" s="140">
        <f t="shared" si="13"/>
        <v>24154.350061188601</v>
      </c>
    </row>
    <row r="70" spans="2:31" ht="14.25" x14ac:dyDescent="0.2">
      <c r="B70" s="345">
        <f t="shared" si="17"/>
        <v>71</v>
      </c>
      <c r="C70" s="156">
        <f t="shared" si="18"/>
        <v>2400</v>
      </c>
      <c r="D70" s="156">
        <f>('Table 2 StormwaterGroundwater'!K79*3.78541)*C70</f>
        <v>0</v>
      </c>
      <c r="E70" s="156">
        <f t="shared" si="19"/>
        <v>2400</v>
      </c>
      <c r="F70" s="156">
        <f>('Table 2 StormwaterGroundwater'!M79*3.78541)*E70</f>
        <v>0</v>
      </c>
      <c r="G70" s="156">
        <f t="shared" si="20"/>
        <v>2400</v>
      </c>
      <c r="H70" s="156">
        <f>('Table 2 StormwaterGroundwater'!O79*3.78541)*G70</f>
        <v>0</v>
      </c>
      <c r="I70" s="156">
        <f t="shared" ref="I70:I99" si="28">I69</f>
        <v>2402</v>
      </c>
      <c r="J70" s="156">
        <f>('Table 2 StormwaterGroundwater'!G74*3.78541)*I70</f>
        <v>163665.98676000003</v>
      </c>
      <c r="K70" s="156">
        <f t="shared" ref="K70:K99" si="29">K69</f>
        <v>1492.5</v>
      </c>
      <c r="L70" s="156">
        <f>K70*('Table 2 StormwaterGroundwater'!H74*3.78541)</f>
        <v>48870.116276250003</v>
      </c>
      <c r="M70" s="156">
        <f t="shared" si="21"/>
        <v>47950</v>
      </c>
      <c r="N70" s="156">
        <f>('Table 2 StormwaterGroundwater'!Q79*3.78541)*M70</f>
        <v>609533.17620956874</v>
      </c>
      <c r="O70" s="156">
        <f t="shared" si="22"/>
        <v>47950</v>
      </c>
      <c r="P70" s="156">
        <f>('Table 2 StormwaterGroundwater'!U79*3.78541)*O70</f>
        <v>232794.78614465453</v>
      </c>
      <c r="Q70" s="156">
        <f t="shared" si="23"/>
        <v>47950</v>
      </c>
      <c r="R70" s="156">
        <f>('Table 2 StormwaterGroundwater'!W79*3.78541)*Q70</f>
        <v>187079.7979289369</v>
      </c>
      <c r="S70" s="156">
        <f t="shared" si="24"/>
        <v>47950</v>
      </c>
      <c r="T70" s="156">
        <f>('Table 2 StormwaterGroundwater'!Y79*3.78541)*S70</f>
        <v>632976.75990993681</v>
      </c>
      <c r="U70" s="156">
        <f t="shared" si="25"/>
        <v>199667</v>
      </c>
      <c r="V70" s="156">
        <f>('Table 2 StormwaterGroundwater'!AA79*3.78541)*U70</f>
        <v>4998177.1296582036</v>
      </c>
      <c r="W70" s="156">
        <f t="shared" si="26"/>
        <v>199667</v>
      </c>
      <c r="X70" s="156">
        <f>('Table 2 StormwaterGroundwater'!AC79*3.78541)*W70</f>
        <v>6140338.7003027536</v>
      </c>
      <c r="Y70" s="156">
        <f t="shared" si="27"/>
        <v>199667</v>
      </c>
      <c r="Z70" s="156">
        <f>('Table 2 StormwaterGroundwater'!AE79*3.78541)*Y70</f>
        <v>7721793.1827336689</v>
      </c>
      <c r="AA70" s="156">
        <f>'Table 7 WTP Sulfate Balance'!G72</f>
        <v>7551.8079096045194</v>
      </c>
      <c r="AB70" s="156">
        <f>AA70*'Table 6 WTP Flow Balance'!H70</f>
        <v>935669</v>
      </c>
      <c r="AC70" s="156">
        <f>(D70+F70+H70+J70+L70+N70+P70+R70+T70+V70+X70+Z70+AB70)/(('Table 5 Flows to Evap &amp; WTP'!F76+'Table 6 WTP Flow Balance'!H70)*3.78541)</f>
        <v>44266.395104313291</v>
      </c>
      <c r="AD70" s="156">
        <f>(AC70/(453592*2000))*(('Table 5 Flows to Evap &amp; WTP'!F76+'Table 6 WTP Flow Balance'!H70)*365*1440*3.785)</f>
        <v>12554.223444302777</v>
      </c>
      <c r="AE70" s="140">
        <f t="shared" ref="AE70:AE99" si="30">((AD70*2000)/(77/2))/27</f>
        <v>24154.350061188601</v>
      </c>
    </row>
    <row r="71" spans="2:31" ht="14.25" x14ac:dyDescent="0.2">
      <c r="B71" s="345">
        <f t="shared" si="17"/>
        <v>72</v>
      </c>
      <c r="C71" s="156">
        <f t="shared" si="18"/>
        <v>2400</v>
      </c>
      <c r="D71" s="156">
        <f>('Table 2 StormwaterGroundwater'!K80*3.78541)*C71</f>
        <v>0</v>
      </c>
      <c r="E71" s="156">
        <f t="shared" si="19"/>
        <v>2400</v>
      </c>
      <c r="F71" s="156">
        <f>('Table 2 StormwaterGroundwater'!M80*3.78541)*E71</f>
        <v>0</v>
      </c>
      <c r="G71" s="156">
        <f t="shared" si="20"/>
        <v>2400</v>
      </c>
      <c r="H71" s="156">
        <f>('Table 2 StormwaterGroundwater'!O80*3.78541)*G71</f>
        <v>0</v>
      </c>
      <c r="I71" s="156">
        <f t="shared" si="28"/>
        <v>2402</v>
      </c>
      <c r="J71" s="156">
        <f>('Table 2 StormwaterGroundwater'!G75*3.78541)*I71</f>
        <v>163665.98676000003</v>
      </c>
      <c r="K71" s="156">
        <f t="shared" si="29"/>
        <v>1492.5</v>
      </c>
      <c r="L71" s="156">
        <f>K71*('Table 2 StormwaterGroundwater'!H75*3.78541)</f>
        <v>48870.116276250003</v>
      </c>
      <c r="M71" s="156">
        <f t="shared" si="21"/>
        <v>47950</v>
      </c>
      <c r="N71" s="156">
        <f>('Table 2 StormwaterGroundwater'!Q80*3.78541)*M71</f>
        <v>609533.17620956874</v>
      </c>
      <c r="O71" s="156">
        <f t="shared" si="22"/>
        <v>47950</v>
      </c>
      <c r="P71" s="156">
        <f>('Table 2 StormwaterGroundwater'!U80*3.78541)*O71</f>
        <v>232794.78614465453</v>
      </c>
      <c r="Q71" s="156">
        <f t="shared" si="23"/>
        <v>47950</v>
      </c>
      <c r="R71" s="156">
        <f>('Table 2 StormwaterGroundwater'!W80*3.78541)*Q71</f>
        <v>187079.7979289369</v>
      </c>
      <c r="S71" s="156">
        <f t="shared" si="24"/>
        <v>47950</v>
      </c>
      <c r="T71" s="156">
        <f>('Table 2 StormwaterGroundwater'!Y80*3.78541)*S71</f>
        <v>632976.75990993681</v>
      </c>
      <c r="U71" s="156">
        <f t="shared" si="25"/>
        <v>199667</v>
      </c>
      <c r="V71" s="156">
        <f>('Table 2 StormwaterGroundwater'!AA80*3.78541)*U71</f>
        <v>4998177.1296582036</v>
      </c>
      <c r="W71" s="156">
        <f t="shared" si="26"/>
        <v>199667</v>
      </c>
      <c r="X71" s="156">
        <f>('Table 2 StormwaterGroundwater'!AC80*3.78541)*W71</f>
        <v>6140338.7003027536</v>
      </c>
      <c r="Y71" s="156">
        <f t="shared" si="27"/>
        <v>199667</v>
      </c>
      <c r="Z71" s="156">
        <f>('Table 2 StormwaterGroundwater'!AE80*3.78541)*Y71</f>
        <v>7721793.1827336689</v>
      </c>
      <c r="AA71" s="156">
        <f>'Table 7 WTP Sulfate Balance'!G73</f>
        <v>7551.8079096045194</v>
      </c>
      <c r="AB71" s="156">
        <f>AA71*'Table 6 WTP Flow Balance'!H71</f>
        <v>935669</v>
      </c>
      <c r="AC71" s="156">
        <f>(D71+F71+H71+J71+L71+N71+P71+R71+T71+V71+X71+Z71+AB71)/(('Table 5 Flows to Evap &amp; WTP'!F77+'Table 6 WTP Flow Balance'!H71)*3.78541)</f>
        <v>44266.395104313291</v>
      </c>
      <c r="AD71" s="156">
        <f>(AC71/(453592*2000))*(('Table 5 Flows to Evap &amp; WTP'!F77+'Table 6 WTP Flow Balance'!H71)*365*1440*3.785)</f>
        <v>12554.223444302777</v>
      </c>
      <c r="AE71" s="140">
        <f t="shared" si="30"/>
        <v>24154.350061188601</v>
      </c>
    </row>
    <row r="72" spans="2:31" ht="14.25" x14ac:dyDescent="0.2">
      <c r="B72" s="345">
        <f t="shared" si="17"/>
        <v>73</v>
      </c>
      <c r="C72" s="156">
        <f t="shared" si="18"/>
        <v>2400</v>
      </c>
      <c r="D72" s="156">
        <f>('Table 2 StormwaterGroundwater'!K81*3.78541)*C72</f>
        <v>0</v>
      </c>
      <c r="E72" s="156">
        <f t="shared" si="19"/>
        <v>2400</v>
      </c>
      <c r="F72" s="156">
        <f>('Table 2 StormwaterGroundwater'!M81*3.78541)*E72</f>
        <v>0</v>
      </c>
      <c r="G72" s="156">
        <f t="shared" si="20"/>
        <v>2400</v>
      </c>
      <c r="H72" s="156">
        <f>('Table 2 StormwaterGroundwater'!O81*3.78541)*G72</f>
        <v>0</v>
      </c>
      <c r="I72" s="156">
        <f t="shared" si="28"/>
        <v>2402</v>
      </c>
      <c r="J72" s="156">
        <f>('Table 2 StormwaterGroundwater'!G76*3.78541)*I72</f>
        <v>163665.98676000003</v>
      </c>
      <c r="K72" s="156">
        <f t="shared" si="29"/>
        <v>1492.5</v>
      </c>
      <c r="L72" s="156">
        <f>K72*('Table 2 StormwaterGroundwater'!H76*3.78541)</f>
        <v>48870.116276250003</v>
      </c>
      <c r="M72" s="156">
        <f t="shared" si="21"/>
        <v>47950</v>
      </c>
      <c r="N72" s="156">
        <f>('Table 2 StormwaterGroundwater'!Q81*3.78541)*M72</f>
        <v>609533.17620956874</v>
      </c>
      <c r="O72" s="156">
        <f t="shared" si="22"/>
        <v>47950</v>
      </c>
      <c r="P72" s="156">
        <f>('Table 2 StormwaterGroundwater'!U81*3.78541)*O72</f>
        <v>232794.78614465453</v>
      </c>
      <c r="Q72" s="156">
        <f t="shared" si="23"/>
        <v>47950</v>
      </c>
      <c r="R72" s="156">
        <f>('Table 2 StormwaterGroundwater'!W81*3.78541)*Q72</f>
        <v>187079.7979289369</v>
      </c>
      <c r="S72" s="156">
        <f t="shared" si="24"/>
        <v>47950</v>
      </c>
      <c r="T72" s="156">
        <f>('Table 2 StormwaterGroundwater'!Y81*3.78541)*S72</f>
        <v>632976.75990993681</v>
      </c>
      <c r="U72" s="156">
        <f t="shared" si="25"/>
        <v>199667</v>
      </c>
      <c r="V72" s="156">
        <f>('Table 2 StormwaterGroundwater'!AA81*3.78541)*U72</f>
        <v>4998177.1296582036</v>
      </c>
      <c r="W72" s="156">
        <f t="shared" si="26"/>
        <v>199667</v>
      </c>
      <c r="X72" s="156">
        <f>('Table 2 StormwaterGroundwater'!AC81*3.78541)*W72</f>
        <v>6140338.7003027536</v>
      </c>
      <c r="Y72" s="156">
        <f t="shared" si="27"/>
        <v>199667</v>
      </c>
      <c r="Z72" s="156">
        <f>('Table 2 StormwaterGroundwater'!AE81*3.78541)*Y72</f>
        <v>7721793.1827336689</v>
      </c>
      <c r="AA72" s="156">
        <f>'Table 7 WTP Sulfate Balance'!G74</f>
        <v>7551.8079096045194</v>
      </c>
      <c r="AB72" s="156">
        <f>AA72*'Table 6 WTP Flow Balance'!H72</f>
        <v>935669</v>
      </c>
      <c r="AC72" s="156">
        <f>(D72+F72+H72+J72+L72+N72+P72+R72+T72+V72+X72+Z72+AB72)/(('Table 5 Flows to Evap &amp; WTP'!F78+'Table 6 WTP Flow Balance'!H72)*3.78541)</f>
        <v>44266.395104313291</v>
      </c>
      <c r="AD72" s="156">
        <f>(AC72/(453592*2000))*(('Table 5 Flows to Evap &amp; WTP'!F78+'Table 6 WTP Flow Balance'!H72)*365*1440*3.785)</f>
        <v>12554.223444302777</v>
      </c>
      <c r="AE72" s="140">
        <f t="shared" si="30"/>
        <v>24154.350061188601</v>
      </c>
    </row>
    <row r="73" spans="2:31" ht="14.25" x14ac:dyDescent="0.2">
      <c r="B73" s="345">
        <f t="shared" si="17"/>
        <v>74</v>
      </c>
      <c r="C73" s="156">
        <f t="shared" si="18"/>
        <v>2400</v>
      </c>
      <c r="D73" s="156">
        <f>('Table 2 StormwaterGroundwater'!K82*3.78541)*C73</f>
        <v>0</v>
      </c>
      <c r="E73" s="156">
        <f t="shared" si="19"/>
        <v>2400</v>
      </c>
      <c r="F73" s="156">
        <f>('Table 2 StormwaterGroundwater'!M82*3.78541)*E73</f>
        <v>0</v>
      </c>
      <c r="G73" s="156">
        <f t="shared" si="20"/>
        <v>2400</v>
      </c>
      <c r="H73" s="156">
        <f>('Table 2 StormwaterGroundwater'!O82*3.78541)*G73</f>
        <v>0</v>
      </c>
      <c r="I73" s="156">
        <f t="shared" si="28"/>
        <v>2402</v>
      </c>
      <c r="J73" s="156">
        <f>('Table 2 StormwaterGroundwater'!G77*3.78541)*I73</f>
        <v>163665.98676000003</v>
      </c>
      <c r="K73" s="156">
        <f t="shared" si="29"/>
        <v>1492.5</v>
      </c>
      <c r="L73" s="156">
        <f>K73*('Table 2 StormwaterGroundwater'!H77*3.78541)</f>
        <v>48870.116276250003</v>
      </c>
      <c r="M73" s="156">
        <f t="shared" si="21"/>
        <v>47950</v>
      </c>
      <c r="N73" s="156">
        <f>('Table 2 StormwaterGroundwater'!Q82*3.78541)*M73</f>
        <v>609533.17620956874</v>
      </c>
      <c r="O73" s="156">
        <f t="shared" si="22"/>
        <v>47950</v>
      </c>
      <c r="P73" s="156">
        <f>('Table 2 StormwaterGroundwater'!U82*3.78541)*O73</f>
        <v>232794.78614465453</v>
      </c>
      <c r="Q73" s="156">
        <f t="shared" si="23"/>
        <v>47950</v>
      </c>
      <c r="R73" s="156">
        <f>('Table 2 StormwaterGroundwater'!W82*3.78541)*Q73</f>
        <v>187079.7979289369</v>
      </c>
      <c r="S73" s="156">
        <f t="shared" si="24"/>
        <v>47950</v>
      </c>
      <c r="T73" s="156">
        <f>('Table 2 StormwaterGroundwater'!Y82*3.78541)*S73</f>
        <v>632976.75990993681</v>
      </c>
      <c r="U73" s="156">
        <f t="shared" si="25"/>
        <v>199667</v>
      </c>
      <c r="V73" s="156">
        <f>('Table 2 StormwaterGroundwater'!AA82*3.78541)*U73</f>
        <v>4998177.1296582036</v>
      </c>
      <c r="W73" s="156">
        <f t="shared" si="26"/>
        <v>199667</v>
      </c>
      <c r="X73" s="156">
        <f>('Table 2 StormwaterGroundwater'!AC82*3.78541)*W73</f>
        <v>6140338.7003027536</v>
      </c>
      <c r="Y73" s="156">
        <f t="shared" si="27"/>
        <v>199667</v>
      </c>
      <c r="Z73" s="156">
        <f>('Table 2 StormwaterGroundwater'!AE82*3.78541)*Y73</f>
        <v>7721793.1827336689</v>
      </c>
      <c r="AA73" s="156">
        <f>'Table 7 WTP Sulfate Balance'!G75</f>
        <v>7551.8079096045194</v>
      </c>
      <c r="AB73" s="156">
        <f>AA73*'Table 6 WTP Flow Balance'!H73</f>
        <v>935669</v>
      </c>
      <c r="AC73" s="156">
        <f>(D73+F73+H73+J73+L73+N73+P73+R73+T73+V73+X73+Z73+AB73)/(('Table 5 Flows to Evap &amp; WTP'!F79+'Table 6 WTP Flow Balance'!H73)*3.78541)</f>
        <v>44266.395104313291</v>
      </c>
      <c r="AD73" s="156">
        <f>(AC73/(453592*2000))*(('Table 5 Flows to Evap &amp; WTP'!F79+'Table 6 WTP Flow Balance'!H73)*365*1440*3.785)</f>
        <v>12554.223444302777</v>
      </c>
      <c r="AE73" s="140">
        <f t="shared" si="30"/>
        <v>24154.350061188601</v>
      </c>
    </row>
    <row r="74" spans="2:31" ht="14.25" x14ac:dyDescent="0.2">
      <c r="B74" s="345">
        <f t="shared" si="17"/>
        <v>75</v>
      </c>
      <c r="C74" s="156">
        <f t="shared" si="18"/>
        <v>2400</v>
      </c>
      <c r="D74" s="156">
        <f>('Table 2 StormwaterGroundwater'!K83*3.78541)*C74</f>
        <v>0</v>
      </c>
      <c r="E74" s="156">
        <f t="shared" si="19"/>
        <v>2400</v>
      </c>
      <c r="F74" s="156">
        <f>('Table 2 StormwaterGroundwater'!M83*3.78541)*E74</f>
        <v>0</v>
      </c>
      <c r="G74" s="156">
        <f t="shared" si="20"/>
        <v>2400</v>
      </c>
      <c r="H74" s="156">
        <f>('Table 2 StormwaterGroundwater'!O83*3.78541)*G74</f>
        <v>0</v>
      </c>
      <c r="I74" s="156">
        <f t="shared" si="28"/>
        <v>2402</v>
      </c>
      <c r="J74" s="156">
        <f>('Table 2 StormwaterGroundwater'!G78*3.78541)*I74</f>
        <v>163665.98676000003</v>
      </c>
      <c r="K74" s="156">
        <f t="shared" si="29"/>
        <v>1492.5</v>
      </c>
      <c r="L74" s="156">
        <f>K74*('Table 2 StormwaterGroundwater'!H78*3.78541)</f>
        <v>48870.116276250003</v>
      </c>
      <c r="M74" s="156">
        <f t="shared" si="21"/>
        <v>47950</v>
      </c>
      <c r="N74" s="156">
        <f>('Table 2 StormwaterGroundwater'!Q83*3.78541)*M74</f>
        <v>609533.17620956874</v>
      </c>
      <c r="O74" s="156">
        <f t="shared" si="22"/>
        <v>47950</v>
      </c>
      <c r="P74" s="156">
        <f>('Table 2 StormwaterGroundwater'!U83*3.78541)*O74</f>
        <v>232794.78614465453</v>
      </c>
      <c r="Q74" s="156">
        <f t="shared" si="23"/>
        <v>47950</v>
      </c>
      <c r="R74" s="156">
        <f>('Table 2 StormwaterGroundwater'!W83*3.78541)*Q74</f>
        <v>187079.7979289369</v>
      </c>
      <c r="S74" s="156">
        <f t="shared" si="24"/>
        <v>47950</v>
      </c>
      <c r="T74" s="156">
        <f>('Table 2 StormwaterGroundwater'!Y83*3.78541)*S74</f>
        <v>632976.75990993681</v>
      </c>
      <c r="U74" s="156">
        <f t="shared" si="25"/>
        <v>199667</v>
      </c>
      <c r="V74" s="156">
        <f>('Table 2 StormwaterGroundwater'!AA83*3.78541)*U74</f>
        <v>4998177.1296582036</v>
      </c>
      <c r="W74" s="156">
        <f t="shared" si="26"/>
        <v>199667</v>
      </c>
      <c r="X74" s="156">
        <f>('Table 2 StormwaterGroundwater'!AC83*3.78541)*W74</f>
        <v>6140338.7003027536</v>
      </c>
      <c r="Y74" s="156">
        <f t="shared" si="27"/>
        <v>199667</v>
      </c>
      <c r="Z74" s="156">
        <f>('Table 2 StormwaterGroundwater'!AE83*3.78541)*Y74</f>
        <v>7721793.1827336689</v>
      </c>
      <c r="AA74" s="156">
        <f>'Table 7 WTP Sulfate Balance'!G76</f>
        <v>7551.8079096045194</v>
      </c>
      <c r="AB74" s="156">
        <f>AA74*'Table 6 WTP Flow Balance'!H74</f>
        <v>935669</v>
      </c>
      <c r="AC74" s="156">
        <f>(D74+F74+H74+J74+L74+N74+P74+R74+T74+V74+X74+Z74+AB74)/(('Table 5 Flows to Evap &amp; WTP'!F80+'Table 6 WTP Flow Balance'!H74)*3.78541)</f>
        <v>44266.395104313291</v>
      </c>
      <c r="AD74" s="156">
        <f>(AC74/(453592*2000))*(('Table 5 Flows to Evap &amp; WTP'!F80+'Table 6 WTP Flow Balance'!H74)*365*1440*3.785)</f>
        <v>12554.223444302777</v>
      </c>
      <c r="AE74" s="140">
        <f t="shared" si="30"/>
        <v>24154.350061188601</v>
      </c>
    </row>
    <row r="75" spans="2:31" ht="14.25" x14ac:dyDescent="0.2">
      <c r="B75" s="345">
        <f t="shared" si="17"/>
        <v>76</v>
      </c>
      <c r="C75" s="156">
        <f t="shared" si="18"/>
        <v>2400</v>
      </c>
      <c r="D75" s="156">
        <f>('Table 2 StormwaterGroundwater'!K84*3.78541)*C75</f>
        <v>0</v>
      </c>
      <c r="E75" s="156">
        <f t="shared" si="19"/>
        <v>2400</v>
      </c>
      <c r="F75" s="156">
        <f>('Table 2 StormwaterGroundwater'!M84*3.78541)*E75</f>
        <v>0</v>
      </c>
      <c r="G75" s="156">
        <f t="shared" si="20"/>
        <v>2400</v>
      </c>
      <c r="H75" s="156">
        <f>('Table 2 StormwaterGroundwater'!O84*3.78541)*G75</f>
        <v>0</v>
      </c>
      <c r="I75" s="156">
        <f t="shared" si="28"/>
        <v>2402</v>
      </c>
      <c r="J75" s="156">
        <f>('Table 2 StormwaterGroundwater'!G79*3.78541)*I75</f>
        <v>163665.98676000003</v>
      </c>
      <c r="K75" s="156">
        <f t="shared" si="29"/>
        <v>1492.5</v>
      </c>
      <c r="L75" s="156">
        <f>K75*('Table 2 StormwaterGroundwater'!H79*3.78541)</f>
        <v>48870.116276250003</v>
      </c>
      <c r="M75" s="156">
        <f t="shared" si="21"/>
        <v>47950</v>
      </c>
      <c r="N75" s="156">
        <f>('Table 2 StormwaterGroundwater'!Q84*3.78541)*M75</f>
        <v>609533.17620956874</v>
      </c>
      <c r="O75" s="156">
        <f t="shared" si="22"/>
        <v>47950</v>
      </c>
      <c r="P75" s="156">
        <f>('Table 2 StormwaterGroundwater'!U84*3.78541)*O75</f>
        <v>232794.78614465453</v>
      </c>
      <c r="Q75" s="156">
        <f t="shared" si="23"/>
        <v>47950</v>
      </c>
      <c r="R75" s="156">
        <f>('Table 2 StormwaterGroundwater'!W84*3.78541)*Q75</f>
        <v>187079.7979289369</v>
      </c>
      <c r="S75" s="156">
        <f t="shared" si="24"/>
        <v>47950</v>
      </c>
      <c r="T75" s="156">
        <f>('Table 2 StormwaterGroundwater'!Y84*3.78541)*S75</f>
        <v>632976.75990993681</v>
      </c>
      <c r="U75" s="156">
        <f t="shared" si="25"/>
        <v>199667</v>
      </c>
      <c r="V75" s="156">
        <f>('Table 2 StormwaterGroundwater'!AA84*3.78541)*U75</f>
        <v>4998177.1296582036</v>
      </c>
      <c r="W75" s="156">
        <f t="shared" si="26"/>
        <v>199667</v>
      </c>
      <c r="X75" s="156">
        <f>('Table 2 StormwaterGroundwater'!AC84*3.78541)*W75</f>
        <v>6140338.7003027536</v>
      </c>
      <c r="Y75" s="156">
        <f t="shared" si="27"/>
        <v>199667</v>
      </c>
      <c r="Z75" s="156">
        <f>('Table 2 StormwaterGroundwater'!AE84*3.78541)*Y75</f>
        <v>7721793.1827336689</v>
      </c>
      <c r="AA75" s="156">
        <f>'Table 7 WTP Sulfate Balance'!G77</f>
        <v>7551.8079096045194</v>
      </c>
      <c r="AB75" s="156">
        <f>AA75*'Table 6 WTP Flow Balance'!H75</f>
        <v>935669</v>
      </c>
      <c r="AC75" s="156">
        <f>(D75+F75+H75+J75+L75+N75+P75+R75+T75+V75+X75+Z75+AB75)/(('Table 5 Flows to Evap &amp; WTP'!F81+'Table 6 WTP Flow Balance'!H75)*3.78541)</f>
        <v>44266.395104313291</v>
      </c>
      <c r="AD75" s="156">
        <f>(AC75/(453592*2000))*(('Table 5 Flows to Evap &amp; WTP'!F81+'Table 6 WTP Flow Balance'!H75)*365*1440*3.785)</f>
        <v>12554.223444302777</v>
      </c>
      <c r="AE75" s="140">
        <f t="shared" si="30"/>
        <v>24154.350061188601</v>
      </c>
    </row>
    <row r="76" spans="2:31" ht="14.25" x14ac:dyDescent="0.2">
      <c r="B76" s="345">
        <f t="shared" si="17"/>
        <v>77</v>
      </c>
      <c r="C76" s="156">
        <f t="shared" si="18"/>
        <v>2400</v>
      </c>
      <c r="D76" s="156">
        <f>('Table 2 StormwaterGroundwater'!K85*3.78541)*C76</f>
        <v>0</v>
      </c>
      <c r="E76" s="156">
        <f t="shared" si="19"/>
        <v>2400</v>
      </c>
      <c r="F76" s="156">
        <f>('Table 2 StormwaterGroundwater'!M85*3.78541)*E76</f>
        <v>0</v>
      </c>
      <c r="G76" s="156">
        <f t="shared" si="20"/>
        <v>2400</v>
      </c>
      <c r="H76" s="156">
        <f>('Table 2 StormwaterGroundwater'!O85*3.78541)*G76</f>
        <v>0</v>
      </c>
      <c r="I76" s="156">
        <f t="shared" si="28"/>
        <v>2402</v>
      </c>
      <c r="J76" s="156">
        <f>('Table 2 StormwaterGroundwater'!G80*3.78541)*I76</f>
        <v>163665.98676000003</v>
      </c>
      <c r="K76" s="156">
        <f t="shared" si="29"/>
        <v>1492.5</v>
      </c>
      <c r="L76" s="156">
        <f>K76*('Table 2 StormwaterGroundwater'!H80*3.78541)</f>
        <v>48870.116276250003</v>
      </c>
      <c r="M76" s="156">
        <f t="shared" si="21"/>
        <v>47950</v>
      </c>
      <c r="N76" s="156">
        <f>('Table 2 StormwaterGroundwater'!Q85*3.78541)*M76</f>
        <v>609533.17620956874</v>
      </c>
      <c r="O76" s="156">
        <f t="shared" si="22"/>
        <v>47950</v>
      </c>
      <c r="P76" s="156">
        <f>('Table 2 StormwaterGroundwater'!U85*3.78541)*O76</f>
        <v>232794.78614465453</v>
      </c>
      <c r="Q76" s="156">
        <f t="shared" si="23"/>
        <v>47950</v>
      </c>
      <c r="R76" s="156">
        <f>('Table 2 StormwaterGroundwater'!W85*3.78541)*Q76</f>
        <v>187079.7979289369</v>
      </c>
      <c r="S76" s="156">
        <f t="shared" si="24"/>
        <v>47950</v>
      </c>
      <c r="T76" s="156">
        <f>('Table 2 StormwaterGroundwater'!Y85*3.78541)*S76</f>
        <v>632976.75990993681</v>
      </c>
      <c r="U76" s="156">
        <f t="shared" si="25"/>
        <v>199667</v>
      </c>
      <c r="V76" s="156">
        <f>('Table 2 StormwaterGroundwater'!AA85*3.78541)*U76</f>
        <v>4998177.1296582036</v>
      </c>
      <c r="W76" s="156">
        <f t="shared" si="26"/>
        <v>199667</v>
      </c>
      <c r="X76" s="156">
        <f>('Table 2 StormwaterGroundwater'!AC85*3.78541)*W76</f>
        <v>6140338.7003027536</v>
      </c>
      <c r="Y76" s="156">
        <f t="shared" si="27"/>
        <v>199667</v>
      </c>
      <c r="Z76" s="156">
        <f>('Table 2 StormwaterGroundwater'!AE85*3.78541)*Y76</f>
        <v>7721793.1827336689</v>
      </c>
      <c r="AA76" s="156">
        <f>'Table 7 WTP Sulfate Balance'!G78</f>
        <v>7551.8079096045194</v>
      </c>
      <c r="AB76" s="156">
        <f>AA76*'Table 6 WTP Flow Balance'!H76</f>
        <v>935669</v>
      </c>
      <c r="AC76" s="156">
        <f>(D76+F76+H76+J76+L76+N76+P76+R76+T76+V76+X76+Z76+AB76)/(('Table 5 Flows to Evap &amp; WTP'!F82+'Table 6 WTP Flow Balance'!H76)*3.78541)</f>
        <v>44266.395104313291</v>
      </c>
      <c r="AD76" s="156">
        <f>(AC76/(453592*2000))*(('Table 5 Flows to Evap &amp; WTP'!F82+'Table 6 WTP Flow Balance'!H76)*365*1440*3.785)</f>
        <v>12554.223444302777</v>
      </c>
      <c r="AE76" s="140">
        <f t="shared" si="30"/>
        <v>24154.350061188601</v>
      </c>
    </row>
    <row r="77" spans="2:31" ht="14.25" x14ac:dyDescent="0.2">
      <c r="B77" s="345">
        <f t="shared" si="17"/>
        <v>78</v>
      </c>
      <c r="C77" s="156">
        <f t="shared" si="18"/>
        <v>2400</v>
      </c>
      <c r="D77" s="156">
        <f>('Table 2 StormwaterGroundwater'!K86*3.78541)*C77</f>
        <v>0</v>
      </c>
      <c r="E77" s="156">
        <f t="shared" si="19"/>
        <v>2400</v>
      </c>
      <c r="F77" s="156">
        <f>('Table 2 StormwaterGroundwater'!M86*3.78541)*E77</f>
        <v>0</v>
      </c>
      <c r="G77" s="156">
        <f t="shared" si="20"/>
        <v>2400</v>
      </c>
      <c r="H77" s="156">
        <f>('Table 2 StormwaterGroundwater'!O86*3.78541)*G77</f>
        <v>0</v>
      </c>
      <c r="I77" s="156">
        <f t="shared" si="28"/>
        <v>2402</v>
      </c>
      <c r="J77" s="156">
        <f>('Table 2 StormwaterGroundwater'!G81*3.78541)*I77</f>
        <v>163665.98676000003</v>
      </c>
      <c r="K77" s="156">
        <f t="shared" si="29"/>
        <v>1492.5</v>
      </c>
      <c r="L77" s="156">
        <f>K77*('Table 2 StormwaterGroundwater'!H81*3.78541)</f>
        <v>48870.116276250003</v>
      </c>
      <c r="M77" s="156">
        <f t="shared" si="21"/>
        <v>47950</v>
      </c>
      <c r="N77" s="156">
        <f>('Table 2 StormwaterGroundwater'!Q86*3.78541)*M77</f>
        <v>609533.17620956874</v>
      </c>
      <c r="O77" s="156">
        <f t="shared" si="22"/>
        <v>47950</v>
      </c>
      <c r="P77" s="156">
        <f>('Table 2 StormwaterGroundwater'!U86*3.78541)*O77</f>
        <v>232794.78614465453</v>
      </c>
      <c r="Q77" s="156">
        <f t="shared" si="23"/>
        <v>47950</v>
      </c>
      <c r="R77" s="156">
        <f>('Table 2 StormwaterGroundwater'!W86*3.78541)*Q77</f>
        <v>187079.7979289369</v>
      </c>
      <c r="S77" s="156">
        <f t="shared" si="24"/>
        <v>47950</v>
      </c>
      <c r="T77" s="156">
        <f>('Table 2 StormwaterGroundwater'!Y86*3.78541)*S77</f>
        <v>632976.75990993681</v>
      </c>
      <c r="U77" s="156">
        <f t="shared" si="25"/>
        <v>199667</v>
      </c>
      <c r="V77" s="156">
        <f>('Table 2 StormwaterGroundwater'!AA86*3.78541)*U77</f>
        <v>4998177.1296582036</v>
      </c>
      <c r="W77" s="156">
        <f t="shared" si="26"/>
        <v>199667</v>
      </c>
      <c r="X77" s="156">
        <f>('Table 2 StormwaterGroundwater'!AC86*3.78541)*W77</f>
        <v>6140338.7003027536</v>
      </c>
      <c r="Y77" s="156">
        <f t="shared" si="27"/>
        <v>199667</v>
      </c>
      <c r="Z77" s="156">
        <f>('Table 2 StormwaterGroundwater'!AE86*3.78541)*Y77</f>
        <v>7721793.1827336689</v>
      </c>
      <c r="AA77" s="156">
        <f>'Table 7 WTP Sulfate Balance'!G79</f>
        <v>7551.8079096045194</v>
      </c>
      <c r="AB77" s="156">
        <f>AA77*'Table 6 WTP Flow Balance'!H77</f>
        <v>935669</v>
      </c>
      <c r="AC77" s="156">
        <f>(D77+F77+H77+J77+L77+N77+P77+R77+T77+V77+X77+Z77+AB77)/(('Table 5 Flows to Evap &amp; WTP'!F83+'Table 6 WTP Flow Balance'!H77)*3.78541)</f>
        <v>44266.395104313291</v>
      </c>
      <c r="AD77" s="156">
        <f>(AC77/(453592*2000))*(('Table 5 Flows to Evap &amp; WTP'!F83+'Table 6 WTP Flow Balance'!H77)*365*1440*3.785)</f>
        <v>12554.223444302777</v>
      </c>
      <c r="AE77" s="140">
        <f t="shared" si="30"/>
        <v>24154.350061188601</v>
      </c>
    </row>
    <row r="78" spans="2:31" ht="14.25" x14ac:dyDescent="0.2">
      <c r="B78" s="345">
        <f t="shared" si="17"/>
        <v>79</v>
      </c>
      <c r="C78" s="156">
        <f t="shared" si="18"/>
        <v>2400</v>
      </c>
      <c r="D78" s="156">
        <f>('Table 2 StormwaterGroundwater'!K87*3.78541)*C78</f>
        <v>0</v>
      </c>
      <c r="E78" s="156">
        <f t="shared" si="19"/>
        <v>2400</v>
      </c>
      <c r="F78" s="156">
        <f>('Table 2 StormwaterGroundwater'!M87*3.78541)*E78</f>
        <v>0</v>
      </c>
      <c r="G78" s="156">
        <f t="shared" si="20"/>
        <v>2400</v>
      </c>
      <c r="H78" s="156">
        <f>('Table 2 StormwaterGroundwater'!O87*3.78541)*G78</f>
        <v>0</v>
      </c>
      <c r="I78" s="156">
        <f t="shared" si="28"/>
        <v>2402</v>
      </c>
      <c r="J78" s="156">
        <f>('Table 2 StormwaterGroundwater'!G82*3.78541)*I78</f>
        <v>163665.98676000003</v>
      </c>
      <c r="K78" s="156">
        <f t="shared" si="29"/>
        <v>1492.5</v>
      </c>
      <c r="L78" s="156">
        <f>K78*('Table 2 StormwaterGroundwater'!H82*3.78541)</f>
        <v>48870.116276250003</v>
      </c>
      <c r="M78" s="156">
        <f t="shared" si="21"/>
        <v>47950</v>
      </c>
      <c r="N78" s="156">
        <f>('Table 2 StormwaterGroundwater'!Q87*3.78541)*M78</f>
        <v>609533.17620956874</v>
      </c>
      <c r="O78" s="156">
        <f t="shared" si="22"/>
        <v>47950</v>
      </c>
      <c r="P78" s="156">
        <f>('Table 2 StormwaterGroundwater'!U87*3.78541)*O78</f>
        <v>232794.78614465453</v>
      </c>
      <c r="Q78" s="156">
        <f t="shared" si="23"/>
        <v>47950</v>
      </c>
      <c r="R78" s="156">
        <f>('Table 2 StormwaterGroundwater'!W87*3.78541)*Q78</f>
        <v>187079.7979289369</v>
      </c>
      <c r="S78" s="156">
        <f t="shared" si="24"/>
        <v>47950</v>
      </c>
      <c r="T78" s="156">
        <f>('Table 2 StormwaterGroundwater'!Y87*3.78541)*S78</f>
        <v>632976.75990993681</v>
      </c>
      <c r="U78" s="156">
        <f t="shared" si="25"/>
        <v>199667</v>
      </c>
      <c r="V78" s="156">
        <f>('Table 2 StormwaterGroundwater'!AA87*3.78541)*U78</f>
        <v>4998177.1296582036</v>
      </c>
      <c r="W78" s="156">
        <f t="shared" si="26"/>
        <v>199667</v>
      </c>
      <c r="X78" s="156">
        <f>('Table 2 StormwaterGroundwater'!AC87*3.78541)*W78</f>
        <v>6140338.7003027536</v>
      </c>
      <c r="Y78" s="156">
        <f t="shared" si="27"/>
        <v>199667</v>
      </c>
      <c r="Z78" s="156">
        <f>('Table 2 StormwaterGroundwater'!AE87*3.78541)*Y78</f>
        <v>7721793.1827336689</v>
      </c>
      <c r="AA78" s="156">
        <f>'Table 7 WTP Sulfate Balance'!G80</f>
        <v>7551.8079096045194</v>
      </c>
      <c r="AB78" s="156">
        <f>AA78*'Table 6 WTP Flow Balance'!H78</f>
        <v>935669</v>
      </c>
      <c r="AC78" s="156">
        <f>(D78+F78+H78+J78+L78+N78+P78+R78+T78+V78+X78+Z78+AB78)/(('Table 5 Flows to Evap &amp; WTP'!F84+'Table 6 WTP Flow Balance'!H78)*3.78541)</f>
        <v>44266.395104313291</v>
      </c>
      <c r="AD78" s="156">
        <f>(AC78/(453592*2000))*(('Table 5 Flows to Evap &amp; WTP'!F84+'Table 6 WTP Flow Balance'!H78)*365*1440*3.785)</f>
        <v>12554.223444302777</v>
      </c>
      <c r="AE78" s="140">
        <f t="shared" si="30"/>
        <v>24154.350061188601</v>
      </c>
    </row>
    <row r="79" spans="2:31" ht="14.25" x14ac:dyDescent="0.2">
      <c r="B79" s="345">
        <f t="shared" si="17"/>
        <v>80</v>
      </c>
      <c r="C79" s="156">
        <f t="shared" si="18"/>
        <v>2400</v>
      </c>
      <c r="D79" s="156">
        <f>('Table 2 StormwaterGroundwater'!K88*3.78541)*C79</f>
        <v>0</v>
      </c>
      <c r="E79" s="156">
        <f t="shared" si="19"/>
        <v>2400</v>
      </c>
      <c r="F79" s="156">
        <f>('Table 2 StormwaterGroundwater'!M88*3.78541)*E79</f>
        <v>0</v>
      </c>
      <c r="G79" s="156">
        <f t="shared" si="20"/>
        <v>2400</v>
      </c>
      <c r="H79" s="156">
        <f>('Table 2 StormwaterGroundwater'!O88*3.78541)*G79</f>
        <v>0</v>
      </c>
      <c r="I79" s="156">
        <f t="shared" si="28"/>
        <v>2402</v>
      </c>
      <c r="J79" s="156">
        <f>('Table 2 StormwaterGroundwater'!G83*3.78541)*I79</f>
        <v>163665.98676000003</v>
      </c>
      <c r="K79" s="156">
        <f t="shared" si="29"/>
        <v>1492.5</v>
      </c>
      <c r="L79" s="156">
        <f>K79*('Table 2 StormwaterGroundwater'!H83*3.78541)</f>
        <v>48870.116276250003</v>
      </c>
      <c r="M79" s="156">
        <f t="shared" si="21"/>
        <v>47950</v>
      </c>
      <c r="N79" s="156">
        <f>('Table 2 StormwaterGroundwater'!Q88*3.78541)*M79</f>
        <v>609533.17620956874</v>
      </c>
      <c r="O79" s="156">
        <f t="shared" si="22"/>
        <v>47950</v>
      </c>
      <c r="P79" s="156">
        <f>('Table 2 StormwaterGroundwater'!U88*3.78541)*O79</f>
        <v>232794.78614465453</v>
      </c>
      <c r="Q79" s="156">
        <f t="shared" si="23"/>
        <v>47950</v>
      </c>
      <c r="R79" s="156">
        <f>('Table 2 StormwaterGroundwater'!W88*3.78541)*Q79</f>
        <v>187079.7979289369</v>
      </c>
      <c r="S79" s="156">
        <f t="shared" si="24"/>
        <v>47950</v>
      </c>
      <c r="T79" s="156">
        <f>('Table 2 StormwaterGroundwater'!Y88*3.78541)*S79</f>
        <v>632976.75990993681</v>
      </c>
      <c r="U79" s="156">
        <f t="shared" si="25"/>
        <v>199667</v>
      </c>
      <c r="V79" s="156">
        <f>('Table 2 StormwaterGroundwater'!AA88*3.78541)*U79</f>
        <v>4998177.1296582036</v>
      </c>
      <c r="W79" s="156">
        <f t="shared" si="26"/>
        <v>199667</v>
      </c>
      <c r="X79" s="156">
        <f>('Table 2 StormwaterGroundwater'!AC88*3.78541)*W79</f>
        <v>6140338.7003027536</v>
      </c>
      <c r="Y79" s="156">
        <f t="shared" si="27"/>
        <v>199667</v>
      </c>
      <c r="Z79" s="156">
        <f>('Table 2 StormwaterGroundwater'!AE88*3.78541)*Y79</f>
        <v>7721793.1827336689</v>
      </c>
      <c r="AA79" s="156">
        <f>'Table 7 WTP Sulfate Balance'!G81</f>
        <v>7551.8079096045194</v>
      </c>
      <c r="AB79" s="156">
        <f>AA79*'Table 6 WTP Flow Balance'!H79</f>
        <v>935669</v>
      </c>
      <c r="AC79" s="156">
        <f>(D79+F79+H79+J79+L79+N79+P79+R79+T79+V79+X79+Z79+AB79)/(('Table 5 Flows to Evap &amp; WTP'!F85+'Table 6 WTP Flow Balance'!H79)*3.78541)</f>
        <v>44266.395104313291</v>
      </c>
      <c r="AD79" s="156">
        <f>(AC79/(453592*2000))*(('Table 5 Flows to Evap &amp; WTP'!F85+'Table 6 WTP Flow Balance'!H79)*365*1440*3.785)</f>
        <v>12554.223444302777</v>
      </c>
      <c r="AE79" s="140">
        <f t="shared" si="30"/>
        <v>24154.350061188601</v>
      </c>
    </row>
    <row r="80" spans="2:31" ht="14.25" x14ac:dyDescent="0.2">
      <c r="B80" s="345">
        <f t="shared" si="17"/>
        <v>81</v>
      </c>
      <c r="C80" s="156">
        <f t="shared" si="18"/>
        <v>2400</v>
      </c>
      <c r="D80" s="156">
        <f>('Table 2 StormwaterGroundwater'!K89*3.78541)*C80</f>
        <v>0</v>
      </c>
      <c r="E80" s="156">
        <f t="shared" si="19"/>
        <v>2400</v>
      </c>
      <c r="F80" s="156">
        <f>('Table 2 StormwaterGroundwater'!M89*3.78541)*E80</f>
        <v>0</v>
      </c>
      <c r="G80" s="156">
        <f t="shared" si="20"/>
        <v>2400</v>
      </c>
      <c r="H80" s="156">
        <f>('Table 2 StormwaterGroundwater'!O89*3.78541)*G80</f>
        <v>0</v>
      </c>
      <c r="I80" s="156">
        <f t="shared" si="28"/>
        <v>2402</v>
      </c>
      <c r="J80" s="156">
        <f>('Table 2 StormwaterGroundwater'!G84*3.78541)*I80</f>
        <v>163665.98676000003</v>
      </c>
      <c r="K80" s="156">
        <f t="shared" si="29"/>
        <v>1492.5</v>
      </c>
      <c r="L80" s="156">
        <f>K80*('Table 2 StormwaterGroundwater'!H84*3.78541)</f>
        <v>48870.116276250003</v>
      </c>
      <c r="M80" s="156">
        <f t="shared" si="21"/>
        <v>47950</v>
      </c>
      <c r="N80" s="156">
        <f>('Table 2 StormwaterGroundwater'!Q89*3.78541)*M80</f>
        <v>609533.17620956874</v>
      </c>
      <c r="O80" s="156">
        <f t="shared" si="22"/>
        <v>47950</v>
      </c>
      <c r="P80" s="156">
        <f>('Table 2 StormwaterGroundwater'!U89*3.78541)*O80</f>
        <v>232794.78614465453</v>
      </c>
      <c r="Q80" s="156">
        <f t="shared" si="23"/>
        <v>47950</v>
      </c>
      <c r="R80" s="156">
        <f>('Table 2 StormwaterGroundwater'!W89*3.78541)*Q80</f>
        <v>187079.7979289369</v>
      </c>
      <c r="S80" s="156">
        <f t="shared" si="24"/>
        <v>47950</v>
      </c>
      <c r="T80" s="156">
        <f>('Table 2 StormwaterGroundwater'!Y89*3.78541)*S80</f>
        <v>632976.75990993681</v>
      </c>
      <c r="U80" s="156">
        <f t="shared" si="25"/>
        <v>199667</v>
      </c>
      <c r="V80" s="156">
        <f>('Table 2 StormwaterGroundwater'!AA89*3.78541)*U80</f>
        <v>4998177.1296582036</v>
      </c>
      <c r="W80" s="156">
        <f t="shared" si="26"/>
        <v>199667</v>
      </c>
      <c r="X80" s="156">
        <f>('Table 2 StormwaterGroundwater'!AC89*3.78541)*W80</f>
        <v>6140338.7003027536</v>
      </c>
      <c r="Y80" s="156">
        <f t="shared" si="27"/>
        <v>199667</v>
      </c>
      <c r="Z80" s="156">
        <f>('Table 2 StormwaterGroundwater'!AE89*3.78541)*Y80</f>
        <v>7721793.1827336689</v>
      </c>
      <c r="AA80" s="156">
        <f>'Table 7 WTP Sulfate Balance'!G82</f>
        <v>7551.8079096045194</v>
      </c>
      <c r="AB80" s="156">
        <f>AA80*'Table 6 WTP Flow Balance'!H80</f>
        <v>935669</v>
      </c>
      <c r="AC80" s="156">
        <f>(D80+F80+H80+J80+L80+N80+P80+R80+T80+V80+X80+Z80+AB80)/(('Table 5 Flows to Evap &amp; WTP'!F86+'Table 6 WTP Flow Balance'!H80)*3.78541)</f>
        <v>44266.395104313291</v>
      </c>
      <c r="AD80" s="156">
        <f>(AC80/(453592*2000))*(('Table 5 Flows to Evap &amp; WTP'!F86+'Table 6 WTP Flow Balance'!H80)*365*1440*3.785)</f>
        <v>12554.223444302777</v>
      </c>
      <c r="AE80" s="140">
        <f t="shared" si="30"/>
        <v>24154.350061188601</v>
      </c>
    </row>
    <row r="81" spans="2:31" ht="14.25" x14ac:dyDescent="0.2">
      <c r="B81" s="345">
        <f t="shared" si="17"/>
        <v>82</v>
      </c>
      <c r="C81" s="156">
        <f t="shared" si="18"/>
        <v>2400</v>
      </c>
      <c r="D81" s="156">
        <f>('Table 2 StormwaterGroundwater'!K90*3.78541)*C81</f>
        <v>0</v>
      </c>
      <c r="E81" s="156">
        <f t="shared" si="19"/>
        <v>2400</v>
      </c>
      <c r="F81" s="156">
        <f>('Table 2 StormwaterGroundwater'!M90*3.78541)*E81</f>
        <v>0</v>
      </c>
      <c r="G81" s="156">
        <f t="shared" si="20"/>
        <v>2400</v>
      </c>
      <c r="H81" s="156">
        <f>('Table 2 StormwaterGroundwater'!O90*3.78541)*G81</f>
        <v>0</v>
      </c>
      <c r="I81" s="156">
        <f t="shared" si="28"/>
        <v>2402</v>
      </c>
      <c r="J81" s="156">
        <f>('Table 2 StormwaterGroundwater'!G85*3.78541)*I81</f>
        <v>163665.98676000003</v>
      </c>
      <c r="K81" s="156">
        <f t="shared" si="29"/>
        <v>1492.5</v>
      </c>
      <c r="L81" s="156">
        <f>K81*('Table 2 StormwaterGroundwater'!H85*3.78541)</f>
        <v>48870.116276250003</v>
      </c>
      <c r="M81" s="156">
        <f t="shared" si="21"/>
        <v>47950</v>
      </c>
      <c r="N81" s="156">
        <f>('Table 2 StormwaterGroundwater'!Q90*3.78541)*M81</f>
        <v>609533.17620956874</v>
      </c>
      <c r="O81" s="156">
        <f t="shared" si="22"/>
        <v>47950</v>
      </c>
      <c r="P81" s="156">
        <f>('Table 2 StormwaterGroundwater'!U90*3.78541)*O81</f>
        <v>232794.78614465453</v>
      </c>
      <c r="Q81" s="156">
        <f t="shared" si="23"/>
        <v>47950</v>
      </c>
      <c r="R81" s="156">
        <f>('Table 2 StormwaterGroundwater'!W90*3.78541)*Q81</f>
        <v>187079.7979289369</v>
      </c>
      <c r="S81" s="156">
        <f t="shared" si="24"/>
        <v>47950</v>
      </c>
      <c r="T81" s="156">
        <f>('Table 2 StormwaterGroundwater'!Y90*3.78541)*S81</f>
        <v>632976.75990993681</v>
      </c>
      <c r="U81" s="156">
        <f t="shared" si="25"/>
        <v>199667</v>
      </c>
      <c r="V81" s="156">
        <f>('Table 2 StormwaterGroundwater'!AA90*3.78541)*U81</f>
        <v>4998177.1296582036</v>
      </c>
      <c r="W81" s="156">
        <f t="shared" si="26"/>
        <v>199667</v>
      </c>
      <c r="X81" s="156">
        <f>('Table 2 StormwaterGroundwater'!AC90*3.78541)*W81</f>
        <v>6140338.7003027536</v>
      </c>
      <c r="Y81" s="156">
        <f t="shared" si="27"/>
        <v>199667</v>
      </c>
      <c r="Z81" s="156">
        <f>('Table 2 StormwaterGroundwater'!AE90*3.78541)*Y81</f>
        <v>7721793.1827336689</v>
      </c>
      <c r="AA81" s="156">
        <f>'Table 7 WTP Sulfate Balance'!G83</f>
        <v>7551.8079096045194</v>
      </c>
      <c r="AB81" s="156">
        <f>AA81*'Table 6 WTP Flow Balance'!H81</f>
        <v>935669</v>
      </c>
      <c r="AC81" s="156">
        <f>(D81+F81+H81+J81+L81+N81+P81+R81+T81+V81+X81+Z81+AB81)/(('Table 5 Flows to Evap &amp; WTP'!F87+'Table 6 WTP Flow Balance'!H81)*3.78541)</f>
        <v>44266.395104313291</v>
      </c>
      <c r="AD81" s="156">
        <f>(AC81/(453592*2000))*(('Table 5 Flows to Evap &amp; WTP'!F87+'Table 6 WTP Flow Balance'!H81)*365*1440*3.785)</f>
        <v>12554.223444302777</v>
      </c>
      <c r="AE81" s="140">
        <f t="shared" si="30"/>
        <v>24154.350061188601</v>
      </c>
    </row>
    <row r="82" spans="2:31" ht="14.25" x14ac:dyDescent="0.2">
      <c r="B82" s="345">
        <f t="shared" si="17"/>
        <v>83</v>
      </c>
      <c r="C82" s="156">
        <f t="shared" si="18"/>
        <v>2400</v>
      </c>
      <c r="D82" s="156">
        <f>('Table 2 StormwaterGroundwater'!K91*3.78541)*C82</f>
        <v>0</v>
      </c>
      <c r="E82" s="156">
        <f t="shared" si="19"/>
        <v>2400</v>
      </c>
      <c r="F82" s="156">
        <f>('Table 2 StormwaterGroundwater'!M91*3.78541)*E82</f>
        <v>0</v>
      </c>
      <c r="G82" s="156">
        <f t="shared" si="20"/>
        <v>2400</v>
      </c>
      <c r="H82" s="156">
        <f>('Table 2 StormwaterGroundwater'!O91*3.78541)*G82</f>
        <v>0</v>
      </c>
      <c r="I82" s="156">
        <f t="shared" si="28"/>
        <v>2402</v>
      </c>
      <c r="J82" s="156">
        <f>('Table 2 StormwaterGroundwater'!G86*3.78541)*I82</f>
        <v>163665.98676000003</v>
      </c>
      <c r="K82" s="156">
        <f t="shared" si="29"/>
        <v>1492.5</v>
      </c>
      <c r="L82" s="156">
        <f>K82*('Table 2 StormwaterGroundwater'!H86*3.78541)</f>
        <v>48870.116276250003</v>
      </c>
      <c r="M82" s="156">
        <f t="shared" si="21"/>
        <v>47950</v>
      </c>
      <c r="N82" s="156">
        <f>('Table 2 StormwaterGroundwater'!Q91*3.78541)*M82</f>
        <v>609533.17620956874</v>
      </c>
      <c r="O82" s="156">
        <f t="shared" si="22"/>
        <v>47950</v>
      </c>
      <c r="P82" s="156">
        <f>('Table 2 StormwaterGroundwater'!U91*3.78541)*O82</f>
        <v>232794.78614465453</v>
      </c>
      <c r="Q82" s="156">
        <f t="shared" si="23"/>
        <v>47950</v>
      </c>
      <c r="R82" s="156">
        <f>('Table 2 StormwaterGroundwater'!W91*3.78541)*Q82</f>
        <v>187079.7979289369</v>
      </c>
      <c r="S82" s="156">
        <f t="shared" si="24"/>
        <v>47950</v>
      </c>
      <c r="T82" s="156">
        <f>('Table 2 StormwaterGroundwater'!Y91*3.78541)*S82</f>
        <v>632976.75990993681</v>
      </c>
      <c r="U82" s="156">
        <f t="shared" si="25"/>
        <v>199667</v>
      </c>
      <c r="V82" s="156">
        <f>('Table 2 StormwaterGroundwater'!AA91*3.78541)*U82</f>
        <v>4998177.1296582036</v>
      </c>
      <c r="W82" s="156">
        <f t="shared" si="26"/>
        <v>199667</v>
      </c>
      <c r="X82" s="156">
        <f>('Table 2 StormwaterGroundwater'!AC91*3.78541)*W82</f>
        <v>6140338.7003027536</v>
      </c>
      <c r="Y82" s="156">
        <f t="shared" si="27"/>
        <v>199667</v>
      </c>
      <c r="Z82" s="156">
        <f>('Table 2 StormwaterGroundwater'!AE91*3.78541)*Y82</f>
        <v>7721793.1827336689</v>
      </c>
      <c r="AA82" s="156">
        <f>'Table 7 WTP Sulfate Balance'!G84</f>
        <v>7551.8079096045194</v>
      </c>
      <c r="AB82" s="156">
        <f>AA82*'Table 6 WTP Flow Balance'!H82</f>
        <v>935669</v>
      </c>
      <c r="AC82" s="156">
        <f>(D82+F82+H82+J82+L82+N82+P82+R82+T82+V82+X82+Z82+AB82)/(('Table 5 Flows to Evap &amp; WTP'!F88+'Table 6 WTP Flow Balance'!H82)*3.78541)</f>
        <v>44266.395104313291</v>
      </c>
      <c r="AD82" s="156">
        <f>(AC82/(453592*2000))*(('Table 5 Flows to Evap &amp; WTP'!F88+'Table 6 WTP Flow Balance'!H82)*365*1440*3.785)</f>
        <v>12554.223444302777</v>
      </c>
      <c r="AE82" s="140">
        <f t="shared" si="30"/>
        <v>24154.350061188601</v>
      </c>
    </row>
    <row r="83" spans="2:31" ht="14.25" x14ac:dyDescent="0.2">
      <c r="B83" s="345">
        <f t="shared" si="17"/>
        <v>84</v>
      </c>
      <c r="C83" s="156">
        <f t="shared" si="18"/>
        <v>2400</v>
      </c>
      <c r="D83" s="156">
        <f>('Table 2 StormwaterGroundwater'!K92*3.78541)*C83</f>
        <v>0</v>
      </c>
      <c r="E83" s="156">
        <f t="shared" si="19"/>
        <v>2400</v>
      </c>
      <c r="F83" s="156">
        <f>('Table 2 StormwaterGroundwater'!M92*3.78541)*E83</f>
        <v>0</v>
      </c>
      <c r="G83" s="156">
        <f t="shared" si="20"/>
        <v>2400</v>
      </c>
      <c r="H83" s="156">
        <f>('Table 2 StormwaterGroundwater'!O92*3.78541)*G83</f>
        <v>0</v>
      </c>
      <c r="I83" s="156">
        <f t="shared" si="28"/>
        <v>2402</v>
      </c>
      <c r="J83" s="156">
        <f>('Table 2 StormwaterGroundwater'!G87*3.78541)*I83</f>
        <v>163665.98676000003</v>
      </c>
      <c r="K83" s="156">
        <f t="shared" si="29"/>
        <v>1492.5</v>
      </c>
      <c r="L83" s="156">
        <f>K83*('Table 2 StormwaterGroundwater'!H87*3.78541)</f>
        <v>48870.116276250003</v>
      </c>
      <c r="M83" s="156">
        <f t="shared" si="21"/>
        <v>47950</v>
      </c>
      <c r="N83" s="156">
        <f>('Table 2 StormwaterGroundwater'!Q92*3.78541)*M83</f>
        <v>609533.17620956874</v>
      </c>
      <c r="O83" s="156">
        <f t="shared" si="22"/>
        <v>47950</v>
      </c>
      <c r="P83" s="156">
        <f>('Table 2 StormwaterGroundwater'!U92*3.78541)*O83</f>
        <v>232794.78614465453</v>
      </c>
      <c r="Q83" s="156">
        <f t="shared" si="23"/>
        <v>47950</v>
      </c>
      <c r="R83" s="156">
        <f>('Table 2 StormwaterGroundwater'!W92*3.78541)*Q83</f>
        <v>187079.7979289369</v>
      </c>
      <c r="S83" s="156">
        <f t="shared" si="24"/>
        <v>47950</v>
      </c>
      <c r="T83" s="156">
        <f>('Table 2 StormwaterGroundwater'!Y92*3.78541)*S83</f>
        <v>632976.75990993681</v>
      </c>
      <c r="U83" s="156">
        <f t="shared" si="25"/>
        <v>199667</v>
      </c>
      <c r="V83" s="156">
        <f>('Table 2 StormwaterGroundwater'!AA92*3.78541)*U83</f>
        <v>4998177.1296582036</v>
      </c>
      <c r="W83" s="156">
        <f t="shared" si="26"/>
        <v>199667</v>
      </c>
      <c r="X83" s="156">
        <f>('Table 2 StormwaterGroundwater'!AC92*3.78541)*W83</f>
        <v>6140338.7003027536</v>
      </c>
      <c r="Y83" s="156">
        <f t="shared" si="27"/>
        <v>199667</v>
      </c>
      <c r="Z83" s="156">
        <f>('Table 2 StormwaterGroundwater'!AE92*3.78541)*Y83</f>
        <v>7721793.1827336689</v>
      </c>
      <c r="AA83" s="156">
        <f>'Table 7 WTP Sulfate Balance'!G85</f>
        <v>7551.8079096045194</v>
      </c>
      <c r="AB83" s="156">
        <f>AA83*'Table 6 WTP Flow Balance'!H83</f>
        <v>935669</v>
      </c>
      <c r="AC83" s="156">
        <f>(D83+F83+H83+J83+L83+N83+P83+R83+T83+V83+X83+Z83+AB83)/(('Table 5 Flows to Evap &amp; WTP'!F89+'Table 6 WTP Flow Balance'!H83)*3.78541)</f>
        <v>44266.395104313291</v>
      </c>
      <c r="AD83" s="156">
        <f>(AC83/(453592*2000))*(('Table 5 Flows to Evap &amp; WTP'!F89+'Table 6 WTP Flow Balance'!H83)*365*1440*3.785)</f>
        <v>12554.223444302777</v>
      </c>
      <c r="AE83" s="140">
        <f t="shared" si="30"/>
        <v>24154.350061188601</v>
      </c>
    </row>
    <row r="84" spans="2:31" ht="14.25" x14ac:dyDescent="0.2">
      <c r="B84" s="345">
        <f t="shared" si="17"/>
        <v>85</v>
      </c>
      <c r="C84" s="156">
        <f t="shared" si="18"/>
        <v>2400</v>
      </c>
      <c r="D84" s="156">
        <f>('Table 2 StormwaterGroundwater'!K93*3.78541)*C84</f>
        <v>0</v>
      </c>
      <c r="E84" s="156">
        <f t="shared" si="19"/>
        <v>2400</v>
      </c>
      <c r="F84" s="156">
        <f>('Table 2 StormwaterGroundwater'!M93*3.78541)*E84</f>
        <v>0</v>
      </c>
      <c r="G84" s="156">
        <f t="shared" si="20"/>
        <v>2400</v>
      </c>
      <c r="H84" s="156">
        <f>('Table 2 StormwaterGroundwater'!O93*3.78541)*G84</f>
        <v>0</v>
      </c>
      <c r="I84" s="156">
        <f t="shared" si="28"/>
        <v>2402</v>
      </c>
      <c r="J84" s="156">
        <f>('Table 2 StormwaterGroundwater'!G88*3.78541)*I84</f>
        <v>163665.98676000003</v>
      </c>
      <c r="K84" s="156">
        <f t="shared" si="29"/>
        <v>1492.5</v>
      </c>
      <c r="L84" s="156">
        <f>K84*('Table 2 StormwaterGroundwater'!H88*3.78541)</f>
        <v>48870.116276250003</v>
      </c>
      <c r="M84" s="156">
        <f t="shared" si="21"/>
        <v>47950</v>
      </c>
      <c r="N84" s="156">
        <f>('Table 2 StormwaterGroundwater'!Q93*3.78541)*M84</f>
        <v>609533.17620956874</v>
      </c>
      <c r="O84" s="156">
        <f t="shared" si="22"/>
        <v>47950</v>
      </c>
      <c r="P84" s="156">
        <f>('Table 2 StormwaterGroundwater'!U93*3.78541)*O84</f>
        <v>232794.78614465453</v>
      </c>
      <c r="Q84" s="156">
        <f t="shared" si="23"/>
        <v>47950</v>
      </c>
      <c r="R84" s="156">
        <f>('Table 2 StormwaterGroundwater'!W93*3.78541)*Q84</f>
        <v>187079.7979289369</v>
      </c>
      <c r="S84" s="156">
        <f t="shared" si="24"/>
        <v>47950</v>
      </c>
      <c r="T84" s="156">
        <f>('Table 2 StormwaterGroundwater'!Y93*3.78541)*S84</f>
        <v>632976.75990993681</v>
      </c>
      <c r="U84" s="156">
        <f t="shared" si="25"/>
        <v>199667</v>
      </c>
      <c r="V84" s="156">
        <f>('Table 2 StormwaterGroundwater'!AA93*3.78541)*U84</f>
        <v>4998177.1296582036</v>
      </c>
      <c r="W84" s="156">
        <f t="shared" si="26"/>
        <v>199667</v>
      </c>
      <c r="X84" s="156">
        <f>('Table 2 StormwaterGroundwater'!AC93*3.78541)*W84</f>
        <v>6140338.7003027536</v>
      </c>
      <c r="Y84" s="156">
        <f t="shared" si="27"/>
        <v>199667</v>
      </c>
      <c r="Z84" s="156">
        <f>('Table 2 StormwaterGroundwater'!AE93*3.78541)*Y84</f>
        <v>7721793.1827336689</v>
      </c>
      <c r="AA84" s="156">
        <f>'Table 7 WTP Sulfate Balance'!G86</f>
        <v>7551.8079096045194</v>
      </c>
      <c r="AB84" s="156">
        <f>AA84*'Table 6 WTP Flow Balance'!H84</f>
        <v>935669</v>
      </c>
      <c r="AC84" s="156">
        <f>(D84+F84+H84+J84+L84+N84+P84+R84+T84+V84+X84+Z84+AB84)/(('Table 5 Flows to Evap &amp; WTP'!F90+'Table 6 WTP Flow Balance'!H84)*3.78541)</f>
        <v>44266.395104313291</v>
      </c>
      <c r="AD84" s="156">
        <f>(AC84/(453592*2000))*(('Table 5 Flows to Evap &amp; WTP'!F90+'Table 6 WTP Flow Balance'!H84)*365*1440*3.785)</f>
        <v>12554.223444302777</v>
      </c>
      <c r="AE84" s="140">
        <f t="shared" si="30"/>
        <v>24154.350061188601</v>
      </c>
    </row>
    <row r="85" spans="2:31" ht="14.25" x14ac:dyDescent="0.2">
      <c r="B85" s="345">
        <f t="shared" si="17"/>
        <v>86</v>
      </c>
      <c r="C85" s="156">
        <f t="shared" si="18"/>
        <v>2400</v>
      </c>
      <c r="D85" s="156">
        <f>('Table 2 StormwaterGroundwater'!K94*3.78541)*C85</f>
        <v>0</v>
      </c>
      <c r="E85" s="156">
        <f t="shared" si="19"/>
        <v>2400</v>
      </c>
      <c r="F85" s="156">
        <f>('Table 2 StormwaterGroundwater'!M94*3.78541)*E85</f>
        <v>0</v>
      </c>
      <c r="G85" s="156">
        <f t="shared" si="20"/>
        <v>2400</v>
      </c>
      <c r="H85" s="156">
        <f>('Table 2 StormwaterGroundwater'!O94*3.78541)*G85</f>
        <v>0</v>
      </c>
      <c r="I85" s="156">
        <f t="shared" si="28"/>
        <v>2402</v>
      </c>
      <c r="J85" s="156">
        <f>('Table 2 StormwaterGroundwater'!G89*3.78541)*I85</f>
        <v>163665.98676000003</v>
      </c>
      <c r="K85" s="156">
        <f t="shared" si="29"/>
        <v>1492.5</v>
      </c>
      <c r="L85" s="156">
        <f>K85*('Table 2 StormwaterGroundwater'!H89*3.78541)</f>
        <v>48870.116276250003</v>
      </c>
      <c r="M85" s="156">
        <f t="shared" si="21"/>
        <v>47950</v>
      </c>
      <c r="N85" s="156">
        <f>('Table 2 StormwaterGroundwater'!Q94*3.78541)*M85</f>
        <v>609533.17620956874</v>
      </c>
      <c r="O85" s="156">
        <f t="shared" si="22"/>
        <v>47950</v>
      </c>
      <c r="P85" s="156">
        <f>('Table 2 StormwaterGroundwater'!U94*3.78541)*O85</f>
        <v>232794.78614465453</v>
      </c>
      <c r="Q85" s="156">
        <f t="shared" si="23"/>
        <v>47950</v>
      </c>
      <c r="R85" s="156">
        <f>('Table 2 StormwaterGroundwater'!W94*3.78541)*Q85</f>
        <v>187079.7979289369</v>
      </c>
      <c r="S85" s="156">
        <f t="shared" si="24"/>
        <v>47950</v>
      </c>
      <c r="T85" s="156">
        <f>('Table 2 StormwaterGroundwater'!Y94*3.78541)*S85</f>
        <v>632976.75990993681</v>
      </c>
      <c r="U85" s="156">
        <f t="shared" si="25"/>
        <v>199667</v>
      </c>
      <c r="V85" s="156">
        <f>('Table 2 StormwaterGroundwater'!AA94*3.78541)*U85</f>
        <v>4998177.1296582036</v>
      </c>
      <c r="W85" s="156">
        <f t="shared" si="26"/>
        <v>199667</v>
      </c>
      <c r="X85" s="156">
        <f>('Table 2 StormwaterGroundwater'!AC94*3.78541)*W85</f>
        <v>6140338.7003027536</v>
      </c>
      <c r="Y85" s="156">
        <f t="shared" si="27"/>
        <v>199667</v>
      </c>
      <c r="Z85" s="156">
        <f>('Table 2 StormwaterGroundwater'!AE94*3.78541)*Y85</f>
        <v>7721793.1827336689</v>
      </c>
      <c r="AA85" s="156">
        <f>'Table 7 WTP Sulfate Balance'!G87</f>
        <v>7551.8079096045194</v>
      </c>
      <c r="AB85" s="156">
        <f>AA85*'Table 6 WTP Flow Balance'!H85</f>
        <v>935669</v>
      </c>
      <c r="AC85" s="156">
        <f>(D85+F85+H85+J85+L85+N85+P85+R85+T85+V85+X85+Z85+AB85)/(('Table 5 Flows to Evap &amp; WTP'!F91+'Table 6 WTP Flow Balance'!H85)*3.78541)</f>
        <v>44266.395104313291</v>
      </c>
      <c r="AD85" s="156">
        <f>(AC85/(453592*2000))*(('Table 5 Flows to Evap &amp; WTP'!F91+'Table 6 WTP Flow Balance'!H85)*365*1440*3.785)</f>
        <v>12554.223444302777</v>
      </c>
      <c r="AE85" s="140">
        <f t="shared" si="30"/>
        <v>24154.350061188601</v>
      </c>
    </row>
    <row r="86" spans="2:31" ht="14.25" x14ac:dyDescent="0.2">
      <c r="B86" s="345">
        <f t="shared" si="17"/>
        <v>87</v>
      </c>
      <c r="C86" s="156">
        <f t="shared" si="18"/>
        <v>2400</v>
      </c>
      <c r="D86" s="156">
        <f>('Table 2 StormwaterGroundwater'!K95*3.78541)*C86</f>
        <v>0</v>
      </c>
      <c r="E86" s="156">
        <f t="shared" si="19"/>
        <v>2400</v>
      </c>
      <c r="F86" s="156">
        <f>('Table 2 StormwaterGroundwater'!M95*3.78541)*E86</f>
        <v>0</v>
      </c>
      <c r="G86" s="156">
        <f t="shared" si="20"/>
        <v>2400</v>
      </c>
      <c r="H86" s="156">
        <f>('Table 2 StormwaterGroundwater'!O95*3.78541)*G86</f>
        <v>0</v>
      </c>
      <c r="I86" s="156">
        <f t="shared" si="28"/>
        <v>2402</v>
      </c>
      <c r="J86" s="156">
        <f>('Table 2 StormwaterGroundwater'!G90*3.78541)*I86</f>
        <v>163665.98676000003</v>
      </c>
      <c r="K86" s="156">
        <f t="shared" si="29"/>
        <v>1492.5</v>
      </c>
      <c r="L86" s="156">
        <f>K86*('Table 2 StormwaterGroundwater'!H90*3.78541)</f>
        <v>48870.116276250003</v>
      </c>
      <c r="M86" s="156">
        <f t="shared" si="21"/>
        <v>47950</v>
      </c>
      <c r="N86" s="156">
        <f>('Table 2 StormwaterGroundwater'!Q95*3.78541)*M86</f>
        <v>609533.17620956874</v>
      </c>
      <c r="O86" s="156">
        <f t="shared" si="22"/>
        <v>47950</v>
      </c>
      <c r="P86" s="156">
        <f>('Table 2 StormwaterGroundwater'!U95*3.78541)*O86</f>
        <v>232794.78614465453</v>
      </c>
      <c r="Q86" s="156">
        <f t="shared" si="23"/>
        <v>47950</v>
      </c>
      <c r="R86" s="156">
        <f>('Table 2 StormwaterGroundwater'!W95*3.78541)*Q86</f>
        <v>187079.7979289369</v>
      </c>
      <c r="S86" s="156">
        <f t="shared" si="24"/>
        <v>47950</v>
      </c>
      <c r="T86" s="156">
        <f>('Table 2 StormwaterGroundwater'!Y95*3.78541)*S86</f>
        <v>632976.75990993681</v>
      </c>
      <c r="U86" s="156">
        <f t="shared" si="25"/>
        <v>199667</v>
      </c>
      <c r="V86" s="156">
        <f>('Table 2 StormwaterGroundwater'!AA95*3.78541)*U86</f>
        <v>4998177.1296582036</v>
      </c>
      <c r="W86" s="156">
        <f t="shared" si="26"/>
        <v>199667</v>
      </c>
      <c r="X86" s="156">
        <f>('Table 2 StormwaterGroundwater'!AC95*3.78541)*W86</f>
        <v>6140338.7003027536</v>
      </c>
      <c r="Y86" s="156">
        <f t="shared" si="27"/>
        <v>199667</v>
      </c>
      <c r="Z86" s="156">
        <f>('Table 2 StormwaterGroundwater'!AE95*3.78541)*Y86</f>
        <v>7721793.1827336689</v>
      </c>
      <c r="AA86" s="156">
        <f>'Table 7 WTP Sulfate Balance'!G88</f>
        <v>7551.8079096045194</v>
      </c>
      <c r="AB86" s="156">
        <f>AA86*'Table 6 WTP Flow Balance'!H86</f>
        <v>935669</v>
      </c>
      <c r="AC86" s="156">
        <f>(D86+F86+H86+J86+L86+N86+P86+R86+T86+V86+X86+Z86+AB86)/(('Table 5 Flows to Evap &amp; WTP'!F92+'Table 6 WTP Flow Balance'!H86)*3.78541)</f>
        <v>44266.395104313291</v>
      </c>
      <c r="AD86" s="156">
        <f>(AC86/(453592*2000))*(('Table 5 Flows to Evap &amp; WTP'!F92+'Table 6 WTP Flow Balance'!H86)*365*1440*3.785)</f>
        <v>12554.223444302777</v>
      </c>
      <c r="AE86" s="140">
        <f t="shared" si="30"/>
        <v>24154.350061188601</v>
      </c>
    </row>
    <row r="87" spans="2:31" ht="14.25" x14ac:dyDescent="0.2">
      <c r="B87" s="345">
        <f t="shared" si="17"/>
        <v>88</v>
      </c>
      <c r="C87" s="156">
        <f t="shared" si="18"/>
        <v>2400</v>
      </c>
      <c r="D87" s="156">
        <f>('Table 2 StormwaterGroundwater'!K96*3.78541)*C87</f>
        <v>0</v>
      </c>
      <c r="E87" s="156">
        <f t="shared" si="19"/>
        <v>2400</v>
      </c>
      <c r="F87" s="156">
        <f>('Table 2 StormwaterGroundwater'!M96*3.78541)*E87</f>
        <v>0</v>
      </c>
      <c r="G87" s="156">
        <f t="shared" si="20"/>
        <v>2400</v>
      </c>
      <c r="H87" s="156">
        <f>('Table 2 StormwaterGroundwater'!O96*3.78541)*G87</f>
        <v>0</v>
      </c>
      <c r="I87" s="156">
        <f t="shared" si="28"/>
        <v>2402</v>
      </c>
      <c r="J87" s="156">
        <f>('Table 2 StormwaterGroundwater'!G91*3.78541)*I87</f>
        <v>163665.98676000003</v>
      </c>
      <c r="K87" s="156">
        <f t="shared" si="29"/>
        <v>1492.5</v>
      </c>
      <c r="L87" s="156">
        <f>K87*('Table 2 StormwaterGroundwater'!H91*3.78541)</f>
        <v>48870.116276250003</v>
      </c>
      <c r="M87" s="156">
        <f t="shared" si="21"/>
        <v>47950</v>
      </c>
      <c r="N87" s="156">
        <f>('Table 2 StormwaterGroundwater'!Q96*3.78541)*M87</f>
        <v>609533.17620956874</v>
      </c>
      <c r="O87" s="156">
        <f t="shared" si="22"/>
        <v>47950</v>
      </c>
      <c r="P87" s="156">
        <f>('Table 2 StormwaterGroundwater'!U96*3.78541)*O87</f>
        <v>232794.78614465453</v>
      </c>
      <c r="Q87" s="156">
        <f t="shared" si="23"/>
        <v>47950</v>
      </c>
      <c r="R87" s="156">
        <f>('Table 2 StormwaterGroundwater'!W96*3.78541)*Q87</f>
        <v>187079.7979289369</v>
      </c>
      <c r="S87" s="156">
        <f t="shared" si="24"/>
        <v>47950</v>
      </c>
      <c r="T87" s="156">
        <f>('Table 2 StormwaterGroundwater'!Y96*3.78541)*S87</f>
        <v>632976.75990993681</v>
      </c>
      <c r="U87" s="156">
        <f t="shared" si="25"/>
        <v>199667</v>
      </c>
      <c r="V87" s="156">
        <f>('Table 2 StormwaterGroundwater'!AA96*3.78541)*U87</f>
        <v>4998177.1296582036</v>
      </c>
      <c r="W87" s="156">
        <f t="shared" si="26"/>
        <v>199667</v>
      </c>
      <c r="X87" s="156">
        <f>('Table 2 StormwaterGroundwater'!AC96*3.78541)*W87</f>
        <v>6140338.7003027536</v>
      </c>
      <c r="Y87" s="156">
        <f t="shared" si="27"/>
        <v>199667</v>
      </c>
      <c r="Z87" s="156">
        <f>('Table 2 StormwaterGroundwater'!AE96*3.78541)*Y87</f>
        <v>7721793.1827336689</v>
      </c>
      <c r="AA87" s="156">
        <f>'Table 7 WTP Sulfate Balance'!G89</f>
        <v>7551.8079096045194</v>
      </c>
      <c r="AB87" s="156">
        <f>AA87*'Table 6 WTP Flow Balance'!H87</f>
        <v>935669</v>
      </c>
      <c r="AC87" s="156">
        <f>(D87+F87+H87+J87+L87+N87+P87+R87+T87+V87+X87+Z87+AB87)/(('Table 5 Flows to Evap &amp; WTP'!F93+'Table 6 WTP Flow Balance'!H87)*3.78541)</f>
        <v>44266.395104313291</v>
      </c>
      <c r="AD87" s="156">
        <f>(AC87/(453592*2000))*(('Table 5 Flows to Evap &amp; WTP'!F93+'Table 6 WTP Flow Balance'!H87)*365*1440*3.785)</f>
        <v>12554.223444302777</v>
      </c>
      <c r="AE87" s="140">
        <f t="shared" si="30"/>
        <v>24154.350061188601</v>
      </c>
    </row>
    <row r="88" spans="2:31" ht="14.25" x14ac:dyDescent="0.2">
      <c r="B88" s="345">
        <f t="shared" si="17"/>
        <v>89</v>
      </c>
      <c r="C88" s="156">
        <f t="shared" si="18"/>
        <v>2400</v>
      </c>
      <c r="D88" s="156">
        <f>('Table 2 StormwaterGroundwater'!K97*3.78541)*C88</f>
        <v>0</v>
      </c>
      <c r="E88" s="156">
        <f t="shared" si="19"/>
        <v>2400</v>
      </c>
      <c r="F88" s="156">
        <f>('Table 2 StormwaterGroundwater'!M97*3.78541)*E88</f>
        <v>0</v>
      </c>
      <c r="G88" s="156">
        <f t="shared" si="20"/>
        <v>2400</v>
      </c>
      <c r="H88" s="156">
        <f>('Table 2 StormwaterGroundwater'!O97*3.78541)*G88</f>
        <v>0</v>
      </c>
      <c r="I88" s="156">
        <f t="shared" si="28"/>
        <v>2402</v>
      </c>
      <c r="J88" s="156">
        <f>('Table 2 StormwaterGroundwater'!G92*3.78541)*I88</f>
        <v>163665.98676000003</v>
      </c>
      <c r="K88" s="156">
        <f t="shared" si="29"/>
        <v>1492.5</v>
      </c>
      <c r="L88" s="156">
        <f>K88*('Table 2 StormwaterGroundwater'!H92*3.78541)</f>
        <v>48870.116276250003</v>
      </c>
      <c r="M88" s="156">
        <f t="shared" si="21"/>
        <v>47950</v>
      </c>
      <c r="N88" s="156">
        <f>('Table 2 StormwaterGroundwater'!Q97*3.78541)*M88</f>
        <v>609533.17620956874</v>
      </c>
      <c r="O88" s="156">
        <f t="shared" si="22"/>
        <v>47950</v>
      </c>
      <c r="P88" s="156">
        <f>('Table 2 StormwaterGroundwater'!U97*3.78541)*O88</f>
        <v>232794.78614465453</v>
      </c>
      <c r="Q88" s="156">
        <f t="shared" si="23"/>
        <v>47950</v>
      </c>
      <c r="R88" s="156">
        <f>('Table 2 StormwaterGroundwater'!W97*3.78541)*Q88</f>
        <v>187079.7979289369</v>
      </c>
      <c r="S88" s="156">
        <f t="shared" si="24"/>
        <v>47950</v>
      </c>
      <c r="T88" s="156">
        <f>('Table 2 StormwaterGroundwater'!Y97*3.78541)*S88</f>
        <v>632976.75990993681</v>
      </c>
      <c r="U88" s="156">
        <f t="shared" si="25"/>
        <v>199667</v>
      </c>
      <c r="V88" s="156">
        <f>('Table 2 StormwaterGroundwater'!AA97*3.78541)*U88</f>
        <v>4998177.1296582036</v>
      </c>
      <c r="W88" s="156">
        <f t="shared" si="26"/>
        <v>199667</v>
      </c>
      <c r="X88" s="156">
        <f>('Table 2 StormwaterGroundwater'!AC97*3.78541)*W88</f>
        <v>6140338.7003027536</v>
      </c>
      <c r="Y88" s="156">
        <f t="shared" si="27"/>
        <v>199667</v>
      </c>
      <c r="Z88" s="156">
        <f>('Table 2 StormwaterGroundwater'!AE97*3.78541)*Y88</f>
        <v>7721793.1827336689</v>
      </c>
      <c r="AA88" s="156">
        <f>'Table 7 WTP Sulfate Balance'!G90</f>
        <v>7551.8079096045194</v>
      </c>
      <c r="AB88" s="156">
        <f>AA88*'Table 6 WTP Flow Balance'!H88</f>
        <v>935669</v>
      </c>
      <c r="AC88" s="156">
        <f>(D88+F88+H88+J88+L88+N88+P88+R88+T88+V88+X88+Z88+AB88)/(('Table 5 Flows to Evap &amp; WTP'!F94+'Table 6 WTP Flow Balance'!H88)*3.78541)</f>
        <v>44266.395104313291</v>
      </c>
      <c r="AD88" s="156">
        <f>(AC88/(453592*2000))*(('Table 5 Flows to Evap &amp; WTP'!F94+'Table 6 WTP Flow Balance'!H88)*365*1440*3.785)</f>
        <v>12554.223444302777</v>
      </c>
      <c r="AE88" s="140">
        <f t="shared" si="30"/>
        <v>24154.350061188601</v>
      </c>
    </row>
    <row r="89" spans="2:31" ht="14.25" x14ac:dyDescent="0.2">
      <c r="B89" s="345">
        <f t="shared" si="17"/>
        <v>90</v>
      </c>
      <c r="C89" s="156">
        <f t="shared" si="18"/>
        <v>2400</v>
      </c>
      <c r="D89" s="156">
        <f>('Table 2 StormwaterGroundwater'!K98*3.78541)*C89</f>
        <v>0</v>
      </c>
      <c r="E89" s="156">
        <f t="shared" si="19"/>
        <v>2400</v>
      </c>
      <c r="F89" s="156">
        <f>('Table 2 StormwaterGroundwater'!M98*3.78541)*E89</f>
        <v>0</v>
      </c>
      <c r="G89" s="156">
        <f t="shared" si="20"/>
        <v>2400</v>
      </c>
      <c r="H89" s="156">
        <f>('Table 2 StormwaterGroundwater'!O98*3.78541)*G89</f>
        <v>0</v>
      </c>
      <c r="I89" s="156">
        <f t="shared" si="28"/>
        <v>2402</v>
      </c>
      <c r="J89" s="156">
        <f>('Table 2 StormwaterGroundwater'!G93*3.78541)*I89</f>
        <v>163665.98676000003</v>
      </c>
      <c r="K89" s="156">
        <f t="shared" si="29"/>
        <v>1492.5</v>
      </c>
      <c r="L89" s="156">
        <f>K89*('Table 2 StormwaterGroundwater'!H93*3.78541)</f>
        <v>48870.116276250003</v>
      </c>
      <c r="M89" s="156">
        <f t="shared" si="21"/>
        <v>47950</v>
      </c>
      <c r="N89" s="156">
        <f>('Table 2 StormwaterGroundwater'!Q98*3.78541)*M89</f>
        <v>609533.17620956874</v>
      </c>
      <c r="O89" s="156">
        <f t="shared" si="22"/>
        <v>47950</v>
      </c>
      <c r="P89" s="156">
        <f>('Table 2 StormwaterGroundwater'!U98*3.78541)*O89</f>
        <v>232794.78614465453</v>
      </c>
      <c r="Q89" s="156">
        <f t="shared" si="23"/>
        <v>47950</v>
      </c>
      <c r="R89" s="156">
        <f>('Table 2 StormwaterGroundwater'!W98*3.78541)*Q89</f>
        <v>187079.7979289369</v>
      </c>
      <c r="S89" s="156">
        <f t="shared" si="24"/>
        <v>47950</v>
      </c>
      <c r="T89" s="156">
        <f>('Table 2 StormwaterGroundwater'!Y98*3.78541)*S89</f>
        <v>632976.75990993681</v>
      </c>
      <c r="U89" s="156">
        <f t="shared" si="25"/>
        <v>199667</v>
      </c>
      <c r="V89" s="156">
        <f>('Table 2 StormwaterGroundwater'!AA98*3.78541)*U89</f>
        <v>4998177.1296582036</v>
      </c>
      <c r="W89" s="156">
        <f t="shared" si="26"/>
        <v>199667</v>
      </c>
      <c r="X89" s="156">
        <f>('Table 2 StormwaterGroundwater'!AC98*3.78541)*W89</f>
        <v>6140338.7003027536</v>
      </c>
      <c r="Y89" s="156">
        <f t="shared" si="27"/>
        <v>199667</v>
      </c>
      <c r="Z89" s="156">
        <f>('Table 2 StormwaterGroundwater'!AE98*3.78541)*Y89</f>
        <v>7721793.1827336689</v>
      </c>
      <c r="AA89" s="156">
        <f>'Table 7 WTP Sulfate Balance'!G91</f>
        <v>7551.8079096045194</v>
      </c>
      <c r="AB89" s="156">
        <f>AA89*'Table 6 WTP Flow Balance'!H89</f>
        <v>935669</v>
      </c>
      <c r="AC89" s="156">
        <f>(D89+F89+H89+J89+L89+N89+P89+R89+T89+V89+X89+Z89+AB89)/(('Table 5 Flows to Evap &amp; WTP'!F95+'Table 6 WTP Flow Balance'!H89)*3.78541)</f>
        <v>44266.395104313291</v>
      </c>
      <c r="AD89" s="156">
        <f>(AC89/(453592*2000))*(('Table 5 Flows to Evap &amp; WTP'!F95+'Table 6 WTP Flow Balance'!H89)*365*1440*3.785)</f>
        <v>12554.223444302777</v>
      </c>
      <c r="AE89" s="140">
        <f t="shared" si="30"/>
        <v>24154.350061188601</v>
      </c>
    </row>
    <row r="90" spans="2:31" ht="14.25" x14ac:dyDescent="0.2">
      <c r="B90" s="345">
        <f t="shared" si="17"/>
        <v>91</v>
      </c>
      <c r="C90" s="156">
        <f t="shared" si="18"/>
        <v>2400</v>
      </c>
      <c r="D90" s="156">
        <f>('Table 2 StormwaterGroundwater'!K99*3.78541)*C90</f>
        <v>0</v>
      </c>
      <c r="E90" s="156">
        <f t="shared" si="19"/>
        <v>2400</v>
      </c>
      <c r="F90" s="156">
        <f>('Table 2 StormwaterGroundwater'!M99*3.78541)*E90</f>
        <v>0</v>
      </c>
      <c r="G90" s="156">
        <f t="shared" si="20"/>
        <v>2400</v>
      </c>
      <c r="H90" s="156">
        <f>('Table 2 StormwaterGroundwater'!O99*3.78541)*G90</f>
        <v>0</v>
      </c>
      <c r="I90" s="156">
        <f t="shared" si="28"/>
        <v>2402</v>
      </c>
      <c r="J90" s="156">
        <f>('Table 2 StormwaterGroundwater'!G94*3.78541)*I90</f>
        <v>163665.98676000003</v>
      </c>
      <c r="K90" s="156">
        <f t="shared" si="29"/>
        <v>1492.5</v>
      </c>
      <c r="L90" s="156">
        <f>K90*('Table 2 StormwaterGroundwater'!H94*3.78541)</f>
        <v>48870.116276250003</v>
      </c>
      <c r="M90" s="156">
        <f t="shared" si="21"/>
        <v>47950</v>
      </c>
      <c r="N90" s="156">
        <f>('Table 2 StormwaterGroundwater'!Q99*3.78541)*M90</f>
        <v>609533.17620956874</v>
      </c>
      <c r="O90" s="156">
        <f t="shared" si="22"/>
        <v>47950</v>
      </c>
      <c r="P90" s="156">
        <f>('Table 2 StormwaterGroundwater'!U99*3.78541)*O90</f>
        <v>232794.78614465453</v>
      </c>
      <c r="Q90" s="156">
        <f t="shared" si="23"/>
        <v>47950</v>
      </c>
      <c r="R90" s="156">
        <f>('Table 2 StormwaterGroundwater'!W99*3.78541)*Q90</f>
        <v>187079.7979289369</v>
      </c>
      <c r="S90" s="156">
        <f t="shared" si="24"/>
        <v>47950</v>
      </c>
      <c r="T90" s="156">
        <f>('Table 2 StormwaterGroundwater'!Y99*3.78541)*S90</f>
        <v>632976.75990993681</v>
      </c>
      <c r="U90" s="156">
        <f t="shared" si="25"/>
        <v>199667</v>
      </c>
      <c r="V90" s="156">
        <f>('Table 2 StormwaterGroundwater'!AA99*3.78541)*U90</f>
        <v>4998177.1296582036</v>
      </c>
      <c r="W90" s="156">
        <f t="shared" si="26"/>
        <v>199667</v>
      </c>
      <c r="X90" s="156">
        <f>('Table 2 StormwaterGroundwater'!AC99*3.78541)*W90</f>
        <v>6140338.7003027536</v>
      </c>
      <c r="Y90" s="156">
        <f t="shared" si="27"/>
        <v>199667</v>
      </c>
      <c r="Z90" s="156">
        <f>('Table 2 StormwaterGroundwater'!AE99*3.78541)*Y90</f>
        <v>7721793.1827336689</v>
      </c>
      <c r="AA90" s="156">
        <f>'Table 7 WTP Sulfate Balance'!G92</f>
        <v>7551.8079096045194</v>
      </c>
      <c r="AB90" s="156">
        <f>AA90*'Table 6 WTP Flow Balance'!H90</f>
        <v>935669</v>
      </c>
      <c r="AC90" s="156">
        <f>(D90+F90+H90+J90+L90+N90+P90+R90+T90+V90+X90+Z90+AB90)/(('Table 5 Flows to Evap &amp; WTP'!F96+'Table 6 WTP Flow Balance'!H90)*3.78541)</f>
        <v>44266.395104313291</v>
      </c>
      <c r="AD90" s="156">
        <f>(AC90/(453592*2000))*(('Table 5 Flows to Evap &amp; WTP'!F96+'Table 6 WTP Flow Balance'!H90)*365*1440*3.785)</f>
        <v>12554.223444302777</v>
      </c>
      <c r="AE90" s="140">
        <f t="shared" si="30"/>
        <v>24154.350061188601</v>
      </c>
    </row>
    <row r="91" spans="2:31" ht="14.25" x14ac:dyDescent="0.2">
      <c r="B91" s="345">
        <f t="shared" si="17"/>
        <v>92</v>
      </c>
      <c r="C91" s="156">
        <f t="shared" si="18"/>
        <v>2400</v>
      </c>
      <c r="D91" s="156">
        <f>('Table 2 StormwaterGroundwater'!K100*3.78541)*C91</f>
        <v>0</v>
      </c>
      <c r="E91" s="156">
        <f t="shared" si="19"/>
        <v>2400</v>
      </c>
      <c r="F91" s="156">
        <f>('Table 2 StormwaterGroundwater'!M100*3.78541)*E91</f>
        <v>0</v>
      </c>
      <c r="G91" s="156">
        <f t="shared" si="20"/>
        <v>2400</v>
      </c>
      <c r="H91" s="156">
        <f>('Table 2 StormwaterGroundwater'!O100*3.78541)*G91</f>
        <v>0</v>
      </c>
      <c r="I91" s="156">
        <f t="shared" si="28"/>
        <v>2402</v>
      </c>
      <c r="J91" s="156">
        <f>('Table 2 StormwaterGroundwater'!G95*3.78541)*I91</f>
        <v>163665.98676000003</v>
      </c>
      <c r="K91" s="156">
        <f t="shared" si="29"/>
        <v>1492.5</v>
      </c>
      <c r="L91" s="156">
        <f>K91*('Table 2 StormwaterGroundwater'!H95*3.78541)</f>
        <v>48870.116276250003</v>
      </c>
      <c r="M91" s="156">
        <f t="shared" si="21"/>
        <v>47950</v>
      </c>
      <c r="N91" s="156">
        <f>('Table 2 StormwaterGroundwater'!Q100*3.78541)*M91</f>
        <v>609533.17620956874</v>
      </c>
      <c r="O91" s="156">
        <f t="shared" si="22"/>
        <v>47950</v>
      </c>
      <c r="P91" s="156">
        <f>('Table 2 StormwaterGroundwater'!U100*3.78541)*O91</f>
        <v>232794.78614465453</v>
      </c>
      <c r="Q91" s="156">
        <f t="shared" si="23"/>
        <v>47950</v>
      </c>
      <c r="R91" s="156">
        <f>('Table 2 StormwaterGroundwater'!W100*3.78541)*Q91</f>
        <v>187079.7979289369</v>
      </c>
      <c r="S91" s="156">
        <f t="shared" si="24"/>
        <v>47950</v>
      </c>
      <c r="T91" s="156">
        <f>('Table 2 StormwaterGroundwater'!Y100*3.78541)*S91</f>
        <v>632976.75990993681</v>
      </c>
      <c r="U91" s="156">
        <f t="shared" si="25"/>
        <v>199667</v>
      </c>
      <c r="V91" s="156">
        <f>('Table 2 StormwaterGroundwater'!AA100*3.78541)*U91</f>
        <v>4998177.1296582036</v>
      </c>
      <c r="W91" s="156">
        <f t="shared" si="26"/>
        <v>199667</v>
      </c>
      <c r="X91" s="156">
        <f>('Table 2 StormwaterGroundwater'!AC100*3.78541)*W91</f>
        <v>6140338.7003027536</v>
      </c>
      <c r="Y91" s="156">
        <f t="shared" si="27"/>
        <v>199667</v>
      </c>
      <c r="Z91" s="156">
        <f>('Table 2 StormwaterGroundwater'!AE100*3.78541)*Y91</f>
        <v>7721793.1827336689</v>
      </c>
      <c r="AA91" s="156">
        <f>'Table 7 WTP Sulfate Balance'!G93</f>
        <v>7551.8079096045194</v>
      </c>
      <c r="AB91" s="156">
        <f>AA91*'Table 6 WTP Flow Balance'!H91</f>
        <v>935669</v>
      </c>
      <c r="AC91" s="156">
        <f>(D91+F91+H91+J91+L91+N91+P91+R91+T91+V91+X91+Z91+AB91)/(('Table 5 Flows to Evap &amp; WTP'!F97+'Table 6 WTP Flow Balance'!H91)*3.78541)</f>
        <v>44266.395104313291</v>
      </c>
      <c r="AD91" s="156">
        <f>(AC91/(453592*2000))*(('Table 5 Flows to Evap &amp; WTP'!F97+'Table 6 WTP Flow Balance'!H91)*365*1440*3.785)</f>
        <v>12554.223444302777</v>
      </c>
      <c r="AE91" s="140">
        <f t="shared" si="30"/>
        <v>24154.350061188601</v>
      </c>
    </row>
    <row r="92" spans="2:31" ht="14.25" x14ac:dyDescent="0.2">
      <c r="B92" s="345">
        <f t="shared" si="17"/>
        <v>93</v>
      </c>
      <c r="C92" s="156">
        <f t="shared" si="18"/>
        <v>2400</v>
      </c>
      <c r="D92" s="156">
        <f>('Table 2 StormwaterGroundwater'!K101*3.78541)*C92</f>
        <v>0</v>
      </c>
      <c r="E92" s="156">
        <f t="shared" si="19"/>
        <v>2400</v>
      </c>
      <c r="F92" s="156">
        <f>('Table 2 StormwaterGroundwater'!M101*3.78541)*E92</f>
        <v>0</v>
      </c>
      <c r="G92" s="156">
        <f t="shared" si="20"/>
        <v>2400</v>
      </c>
      <c r="H92" s="156">
        <f>('Table 2 StormwaterGroundwater'!O101*3.78541)*G92</f>
        <v>0</v>
      </c>
      <c r="I92" s="156">
        <f t="shared" si="28"/>
        <v>2402</v>
      </c>
      <c r="J92" s="156">
        <f>('Table 2 StormwaterGroundwater'!G96*3.78541)*I92</f>
        <v>163665.98676000003</v>
      </c>
      <c r="K92" s="156">
        <f t="shared" si="29"/>
        <v>1492.5</v>
      </c>
      <c r="L92" s="156">
        <f>K92*('Table 2 StormwaterGroundwater'!H96*3.78541)</f>
        <v>48870.116276250003</v>
      </c>
      <c r="M92" s="156">
        <f t="shared" si="21"/>
        <v>47950</v>
      </c>
      <c r="N92" s="156">
        <f>('Table 2 StormwaterGroundwater'!Q101*3.78541)*M92</f>
        <v>609533.17620956874</v>
      </c>
      <c r="O92" s="156">
        <f t="shared" si="22"/>
        <v>47950</v>
      </c>
      <c r="P92" s="156">
        <f>('Table 2 StormwaterGroundwater'!U101*3.78541)*O92</f>
        <v>232794.78614465453</v>
      </c>
      <c r="Q92" s="156">
        <f t="shared" si="23"/>
        <v>47950</v>
      </c>
      <c r="R92" s="156">
        <f>('Table 2 StormwaterGroundwater'!W101*3.78541)*Q92</f>
        <v>187079.7979289369</v>
      </c>
      <c r="S92" s="156">
        <f t="shared" si="24"/>
        <v>47950</v>
      </c>
      <c r="T92" s="156">
        <f>('Table 2 StormwaterGroundwater'!Y101*3.78541)*S92</f>
        <v>632976.75990993681</v>
      </c>
      <c r="U92" s="156">
        <f t="shared" si="25"/>
        <v>199667</v>
      </c>
      <c r="V92" s="156">
        <f>('Table 2 StormwaterGroundwater'!AA101*3.78541)*U92</f>
        <v>4998177.1296582036</v>
      </c>
      <c r="W92" s="156">
        <f t="shared" si="26"/>
        <v>199667</v>
      </c>
      <c r="X92" s="156">
        <f>('Table 2 StormwaterGroundwater'!AC101*3.78541)*W92</f>
        <v>6140338.7003027536</v>
      </c>
      <c r="Y92" s="156">
        <f t="shared" si="27"/>
        <v>199667</v>
      </c>
      <c r="Z92" s="156">
        <f>('Table 2 StormwaterGroundwater'!AE101*3.78541)*Y92</f>
        <v>7721793.1827336689</v>
      </c>
      <c r="AA92" s="156">
        <f>'Table 7 WTP Sulfate Balance'!G94</f>
        <v>7551.8079096045194</v>
      </c>
      <c r="AB92" s="156">
        <f>AA92*'Table 6 WTP Flow Balance'!H92</f>
        <v>935669</v>
      </c>
      <c r="AC92" s="156">
        <f>(D92+F92+H92+J92+L92+N92+P92+R92+T92+V92+X92+Z92+AB92)/(('Table 5 Flows to Evap &amp; WTP'!F98+'Table 6 WTP Flow Balance'!H92)*3.78541)</f>
        <v>44266.395104313291</v>
      </c>
      <c r="AD92" s="156">
        <f>(AC92/(453592*2000))*(('Table 5 Flows to Evap &amp; WTP'!F98+'Table 6 WTP Flow Balance'!H92)*365*1440*3.785)</f>
        <v>12554.223444302777</v>
      </c>
      <c r="AE92" s="140">
        <f t="shared" si="30"/>
        <v>24154.350061188601</v>
      </c>
    </row>
    <row r="93" spans="2:31" ht="14.25" x14ac:dyDescent="0.2">
      <c r="B93" s="345">
        <f t="shared" si="17"/>
        <v>94</v>
      </c>
      <c r="C93" s="156">
        <f t="shared" si="18"/>
        <v>2400</v>
      </c>
      <c r="D93" s="156">
        <f>('Table 2 StormwaterGroundwater'!K102*3.78541)*C93</f>
        <v>0</v>
      </c>
      <c r="E93" s="156">
        <f t="shared" si="19"/>
        <v>2400</v>
      </c>
      <c r="F93" s="156">
        <f>('Table 2 StormwaterGroundwater'!M102*3.78541)*E93</f>
        <v>0</v>
      </c>
      <c r="G93" s="156">
        <f t="shared" si="20"/>
        <v>2400</v>
      </c>
      <c r="H93" s="156">
        <f>('Table 2 StormwaterGroundwater'!O102*3.78541)*G93</f>
        <v>0</v>
      </c>
      <c r="I93" s="156">
        <f t="shared" si="28"/>
        <v>2402</v>
      </c>
      <c r="J93" s="156">
        <f>('Table 2 StormwaterGroundwater'!G97*3.78541)*I93</f>
        <v>163665.98676000003</v>
      </c>
      <c r="K93" s="156">
        <f t="shared" si="29"/>
        <v>1492.5</v>
      </c>
      <c r="L93" s="156">
        <f>K93*('Table 2 StormwaterGroundwater'!H97*3.78541)</f>
        <v>48870.116276250003</v>
      </c>
      <c r="M93" s="156">
        <f t="shared" si="21"/>
        <v>47950</v>
      </c>
      <c r="N93" s="156">
        <f>('Table 2 StormwaterGroundwater'!Q102*3.78541)*M93</f>
        <v>609533.17620956874</v>
      </c>
      <c r="O93" s="156">
        <f t="shared" si="22"/>
        <v>47950</v>
      </c>
      <c r="P93" s="156">
        <f>('Table 2 StormwaterGroundwater'!U102*3.78541)*O93</f>
        <v>232794.78614465453</v>
      </c>
      <c r="Q93" s="156">
        <f t="shared" si="23"/>
        <v>47950</v>
      </c>
      <c r="R93" s="156">
        <f>('Table 2 StormwaterGroundwater'!W102*3.78541)*Q93</f>
        <v>187079.7979289369</v>
      </c>
      <c r="S93" s="156">
        <f t="shared" si="24"/>
        <v>47950</v>
      </c>
      <c r="T93" s="156">
        <f>('Table 2 StormwaterGroundwater'!Y102*3.78541)*S93</f>
        <v>632976.75990993681</v>
      </c>
      <c r="U93" s="156">
        <f t="shared" si="25"/>
        <v>199667</v>
      </c>
      <c r="V93" s="156">
        <f>('Table 2 StormwaterGroundwater'!AA102*3.78541)*U93</f>
        <v>4998177.1296582036</v>
      </c>
      <c r="W93" s="156">
        <f t="shared" si="26"/>
        <v>199667</v>
      </c>
      <c r="X93" s="156">
        <f>('Table 2 StormwaterGroundwater'!AC102*3.78541)*W93</f>
        <v>6140338.7003027536</v>
      </c>
      <c r="Y93" s="156">
        <f t="shared" si="27"/>
        <v>199667</v>
      </c>
      <c r="Z93" s="156">
        <f>('Table 2 StormwaterGroundwater'!AE102*3.78541)*Y93</f>
        <v>7721793.1827336689</v>
      </c>
      <c r="AA93" s="156">
        <f>'Table 7 WTP Sulfate Balance'!G95</f>
        <v>7551.8079096045194</v>
      </c>
      <c r="AB93" s="156">
        <f>AA93*'Table 6 WTP Flow Balance'!H93</f>
        <v>935669</v>
      </c>
      <c r="AC93" s="156">
        <f>(D93+F93+H93+J93+L93+N93+P93+R93+T93+V93+X93+Z93+AB93)/(('Table 5 Flows to Evap &amp; WTP'!F99+'Table 6 WTP Flow Balance'!H93)*3.78541)</f>
        <v>44266.395104313291</v>
      </c>
      <c r="AD93" s="156">
        <f>(AC93/(453592*2000))*(('Table 5 Flows to Evap &amp; WTP'!F99+'Table 6 WTP Flow Balance'!H93)*365*1440*3.785)</f>
        <v>12554.223444302777</v>
      </c>
      <c r="AE93" s="140">
        <f t="shared" si="30"/>
        <v>24154.350061188601</v>
      </c>
    </row>
    <row r="94" spans="2:31" ht="14.25" x14ac:dyDescent="0.2">
      <c r="B94" s="345">
        <f t="shared" si="17"/>
        <v>95</v>
      </c>
      <c r="C94" s="156">
        <f t="shared" si="18"/>
        <v>2400</v>
      </c>
      <c r="D94" s="156">
        <f>('Table 2 StormwaterGroundwater'!K103*3.78541)*C94</f>
        <v>0</v>
      </c>
      <c r="E94" s="156">
        <f t="shared" si="19"/>
        <v>2400</v>
      </c>
      <c r="F94" s="156">
        <f>('Table 2 StormwaterGroundwater'!M103*3.78541)*E94</f>
        <v>0</v>
      </c>
      <c r="G94" s="156">
        <f t="shared" si="20"/>
        <v>2400</v>
      </c>
      <c r="H94" s="156">
        <f>('Table 2 StormwaterGroundwater'!O103*3.78541)*G94</f>
        <v>0</v>
      </c>
      <c r="I94" s="156">
        <f t="shared" si="28"/>
        <v>2402</v>
      </c>
      <c r="J94" s="156">
        <f>('Table 2 StormwaterGroundwater'!G98*3.78541)*I94</f>
        <v>163665.98676000003</v>
      </c>
      <c r="K94" s="156">
        <f t="shared" si="29"/>
        <v>1492.5</v>
      </c>
      <c r="L94" s="156">
        <f>K94*('Table 2 StormwaterGroundwater'!H98*3.78541)</f>
        <v>48870.116276250003</v>
      </c>
      <c r="M94" s="156">
        <f t="shared" si="21"/>
        <v>47950</v>
      </c>
      <c r="N94" s="156">
        <f>('Table 2 StormwaterGroundwater'!Q103*3.78541)*M94</f>
        <v>609533.17620956874</v>
      </c>
      <c r="O94" s="156">
        <f t="shared" si="22"/>
        <v>47950</v>
      </c>
      <c r="P94" s="156">
        <f>('Table 2 StormwaterGroundwater'!U103*3.78541)*O94</f>
        <v>232794.78614465453</v>
      </c>
      <c r="Q94" s="156">
        <f t="shared" si="23"/>
        <v>47950</v>
      </c>
      <c r="R94" s="156">
        <f>('Table 2 StormwaterGroundwater'!W103*3.78541)*Q94</f>
        <v>187079.7979289369</v>
      </c>
      <c r="S94" s="156">
        <f t="shared" si="24"/>
        <v>47950</v>
      </c>
      <c r="T94" s="156">
        <f>('Table 2 StormwaterGroundwater'!Y103*3.78541)*S94</f>
        <v>632976.75990993681</v>
      </c>
      <c r="U94" s="156">
        <f t="shared" si="25"/>
        <v>199667</v>
      </c>
      <c r="V94" s="156">
        <f>('Table 2 StormwaterGroundwater'!AA103*3.78541)*U94</f>
        <v>4998177.1296582036</v>
      </c>
      <c r="W94" s="156">
        <f t="shared" si="26"/>
        <v>199667</v>
      </c>
      <c r="X94" s="156">
        <f>('Table 2 StormwaterGroundwater'!AC103*3.78541)*W94</f>
        <v>6140338.7003027536</v>
      </c>
      <c r="Y94" s="156">
        <f t="shared" si="27"/>
        <v>199667</v>
      </c>
      <c r="Z94" s="156">
        <f>('Table 2 StormwaterGroundwater'!AE103*3.78541)*Y94</f>
        <v>7721793.1827336689</v>
      </c>
      <c r="AA94" s="156">
        <f>'Table 7 WTP Sulfate Balance'!G96</f>
        <v>7551.8079096045194</v>
      </c>
      <c r="AB94" s="156">
        <f>AA94*'Table 6 WTP Flow Balance'!H94</f>
        <v>935669</v>
      </c>
      <c r="AC94" s="156">
        <f>(D94+F94+H94+J94+L94+N94+P94+R94+T94+V94+X94+Z94+AB94)/(('Table 5 Flows to Evap &amp; WTP'!F100+'Table 6 WTP Flow Balance'!H94)*3.78541)</f>
        <v>44266.395104313291</v>
      </c>
      <c r="AD94" s="156">
        <f>(AC94/(453592*2000))*(('Table 5 Flows to Evap &amp; WTP'!F100+'Table 6 WTP Flow Balance'!H94)*365*1440*3.785)</f>
        <v>12554.223444302777</v>
      </c>
      <c r="AE94" s="140">
        <f t="shared" si="30"/>
        <v>24154.350061188601</v>
      </c>
    </row>
    <row r="95" spans="2:31" ht="14.25" x14ac:dyDescent="0.2">
      <c r="B95" s="345">
        <f t="shared" si="17"/>
        <v>96</v>
      </c>
      <c r="C95" s="156">
        <f t="shared" si="18"/>
        <v>2400</v>
      </c>
      <c r="D95" s="156">
        <f>('Table 2 StormwaterGroundwater'!K104*3.78541)*C95</f>
        <v>0</v>
      </c>
      <c r="E95" s="156">
        <f t="shared" si="19"/>
        <v>2400</v>
      </c>
      <c r="F95" s="156">
        <f>('Table 2 StormwaterGroundwater'!M104*3.78541)*E95</f>
        <v>0</v>
      </c>
      <c r="G95" s="156">
        <f t="shared" si="20"/>
        <v>2400</v>
      </c>
      <c r="H95" s="156">
        <f>('Table 2 StormwaterGroundwater'!O104*3.78541)*G95</f>
        <v>0</v>
      </c>
      <c r="I95" s="156">
        <f t="shared" si="28"/>
        <v>2402</v>
      </c>
      <c r="J95" s="156">
        <f>('Table 2 StormwaterGroundwater'!G99*3.78541)*I95</f>
        <v>163665.98676000003</v>
      </c>
      <c r="K95" s="156">
        <f t="shared" si="29"/>
        <v>1492.5</v>
      </c>
      <c r="L95" s="156">
        <f>K95*('Table 2 StormwaterGroundwater'!H99*3.78541)</f>
        <v>48870.116276250003</v>
      </c>
      <c r="M95" s="156">
        <f t="shared" si="21"/>
        <v>47950</v>
      </c>
      <c r="N95" s="156">
        <f>('Table 2 StormwaterGroundwater'!Q104*3.78541)*M95</f>
        <v>609533.17620956874</v>
      </c>
      <c r="O95" s="156">
        <f t="shared" si="22"/>
        <v>47950</v>
      </c>
      <c r="P95" s="156">
        <f>('Table 2 StormwaterGroundwater'!U104*3.78541)*O95</f>
        <v>232794.78614465453</v>
      </c>
      <c r="Q95" s="156">
        <f t="shared" si="23"/>
        <v>47950</v>
      </c>
      <c r="R95" s="156">
        <f>('Table 2 StormwaterGroundwater'!W104*3.78541)*Q95</f>
        <v>187079.7979289369</v>
      </c>
      <c r="S95" s="156">
        <f t="shared" si="24"/>
        <v>47950</v>
      </c>
      <c r="T95" s="156">
        <f>('Table 2 StormwaterGroundwater'!Y104*3.78541)*S95</f>
        <v>632976.75990993681</v>
      </c>
      <c r="U95" s="156">
        <f t="shared" si="25"/>
        <v>199667</v>
      </c>
      <c r="V95" s="156">
        <f>('Table 2 StormwaterGroundwater'!AA104*3.78541)*U95</f>
        <v>4998177.1296582036</v>
      </c>
      <c r="W95" s="156">
        <f t="shared" si="26"/>
        <v>199667</v>
      </c>
      <c r="X95" s="156">
        <f>('Table 2 StormwaterGroundwater'!AC104*3.78541)*W95</f>
        <v>6140338.7003027536</v>
      </c>
      <c r="Y95" s="156">
        <f t="shared" si="27"/>
        <v>199667</v>
      </c>
      <c r="Z95" s="156">
        <f>('Table 2 StormwaterGroundwater'!AE104*3.78541)*Y95</f>
        <v>7721793.1827336689</v>
      </c>
      <c r="AA95" s="156">
        <f>'Table 7 WTP Sulfate Balance'!G97</f>
        <v>7551.8079096045194</v>
      </c>
      <c r="AB95" s="156">
        <f>AA95*'Table 6 WTP Flow Balance'!H95</f>
        <v>935669</v>
      </c>
      <c r="AC95" s="156">
        <f>(D95+F95+H95+J95+L95+N95+P95+R95+T95+V95+X95+Z95+AB95)/(('Table 5 Flows to Evap &amp; WTP'!F101+'Table 6 WTP Flow Balance'!H95)*3.78541)</f>
        <v>44266.395104313291</v>
      </c>
      <c r="AD95" s="156">
        <f>(AC95/(453592*2000))*(('Table 5 Flows to Evap &amp; WTP'!F101+'Table 6 WTP Flow Balance'!H95)*365*1440*3.785)</f>
        <v>12554.223444302777</v>
      </c>
      <c r="AE95" s="140">
        <f t="shared" si="30"/>
        <v>24154.350061188601</v>
      </c>
    </row>
    <row r="96" spans="2:31" ht="14.25" x14ac:dyDescent="0.2">
      <c r="B96" s="345">
        <f t="shared" si="17"/>
        <v>97</v>
      </c>
      <c r="C96" s="156">
        <f t="shared" si="18"/>
        <v>2400</v>
      </c>
      <c r="D96" s="156">
        <f>('Table 2 StormwaterGroundwater'!K105*3.78541)*C96</f>
        <v>0</v>
      </c>
      <c r="E96" s="156">
        <f t="shared" si="19"/>
        <v>2400</v>
      </c>
      <c r="F96" s="156">
        <f>('Table 2 StormwaterGroundwater'!M105*3.78541)*E96</f>
        <v>0</v>
      </c>
      <c r="G96" s="156">
        <f t="shared" si="20"/>
        <v>2400</v>
      </c>
      <c r="H96" s="156">
        <f>('Table 2 StormwaterGroundwater'!O105*3.78541)*G96</f>
        <v>0</v>
      </c>
      <c r="I96" s="156">
        <f t="shared" si="28"/>
        <v>2402</v>
      </c>
      <c r="J96" s="156">
        <f>('Table 2 StormwaterGroundwater'!G100*3.78541)*I96</f>
        <v>163665.98676000003</v>
      </c>
      <c r="K96" s="156">
        <f t="shared" si="29"/>
        <v>1492.5</v>
      </c>
      <c r="L96" s="156">
        <f>K96*('Table 2 StormwaterGroundwater'!H100*3.78541)</f>
        <v>48870.116276250003</v>
      </c>
      <c r="M96" s="156">
        <f t="shared" si="21"/>
        <v>47950</v>
      </c>
      <c r="N96" s="156">
        <f>('Table 2 StormwaterGroundwater'!Q105*3.78541)*M96</f>
        <v>609533.17620956874</v>
      </c>
      <c r="O96" s="156">
        <f t="shared" si="22"/>
        <v>47950</v>
      </c>
      <c r="P96" s="156">
        <f>('Table 2 StormwaterGroundwater'!U105*3.78541)*O96</f>
        <v>232794.78614465453</v>
      </c>
      <c r="Q96" s="156">
        <f t="shared" si="23"/>
        <v>47950</v>
      </c>
      <c r="R96" s="156">
        <f>('Table 2 StormwaterGroundwater'!W105*3.78541)*Q96</f>
        <v>187079.7979289369</v>
      </c>
      <c r="S96" s="156">
        <f t="shared" si="24"/>
        <v>47950</v>
      </c>
      <c r="T96" s="156">
        <f>('Table 2 StormwaterGroundwater'!Y105*3.78541)*S96</f>
        <v>632976.75990993681</v>
      </c>
      <c r="U96" s="156">
        <f t="shared" si="25"/>
        <v>199667</v>
      </c>
      <c r="V96" s="156">
        <f>('Table 2 StormwaterGroundwater'!AA105*3.78541)*U96</f>
        <v>4998177.1296582036</v>
      </c>
      <c r="W96" s="156">
        <f t="shared" si="26"/>
        <v>199667</v>
      </c>
      <c r="X96" s="156">
        <f>('Table 2 StormwaterGroundwater'!AC105*3.78541)*W96</f>
        <v>6140338.7003027536</v>
      </c>
      <c r="Y96" s="156">
        <f t="shared" si="27"/>
        <v>199667</v>
      </c>
      <c r="Z96" s="156">
        <f>('Table 2 StormwaterGroundwater'!AE105*3.78541)*Y96</f>
        <v>7721793.1827336689</v>
      </c>
      <c r="AA96" s="156">
        <f>'Table 7 WTP Sulfate Balance'!G98</f>
        <v>7551.8079096045194</v>
      </c>
      <c r="AB96" s="156">
        <f>AA96*'Table 6 WTP Flow Balance'!H96</f>
        <v>935669</v>
      </c>
      <c r="AC96" s="156">
        <f>(D96+F96+H96+J96+L96+N96+P96+R96+T96+V96+X96+Z96+AB96)/(('Table 5 Flows to Evap &amp; WTP'!F102+'Table 6 WTP Flow Balance'!H96)*3.78541)</f>
        <v>44266.395104313291</v>
      </c>
      <c r="AD96" s="156">
        <f>(AC96/(453592*2000))*(('Table 5 Flows to Evap &amp; WTP'!F102+'Table 6 WTP Flow Balance'!H96)*365*1440*3.785)</f>
        <v>12554.223444302777</v>
      </c>
      <c r="AE96" s="140">
        <f t="shared" si="30"/>
        <v>24154.350061188601</v>
      </c>
    </row>
    <row r="97" spans="2:33" ht="14.25" x14ac:dyDescent="0.2">
      <c r="B97" s="345">
        <f t="shared" si="17"/>
        <v>98</v>
      </c>
      <c r="C97" s="156">
        <f t="shared" si="18"/>
        <v>2400</v>
      </c>
      <c r="D97" s="156">
        <f>('Table 2 StormwaterGroundwater'!K106*3.78541)*C97</f>
        <v>0</v>
      </c>
      <c r="E97" s="156">
        <f t="shared" si="19"/>
        <v>2400</v>
      </c>
      <c r="F97" s="156">
        <f>('Table 2 StormwaterGroundwater'!M106*3.78541)*E97</f>
        <v>0</v>
      </c>
      <c r="G97" s="156">
        <f t="shared" si="20"/>
        <v>2400</v>
      </c>
      <c r="H97" s="156">
        <f>('Table 2 StormwaterGroundwater'!O106*3.78541)*G97</f>
        <v>0</v>
      </c>
      <c r="I97" s="156">
        <f t="shared" si="28"/>
        <v>2402</v>
      </c>
      <c r="J97" s="156">
        <f>('Table 2 StormwaterGroundwater'!G101*3.78541)*I97</f>
        <v>163665.98676000003</v>
      </c>
      <c r="K97" s="156">
        <f t="shared" si="29"/>
        <v>1492.5</v>
      </c>
      <c r="L97" s="156">
        <f>K97*('Table 2 StormwaterGroundwater'!H101*3.78541)</f>
        <v>48870.116276250003</v>
      </c>
      <c r="M97" s="156">
        <f t="shared" si="21"/>
        <v>47950</v>
      </c>
      <c r="N97" s="156">
        <f>('Table 2 StormwaterGroundwater'!Q106*3.78541)*M97</f>
        <v>609533.17620956874</v>
      </c>
      <c r="O97" s="156">
        <f t="shared" si="22"/>
        <v>47950</v>
      </c>
      <c r="P97" s="156">
        <f>('Table 2 StormwaterGroundwater'!U106*3.78541)*O97</f>
        <v>232794.78614465453</v>
      </c>
      <c r="Q97" s="156">
        <f t="shared" si="23"/>
        <v>47950</v>
      </c>
      <c r="R97" s="156">
        <f>('Table 2 StormwaterGroundwater'!W106*3.78541)*Q97</f>
        <v>187079.7979289369</v>
      </c>
      <c r="S97" s="156">
        <f t="shared" si="24"/>
        <v>47950</v>
      </c>
      <c r="T97" s="156">
        <f>('Table 2 StormwaterGroundwater'!Y106*3.78541)*S97</f>
        <v>632976.75990993681</v>
      </c>
      <c r="U97" s="156">
        <f t="shared" si="25"/>
        <v>199667</v>
      </c>
      <c r="V97" s="156">
        <f>('Table 2 StormwaterGroundwater'!AA106*3.78541)*U97</f>
        <v>4998177.1296582036</v>
      </c>
      <c r="W97" s="156">
        <f t="shared" si="26"/>
        <v>199667</v>
      </c>
      <c r="X97" s="156">
        <f>('Table 2 StormwaterGroundwater'!AC106*3.78541)*W97</f>
        <v>6140338.7003027536</v>
      </c>
      <c r="Y97" s="156">
        <f t="shared" si="27"/>
        <v>199667</v>
      </c>
      <c r="Z97" s="156">
        <f>('Table 2 StormwaterGroundwater'!AE106*3.78541)*Y97</f>
        <v>7721793.1827336689</v>
      </c>
      <c r="AA97" s="156">
        <f>'Table 7 WTP Sulfate Balance'!G99</f>
        <v>7551.8079096045194</v>
      </c>
      <c r="AB97" s="156">
        <f>AA97*'Table 6 WTP Flow Balance'!H97</f>
        <v>935669</v>
      </c>
      <c r="AC97" s="156">
        <f>(D97+F97+H97+J97+L97+N97+P97+R97+T97+V97+X97+Z97+AB97)/(('Table 5 Flows to Evap &amp; WTP'!F103+'Table 6 WTP Flow Balance'!H97)*3.78541)</f>
        <v>44266.395104313291</v>
      </c>
      <c r="AD97" s="156">
        <f>(AC97/(453592*2000))*(('Table 5 Flows to Evap &amp; WTP'!F103+'Table 6 WTP Flow Balance'!H97)*365*1440*3.785)</f>
        <v>12554.223444302777</v>
      </c>
      <c r="AE97" s="140">
        <f t="shared" si="30"/>
        <v>24154.350061188601</v>
      </c>
    </row>
    <row r="98" spans="2:33" ht="14.25" x14ac:dyDescent="0.2">
      <c r="B98" s="345">
        <f t="shared" si="17"/>
        <v>99</v>
      </c>
      <c r="C98" s="156">
        <f t="shared" si="18"/>
        <v>2400</v>
      </c>
      <c r="D98" s="156">
        <f>('Table 2 StormwaterGroundwater'!K107*3.78541)*C98</f>
        <v>0</v>
      </c>
      <c r="E98" s="156">
        <f t="shared" si="19"/>
        <v>2400</v>
      </c>
      <c r="F98" s="156">
        <f>('Table 2 StormwaterGroundwater'!M107*3.78541)*E98</f>
        <v>0</v>
      </c>
      <c r="G98" s="156">
        <f t="shared" si="20"/>
        <v>2400</v>
      </c>
      <c r="H98" s="156">
        <f>('Table 2 StormwaterGroundwater'!O107*3.78541)*G98</f>
        <v>0</v>
      </c>
      <c r="I98" s="156">
        <f t="shared" si="28"/>
        <v>2402</v>
      </c>
      <c r="J98" s="156">
        <f>('Table 2 StormwaterGroundwater'!G102*3.78541)*I98</f>
        <v>163665.98676000003</v>
      </c>
      <c r="K98" s="156">
        <f t="shared" si="29"/>
        <v>1492.5</v>
      </c>
      <c r="L98" s="156">
        <f>K98*('Table 2 StormwaterGroundwater'!H102*3.78541)</f>
        <v>48870.116276250003</v>
      </c>
      <c r="M98" s="156">
        <f t="shared" si="21"/>
        <v>47950</v>
      </c>
      <c r="N98" s="156">
        <f>('Table 2 StormwaterGroundwater'!Q107*3.78541)*M98</f>
        <v>609533.17620956874</v>
      </c>
      <c r="O98" s="156">
        <f t="shared" si="22"/>
        <v>47950</v>
      </c>
      <c r="P98" s="156">
        <f>('Table 2 StormwaterGroundwater'!U107*3.78541)*O98</f>
        <v>232794.78614465453</v>
      </c>
      <c r="Q98" s="156">
        <f t="shared" si="23"/>
        <v>47950</v>
      </c>
      <c r="R98" s="156">
        <f>('Table 2 StormwaterGroundwater'!W107*3.78541)*Q98</f>
        <v>187079.7979289369</v>
      </c>
      <c r="S98" s="156">
        <f t="shared" si="24"/>
        <v>47950</v>
      </c>
      <c r="T98" s="156">
        <f>('Table 2 StormwaterGroundwater'!Y107*3.78541)*S98</f>
        <v>632976.75990993681</v>
      </c>
      <c r="U98" s="156">
        <f t="shared" si="25"/>
        <v>199667</v>
      </c>
      <c r="V98" s="156">
        <f>('Table 2 StormwaterGroundwater'!AA107*3.78541)*U98</f>
        <v>4998177.1296582036</v>
      </c>
      <c r="W98" s="156">
        <f t="shared" si="26"/>
        <v>199667</v>
      </c>
      <c r="X98" s="156">
        <f>('Table 2 StormwaterGroundwater'!AC107*3.78541)*W98</f>
        <v>6140338.7003027536</v>
      </c>
      <c r="Y98" s="156">
        <f t="shared" si="27"/>
        <v>199667</v>
      </c>
      <c r="Z98" s="156">
        <f>('Table 2 StormwaterGroundwater'!AE107*3.78541)*Y98</f>
        <v>7721793.1827336689</v>
      </c>
      <c r="AA98" s="156">
        <f>'Table 7 WTP Sulfate Balance'!G100</f>
        <v>7551.8079096045194</v>
      </c>
      <c r="AB98" s="156">
        <f>AA98*'Table 6 WTP Flow Balance'!H98</f>
        <v>935669</v>
      </c>
      <c r="AC98" s="156">
        <f>(D98+F98+H98+J98+L98+N98+P98+R98+T98+V98+X98+Z98+AB98)/(('Table 5 Flows to Evap &amp; WTP'!F104+'Table 6 WTP Flow Balance'!H98)*3.78541)</f>
        <v>44266.395104313291</v>
      </c>
      <c r="AD98" s="156">
        <f>(AC98/(453592*2000))*(('Table 5 Flows to Evap &amp; WTP'!F104+'Table 6 WTP Flow Balance'!H98)*365*1440*3.785)</f>
        <v>12554.223444302777</v>
      </c>
      <c r="AE98" s="140">
        <f t="shared" si="30"/>
        <v>24154.350061188601</v>
      </c>
    </row>
    <row r="99" spans="2:33" ht="15" thickBot="1" x14ac:dyDescent="0.25">
      <c r="B99" s="388">
        <v>100</v>
      </c>
      <c r="C99" s="389">
        <f t="shared" si="18"/>
        <v>2400</v>
      </c>
      <c r="D99" s="389">
        <f>('Table 2 StormwaterGroundwater'!K108*3.78541)*C99</f>
        <v>0</v>
      </c>
      <c r="E99" s="389">
        <f t="shared" si="19"/>
        <v>2400</v>
      </c>
      <c r="F99" s="389">
        <f>('Table 2 StormwaterGroundwater'!M108*3.78541)*E99</f>
        <v>0</v>
      </c>
      <c r="G99" s="389">
        <f t="shared" si="20"/>
        <v>2400</v>
      </c>
      <c r="H99" s="389">
        <f>('Table 2 StormwaterGroundwater'!O108*3.78541)*G99</f>
        <v>0</v>
      </c>
      <c r="I99" s="389">
        <f t="shared" si="28"/>
        <v>2402</v>
      </c>
      <c r="J99" s="389">
        <f>('Table 2 StormwaterGroundwater'!G103*3.78541)*I99</f>
        <v>163665.98676000003</v>
      </c>
      <c r="K99" s="389">
        <f t="shared" si="29"/>
        <v>1492.5</v>
      </c>
      <c r="L99" s="389">
        <f>K99*('Table 2 StormwaterGroundwater'!H103*3.78541)</f>
        <v>48870.116276250003</v>
      </c>
      <c r="M99" s="389">
        <f t="shared" si="21"/>
        <v>47950</v>
      </c>
      <c r="N99" s="389">
        <f>('Table 2 StormwaterGroundwater'!Q108*3.78541)*M99</f>
        <v>609533.17620956874</v>
      </c>
      <c r="O99" s="389">
        <f t="shared" si="22"/>
        <v>47950</v>
      </c>
      <c r="P99" s="389">
        <f>('Table 2 StormwaterGroundwater'!U108*3.78541)*O99</f>
        <v>232794.78614465453</v>
      </c>
      <c r="Q99" s="389">
        <f t="shared" si="23"/>
        <v>47950</v>
      </c>
      <c r="R99" s="389">
        <f>('Table 2 StormwaterGroundwater'!W108*3.78541)*Q99</f>
        <v>187079.7979289369</v>
      </c>
      <c r="S99" s="389">
        <f t="shared" si="24"/>
        <v>47950</v>
      </c>
      <c r="T99" s="389">
        <f>('Table 2 StormwaterGroundwater'!Y108*3.78541)*S99</f>
        <v>632976.75990993681</v>
      </c>
      <c r="U99" s="389">
        <f t="shared" si="25"/>
        <v>199667</v>
      </c>
      <c r="V99" s="389">
        <f>('Table 2 StormwaterGroundwater'!AA108*3.78541)*U99</f>
        <v>4998177.1296582036</v>
      </c>
      <c r="W99" s="389">
        <f t="shared" si="26"/>
        <v>199667</v>
      </c>
      <c r="X99" s="389">
        <f>('Table 2 StormwaterGroundwater'!AC108*3.78541)*W99</f>
        <v>6140338.7003027536</v>
      </c>
      <c r="Y99" s="389">
        <f t="shared" si="27"/>
        <v>199667</v>
      </c>
      <c r="Z99" s="389">
        <f>('Table 2 StormwaterGroundwater'!AE108*3.78541)*Y99</f>
        <v>7721793.1827336689</v>
      </c>
      <c r="AA99" s="389">
        <f>'Table 7 WTP Sulfate Balance'!G101</f>
        <v>7547.8079096045194</v>
      </c>
      <c r="AB99" s="389">
        <f>AA99*'Table 6 WTP Flow Balance'!H99</f>
        <v>935173.4</v>
      </c>
      <c r="AC99" s="389">
        <f>(D99+F99+H99+J99+L99+N99+P99+R99+T99+V99+X99+Z99+AB99)/(('Table 5 Flows to Evap &amp; WTP'!F105+'Table 6 WTP Flow Balance'!H99)*3.78541)</f>
        <v>44265.382759334781</v>
      </c>
      <c r="AD99" s="389">
        <f>(AC99/(453592*2000))*(('Table 5 Flows to Evap &amp; WTP'!F105+'Table 6 WTP Flow Balance'!H99)*365*1440*3.785)</f>
        <v>12553.936337005402</v>
      </c>
      <c r="AE99" s="390">
        <f t="shared" si="30"/>
        <v>24153.797666196057</v>
      </c>
      <c r="AG99" s="50"/>
    </row>
    <row r="100" spans="2:33" ht="15" thickBot="1" x14ac:dyDescent="0.25">
      <c r="B100" s="391"/>
      <c r="C100" s="392"/>
      <c r="D100" s="392"/>
      <c r="E100" s="393"/>
      <c r="F100" s="393"/>
      <c r="G100" s="392"/>
      <c r="H100" s="392"/>
      <c r="I100" s="392"/>
      <c r="J100" s="392"/>
      <c r="K100" s="392"/>
      <c r="L100" s="392"/>
      <c r="M100" s="394"/>
      <c r="N100" s="394"/>
      <c r="O100" s="395"/>
      <c r="P100" s="394"/>
      <c r="Q100" s="394"/>
      <c r="R100" s="394"/>
      <c r="S100" s="394"/>
      <c r="T100" s="394"/>
      <c r="U100" s="394"/>
      <c r="V100" s="394"/>
      <c r="W100" s="394"/>
      <c r="X100" s="394"/>
      <c r="Y100" s="394"/>
      <c r="Z100" s="394"/>
      <c r="AA100" s="394"/>
      <c r="AB100" s="394"/>
      <c r="AC100" s="399"/>
      <c r="AD100" s="400" t="s">
        <v>29</v>
      </c>
      <c r="AE100" s="401">
        <f>SUM(AE5:AE99)</f>
        <v>2497099.46194058</v>
      </c>
    </row>
    <row r="101" spans="2:33" ht="13.5" thickTop="1" x14ac:dyDescent="0.2"/>
    <row r="103" spans="2:33" x14ac:dyDescent="0.2">
      <c r="AC103" s="15"/>
      <c r="AD103" s="15"/>
      <c r="AE103" s="15"/>
    </row>
    <row r="104" spans="2:33" x14ac:dyDescent="0.2">
      <c r="AC104" s="7"/>
      <c r="AD104" s="7"/>
      <c r="AE104" s="7"/>
    </row>
    <row r="105" spans="2:33" x14ac:dyDescent="0.2">
      <c r="AC105" s="7"/>
      <c r="AD105" s="7"/>
      <c r="AE105" s="7"/>
    </row>
  </sheetData>
  <mergeCells count="20">
    <mergeCell ref="B2:B3"/>
    <mergeCell ref="C2:H2"/>
    <mergeCell ref="M2:T2"/>
    <mergeCell ref="U2:Z2"/>
    <mergeCell ref="O3:P3"/>
    <mergeCell ref="Q3:R3"/>
    <mergeCell ref="S3:T3"/>
    <mergeCell ref="AC2:AE2"/>
    <mergeCell ref="U3:V3"/>
    <mergeCell ref="W3:X3"/>
    <mergeCell ref="Y3:Z3"/>
    <mergeCell ref="C3:D3"/>
    <mergeCell ref="E3:F3"/>
    <mergeCell ref="G3:H3"/>
    <mergeCell ref="M3:N3"/>
    <mergeCell ref="AA2:AB2"/>
    <mergeCell ref="AA3:AB3"/>
    <mergeCell ref="I2:L2"/>
    <mergeCell ref="I3:J3"/>
    <mergeCell ref="K3:L3"/>
  </mergeCells>
  <pageMargins left="0.25" right="0.25" top="0.75" bottom="0.75" header="0.3" footer="0.3"/>
  <pageSetup paperSize="3" scale="77" orientation="landscape" r:id="rId1"/>
  <headerFooter>
    <oddHeader>&amp;C&amp;"Aptos,Bold"&amp;16&amp;K03+039&amp;A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F36B-D637-4A4C-A240-D43202073F55}">
  <dimension ref="A1:AE109"/>
  <sheetViews>
    <sheetView tabSelected="1" workbookViewId="0">
      <pane xSplit="2" ySplit="4" topLeftCell="C82" activePane="bottomRight" state="frozen"/>
      <selection pane="topRight"/>
      <selection pane="bottomLeft"/>
      <selection pane="bottomRight" activeCell="F107" sqref="F107"/>
    </sheetView>
  </sheetViews>
  <sheetFormatPr defaultRowHeight="12.75" x14ac:dyDescent="0.2"/>
  <cols>
    <col min="1" max="1" width="3" style="52" customWidth="1"/>
    <col min="2" max="2" width="7.6640625" style="37" customWidth="1"/>
    <col min="3" max="3" width="15.6640625" style="37" customWidth="1"/>
    <col min="4" max="4" width="21.6640625" style="37" customWidth="1"/>
    <col min="5" max="7" width="15.6640625" style="37" customWidth="1"/>
    <col min="8" max="8" width="23.83203125" style="37" customWidth="1"/>
    <col min="9" max="16" width="15.6640625" style="37" customWidth="1"/>
    <col min="17" max="17" width="8.83203125" style="52"/>
    <col min="18" max="18" width="13.83203125" style="52" bestFit="1" customWidth="1"/>
    <col min="19" max="19" width="13.33203125" style="37" hidden="1" customWidth="1"/>
    <col min="20" max="20" width="11" style="37" hidden="1" customWidth="1"/>
    <col min="21" max="22" width="8.83203125" style="52"/>
    <col min="24" max="24" width="16.1640625" bestFit="1" customWidth="1"/>
    <col min="29" max="29" width="15.1640625" customWidth="1"/>
    <col min="30" max="30" width="14.6640625" customWidth="1"/>
    <col min="31" max="31" width="11.1640625" bestFit="1" customWidth="1"/>
  </cols>
  <sheetData>
    <row r="1" spans="2:30" ht="13.5" thickBot="1" x14ac:dyDescent="0.25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2:30" ht="15" thickTop="1" x14ac:dyDescent="0.2">
      <c r="B2" s="647"/>
      <c r="C2" s="649" t="s">
        <v>227</v>
      </c>
      <c r="D2" s="653"/>
      <c r="E2" s="653"/>
      <c r="F2" s="653"/>
      <c r="G2" s="649" t="s">
        <v>228</v>
      </c>
      <c r="H2" s="653"/>
      <c r="I2" s="653"/>
      <c r="J2" s="653"/>
      <c r="K2" s="653"/>
      <c r="L2" s="649" t="s">
        <v>229</v>
      </c>
      <c r="M2" s="649" t="s">
        <v>230</v>
      </c>
      <c r="N2" s="649" t="s">
        <v>231</v>
      </c>
      <c r="O2" s="649" t="s">
        <v>232</v>
      </c>
      <c r="P2" s="651" t="s">
        <v>233</v>
      </c>
    </row>
    <row r="3" spans="2:30" ht="36" customHeight="1" thickBot="1" x14ac:dyDescent="0.25">
      <c r="B3" s="648"/>
      <c r="C3" s="378" t="s">
        <v>234</v>
      </c>
      <c r="D3" s="378" t="s">
        <v>235</v>
      </c>
      <c r="E3" s="378" t="s">
        <v>236</v>
      </c>
      <c r="F3" s="378" t="s">
        <v>237</v>
      </c>
      <c r="G3" s="378" t="s">
        <v>238</v>
      </c>
      <c r="H3" s="378" t="s">
        <v>239</v>
      </c>
      <c r="I3" s="378" t="s">
        <v>236</v>
      </c>
      <c r="J3" s="378" t="s">
        <v>237</v>
      </c>
      <c r="K3" s="378" t="s">
        <v>240</v>
      </c>
      <c r="L3" s="650"/>
      <c r="M3" s="650"/>
      <c r="N3" s="650"/>
      <c r="O3" s="650"/>
      <c r="P3" s="652"/>
      <c r="AC3" t="s">
        <v>241</v>
      </c>
      <c r="AD3" t="s">
        <v>242</v>
      </c>
    </row>
    <row r="4" spans="2:30" ht="15" thickBot="1" x14ac:dyDescent="0.25">
      <c r="B4" s="405" t="s">
        <v>67</v>
      </c>
      <c r="C4" s="381" t="s">
        <v>243</v>
      </c>
      <c r="D4" s="381" t="s">
        <v>243</v>
      </c>
      <c r="E4" s="381" t="s">
        <v>243</v>
      </c>
      <c r="F4" s="381" t="s">
        <v>243</v>
      </c>
      <c r="G4" s="381" t="s">
        <v>243</v>
      </c>
      <c r="H4" s="381" t="s">
        <v>243</v>
      </c>
      <c r="I4" s="381" t="s">
        <v>243</v>
      </c>
      <c r="J4" s="381" t="s">
        <v>243</v>
      </c>
      <c r="K4" s="381" t="s">
        <v>243</v>
      </c>
      <c r="L4" s="381" t="s">
        <v>243</v>
      </c>
      <c r="M4" s="381" t="s">
        <v>243</v>
      </c>
      <c r="N4" s="381" t="s">
        <v>243</v>
      </c>
      <c r="O4" s="381" t="s">
        <v>243</v>
      </c>
      <c r="P4" s="382" t="s">
        <v>243</v>
      </c>
      <c r="S4" s="37" t="s">
        <v>237</v>
      </c>
      <c r="T4" s="37" t="s">
        <v>244</v>
      </c>
    </row>
    <row r="5" spans="2:30" ht="14.25" x14ac:dyDescent="0.2">
      <c r="B5" s="243">
        <v>1</v>
      </c>
      <c r="C5" s="467">
        <f>'Table 10 Capital Costs'!O4</f>
        <v>531600</v>
      </c>
      <c r="D5" s="467">
        <f>'Table 11 Equip Replace'!$H$4</f>
        <v>10632</v>
      </c>
      <c r="E5" s="468">
        <f>'Table 12 Labor Costs'!$C$20</f>
        <v>260496.08000000002</v>
      </c>
      <c r="F5" s="467">
        <f>'Table 13 Power Costs'!C28</f>
        <v>453068.74052090297</v>
      </c>
      <c r="G5" s="467">
        <f>('Table 10 Capital Costs'!$O$45+'Table 10 Capital Costs'!$O$66+'Table 10 Capital Costs'!$O$82+'Table 10 Capital Costs'!$O$88)/5</f>
        <v>2242659.9516799999</v>
      </c>
      <c r="H5" s="467">
        <f>'Table 11 Equip Replace'!H45+'Table 11 Equip Replace'!H65+'Table 11 Equip Replace'!H80+'Table 11 Equip Replace'!H87</f>
        <v>144565.43040000001</v>
      </c>
      <c r="I5" s="468" t="s">
        <v>73</v>
      </c>
      <c r="J5" s="467" t="s">
        <v>73</v>
      </c>
      <c r="K5" s="467" t="s">
        <v>73</v>
      </c>
      <c r="L5" s="467">
        <f>C5+G5</f>
        <v>2774259.9516799999</v>
      </c>
      <c r="M5" s="467">
        <f>L5*0.3</f>
        <v>832277.98550399998</v>
      </c>
      <c r="N5" s="467">
        <f>D5+E5+F5+H5</f>
        <v>868762.25092090294</v>
      </c>
      <c r="O5" s="467">
        <f>N5*0.175</f>
        <v>152033.393911158</v>
      </c>
      <c r="P5" s="469">
        <f>SUM(L5:O5)</f>
        <v>4627333.5820160611</v>
      </c>
      <c r="S5" s="57">
        <f>F5</f>
        <v>453068.74052090297</v>
      </c>
      <c r="T5" s="57">
        <f>E5</f>
        <v>260496.08000000002</v>
      </c>
      <c r="X5" s="641"/>
      <c r="AC5" s="130">
        <f>L105+M105</f>
        <v>15268369.68592</v>
      </c>
      <c r="AD5" s="130">
        <f>N105+O105</f>
        <v>130699861.48156705</v>
      </c>
    </row>
    <row r="6" spans="2:30" ht="14.25" x14ac:dyDescent="0.2">
      <c r="B6" s="406">
        <f t="shared" ref="B6:B69" si="0">B5+1</f>
        <v>2</v>
      </c>
      <c r="C6" s="470" t="s">
        <v>73</v>
      </c>
      <c r="D6" s="470">
        <f>'Table 11 Equip Replace'!$H$4</f>
        <v>10632</v>
      </c>
      <c r="E6" s="471">
        <f>'Table 12 Labor Costs'!$C$20</f>
        <v>260496.08000000002</v>
      </c>
      <c r="F6" s="470">
        <f>'Table 13 Power Costs'!C29</f>
        <v>262059.03485716876</v>
      </c>
      <c r="G6" s="470">
        <f>('Table 10 Capital Costs'!$O$45+'Table 10 Capital Costs'!$O$66+'Table 10 Capital Costs'!$O$82+'Table 10 Capital Costs'!$O$88)/5</f>
        <v>2242659.9516799999</v>
      </c>
      <c r="H6" s="470">
        <f>H5</f>
        <v>144565.43040000001</v>
      </c>
      <c r="I6" s="471" t="s">
        <v>73</v>
      </c>
      <c r="J6" s="470" t="s">
        <v>73</v>
      </c>
      <c r="K6" s="470" t="s">
        <v>73</v>
      </c>
      <c r="L6" s="470">
        <f>G6</f>
        <v>2242659.9516799999</v>
      </c>
      <c r="M6" s="470">
        <f>L6*0.3</f>
        <v>672797.98550399998</v>
      </c>
      <c r="N6" s="470">
        <f>D6+E6+F6+H6</f>
        <v>677752.54525716882</v>
      </c>
      <c r="O6" s="470">
        <f t="shared" ref="O6:O69" si="1">N6*0.175</f>
        <v>118606.69542000453</v>
      </c>
      <c r="P6" s="472">
        <f t="shared" ref="P6:P69" si="2">SUM(L6:O6)</f>
        <v>3711817.1778611732</v>
      </c>
      <c r="S6" s="57">
        <f>F6</f>
        <v>262059.03485716876</v>
      </c>
      <c r="T6" s="57">
        <f>E6</f>
        <v>260496.08000000002</v>
      </c>
      <c r="X6" s="641"/>
      <c r="AC6" s="130"/>
      <c r="AD6" s="130"/>
    </row>
    <row r="7" spans="2:30" ht="14.25" x14ac:dyDescent="0.2">
      <c r="B7" s="406">
        <f t="shared" si="0"/>
        <v>3</v>
      </c>
      <c r="C7" s="470" t="s">
        <v>73</v>
      </c>
      <c r="D7" s="470">
        <f>'Table 11 Equip Replace'!$H$4</f>
        <v>10632</v>
      </c>
      <c r="E7" s="471">
        <f>'Table 12 Labor Costs'!$C$20</f>
        <v>260496.08000000002</v>
      </c>
      <c r="F7" s="470">
        <f>'Table 13 Power Costs'!C30</f>
        <v>189477.43658719363</v>
      </c>
      <c r="G7" s="470">
        <f>('Table 10 Capital Costs'!$O$45+'Table 10 Capital Costs'!$O$66+'Table 10 Capital Costs'!$O$82+'Table 10 Capital Costs'!$O$88)/5</f>
        <v>2242659.9516799999</v>
      </c>
      <c r="H7" s="470">
        <f>H6</f>
        <v>144565.43040000001</v>
      </c>
      <c r="I7" s="471" t="s">
        <v>73</v>
      </c>
      <c r="J7" s="470" t="s">
        <v>73</v>
      </c>
      <c r="K7" s="470" t="s">
        <v>73</v>
      </c>
      <c r="L7" s="470">
        <f>G7</f>
        <v>2242659.9516799999</v>
      </c>
      <c r="M7" s="470">
        <f t="shared" ref="M7:M9" si="3">L7*0.3</f>
        <v>672797.98550399998</v>
      </c>
      <c r="N7" s="470">
        <f>D7+E7+F7+H7</f>
        <v>605170.94698719366</v>
      </c>
      <c r="O7" s="470">
        <f t="shared" si="1"/>
        <v>105904.91572275889</v>
      </c>
      <c r="P7" s="472">
        <f t="shared" si="2"/>
        <v>3626533.7998939524</v>
      </c>
      <c r="S7" s="57">
        <f>F7</f>
        <v>189477.43658719363</v>
      </c>
      <c r="T7" s="57">
        <f>E7</f>
        <v>260496.08000000002</v>
      </c>
      <c r="X7" s="641"/>
      <c r="AC7" s="130"/>
      <c r="AD7" s="130"/>
    </row>
    <row r="8" spans="2:30" ht="14.25" x14ac:dyDescent="0.2">
      <c r="B8" s="406">
        <f t="shared" si="0"/>
        <v>4</v>
      </c>
      <c r="C8" s="470" t="s">
        <v>73</v>
      </c>
      <c r="D8" s="470">
        <f>'Table 11 Equip Replace'!$H$4</f>
        <v>10632</v>
      </c>
      <c r="E8" s="471">
        <f>'Table 12 Labor Costs'!$C$20</f>
        <v>260496.08000000002</v>
      </c>
      <c r="F8" s="470">
        <f>'Table 13 Power Costs'!C31</f>
        <v>183308.24570518598</v>
      </c>
      <c r="G8" s="470">
        <f>('Table 10 Capital Costs'!$O$45+'Table 10 Capital Costs'!$O$66+'Table 10 Capital Costs'!$O$82+'Table 10 Capital Costs'!$O$88)/5</f>
        <v>2242659.9516799999</v>
      </c>
      <c r="H8" s="470">
        <f>H7</f>
        <v>144565.43040000001</v>
      </c>
      <c r="I8" s="471" t="s">
        <v>73</v>
      </c>
      <c r="J8" s="470" t="s">
        <v>73</v>
      </c>
      <c r="K8" s="470" t="s">
        <v>73</v>
      </c>
      <c r="L8" s="470">
        <f>G8</f>
        <v>2242659.9516799999</v>
      </c>
      <c r="M8" s="470">
        <f t="shared" si="3"/>
        <v>672797.98550399998</v>
      </c>
      <c r="N8" s="470">
        <f>D8+E8+F8+H8</f>
        <v>599001.75610518595</v>
      </c>
      <c r="O8" s="470">
        <f t="shared" si="1"/>
        <v>104825.30731840753</v>
      </c>
      <c r="P8" s="472">
        <f t="shared" si="2"/>
        <v>3619285.0006075935</v>
      </c>
      <c r="S8" s="57">
        <f>F8</f>
        <v>183308.24570518598</v>
      </c>
      <c r="T8" s="57">
        <f>E8</f>
        <v>260496.08000000002</v>
      </c>
      <c r="X8" s="641"/>
      <c r="AC8" s="130"/>
      <c r="AD8" s="130"/>
    </row>
    <row r="9" spans="2:30" ht="14.25" x14ac:dyDescent="0.2">
      <c r="B9" s="406">
        <f t="shared" si="0"/>
        <v>5</v>
      </c>
      <c r="C9" s="470" t="s">
        <v>73</v>
      </c>
      <c r="D9" s="470">
        <f>'Table 11 Equip Replace'!$H$4</f>
        <v>10632</v>
      </c>
      <c r="E9" s="471">
        <f>'Table 12 Labor Costs'!$C$20</f>
        <v>260496.08000000002</v>
      </c>
      <c r="F9" s="470">
        <f>'Table 13 Power Costs'!C32</f>
        <v>177320.06698868866</v>
      </c>
      <c r="G9" s="470">
        <f>('Table 10 Capital Costs'!$O$45+'Table 10 Capital Costs'!$O$66+'Table 10 Capital Costs'!$O$82+'Table 10 Capital Costs'!$O$88)/5</f>
        <v>2242659.9516799999</v>
      </c>
      <c r="H9" s="470">
        <f>H8</f>
        <v>144565.43040000001</v>
      </c>
      <c r="I9" s="471" t="s">
        <v>73</v>
      </c>
      <c r="J9" s="470" t="s">
        <v>73</v>
      </c>
      <c r="K9" s="470" t="s">
        <v>73</v>
      </c>
      <c r="L9" s="470">
        <f>G9</f>
        <v>2242659.9516799999</v>
      </c>
      <c r="M9" s="470">
        <f t="shared" si="3"/>
        <v>672797.98550399998</v>
      </c>
      <c r="N9" s="470">
        <f>D9+E9+F9+H9</f>
        <v>593013.57738868869</v>
      </c>
      <c r="O9" s="470">
        <f t="shared" si="1"/>
        <v>103777.37604302051</v>
      </c>
      <c r="P9" s="472">
        <f t="shared" si="2"/>
        <v>3612248.8906157091</v>
      </c>
      <c r="S9" s="57">
        <f>F9</f>
        <v>177320.06698868866</v>
      </c>
      <c r="T9" s="57">
        <f>E9</f>
        <v>260496.08000000002</v>
      </c>
      <c r="X9" s="641"/>
      <c r="AC9" s="130"/>
      <c r="AD9" s="130"/>
    </row>
    <row r="10" spans="2:30" ht="14.25" x14ac:dyDescent="0.2">
      <c r="B10" s="406">
        <f t="shared" si="0"/>
        <v>6</v>
      </c>
      <c r="C10" s="470" t="s">
        <v>73</v>
      </c>
      <c r="D10" s="470" t="s">
        <v>73</v>
      </c>
      <c r="E10" s="471" t="s">
        <v>73</v>
      </c>
      <c r="F10" s="470" t="s">
        <v>73</v>
      </c>
      <c r="G10" s="470" t="s">
        <v>73</v>
      </c>
      <c r="H10" s="470">
        <f>'Table 11 Equip Replace'!I45+'Table 11 Equip Replace'!I65+'Table 11 Equip Replace'!I80+'Table 11 Equip Replace'!I87</f>
        <v>429183.07808000006</v>
      </c>
      <c r="I10" s="471">
        <f>'Table 12 Labor Costs'!$C$41+'Table 12 Labor Costs'!$L$12</f>
        <v>464514.19653363642</v>
      </c>
      <c r="J10" s="470">
        <f>'Table 13 Power Costs'!D33</f>
        <v>302634.94424335571</v>
      </c>
      <c r="K10" s="470">
        <f>(('Table 14 Reagent Cost'!$F$8)*('Table 6 WTP Flow Balance'!F5/'Table 6 WTP Flow Balance'!$F$5))+'Table 15 Analytics Cost'!F9</f>
        <v>90829.17610146213</v>
      </c>
      <c r="L10" s="470" t="s">
        <v>73</v>
      </c>
      <c r="M10" s="470" t="s">
        <v>73</v>
      </c>
      <c r="N10" s="470">
        <f>H10+I10+J10+K10</f>
        <v>1287161.3949584544</v>
      </c>
      <c r="O10" s="470">
        <f>N10*0.175</f>
        <v>225253.24411772951</v>
      </c>
      <c r="P10" s="472">
        <f t="shared" si="2"/>
        <v>1512414.639076184</v>
      </c>
      <c r="R10" s="62"/>
      <c r="S10" s="57">
        <f t="shared" ref="S10:S41" si="4">J10</f>
        <v>302634.94424335571</v>
      </c>
      <c r="T10" s="57">
        <f t="shared" ref="T10:T41" si="5">I10</f>
        <v>464514.19653363642</v>
      </c>
      <c r="X10" s="641"/>
      <c r="AC10" s="130"/>
      <c r="AD10" s="130"/>
    </row>
    <row r="11" spans="2:30" ht="14.25" x14ac:dyDescent="0.2">
      <c r="B11" s="406">
        <f t="shared" si="0"/>
        <v>7</v>
      </c>
      <c r="C11" s="470" t="s">
        <v>73</v>
      </c>
      <c r="D11" s="470" t="s">
        <v>73</v>
      </c>
      <c r="E11" s="471" t="s">
        <v>73</v>
      </c>
      <c r="F11" s="470" t="s">
        <v>73</v>
      </c>
      <c r="G11" s="470" t="s">
        <v>73</v>
      </c>
      <c r="H11" s="470">
        <f t="shared" ref="H11:H25" si="6">H10</f>
        <v>429183.07808000006</v>
      </c>
      <c r="I11" s="471">
        <f>'Table 12 Labor Costs'!$C$41+'Table 12 Labor Costs'!$L$12</f>
        <v>464514.19653363642</v>
      </c>
      <c r="J11" s="470">
        <f>'Table 13 Power Costs'!D34</f>
        <v>291379.88984994555</v>
      </c>
      <c r="K11" s="470">
        <f>(('Table 14 Reagent Cost'!$F$8)*('Table 6 WTP Flow Balance'!F6/'Table 6 WTP Flow Balance'!$F$5))+'Table 15 Analytics Cost'!F10</f>
        <v>88070.173418374237</v>
      </c>
      <c r="L11" s="470" t="s">
        <v>73</v>
      </c>
      <c r="M11" s="470" t="s">
        <v>73</v>
      </c>
      <c r="N11" s="470">
        <f t="shared" ref="N11:N74" si="7">H11+I11+J11+K11</f>
        <v>1273147.3378819562</v>
      </c>
      <c r="O11" s="470">
        <f t="shared" si="1"/>
        <v>222800.78412934233</v>
      </c>
      <c r="P11" s="472">
        <f t="shared" si="2"/>
        <v>1495948.1220112985</v>
      </c>
      <c r="R11" s="62"/>
      <c r="S11" s="57">
        <f t="shared" si="4"/>
        <v>291379.88984994555</v>
      </c>
      <c r="T11" s="57">
        <f t="shared" si="5"/>
        <v>464514.19653363642</v>
      </c>
      <c r="X11" s="641"/>
      <c r="AC11" s="130"/>
      <c r="AD11" s="130"/>
    </row>
    <row r="12" spans="2:30" ht="14.25" x14ac:dyDescent="0.2">
      <c r="B12" s="406">
        <f t="shared" si="0"/>
        <v>8</v>
      </c>
      <c r="C12" s="470" t="s">
        <v>73</v>
      </c>
      <c r="D12" s="470" t="s">
        <v>73</v>
      </c>
      <c r="E12" s="471" t="s">
        <v>73</v>
      </c>
      <c r="F12" s="470" t="s">
        <v>73</v>
      </c>
      <c r="G12" s="470" t="s">
        <v>73</v>
      </c>
      <c r="H12" s="470">
        <f t="shared" si="6"/>
        <v>429183.07808000006</v>
      </c>
      <c r="I12" s="471">
        <f>'Table 12 Labor Costs'!$C$41+'Table 12 Labor Costs'!$L$12</f>
        <v>464514.19653363642</v>
      </c>
      <c r="J12" s="470">
        <f>'Table 13 Power Costs'!D35</f>
        <v>279046.06900833995</v>
      </c>
      <c r="K12" s="470">
        <f>(('Table 14 Reagent Cost'!$F$8)*('Table 6 WTP Flow Balance'!F7/'Table 6 WTP Flow Balance'!$F$5))+'Table 15 Analytics Cost'!F11</f>
        <v>85556.415418227509</v>
      </c>
      <c r="L12" s="470" t="s">
        <v>73</v>
      </c>
      <c r="M12" s="470" t="s">
        <v>73</v>
      </c>
      <c r="N12" s="470">
        <f>H12+I12+J12+K12</f>
        <v>1258299.7590402039</v>
      </c>
      <c r="O12" s="470">
        <f t="shared" si="1"/>
        <v>220202.45783203567</v>
      </c>
      <c r="P12" s="472">
        <f t="shared" si="2"/>
        <v>1478502.2168722395</v>
      </c>
      <c r="R12" s="62"/>
      <c r="S12" s="57">
        <f t="shared" si="4"/>
        <v>279046.06900833995</v>
      </c>
      <c r="T12" s="57">
        <f t="shared" si="5"/>
        <v>464514.19653363642</v>
      </c>
      <c r="X12" s="641"/>
      <c r="AC12" s="130"/>
      <c r="AD12" s="130"/>
    </row>
    <row r="13" spans="2:30" ht="14.25" x14ac:dyDescent="0.2">
      <c r="B13" s="406">
        <f t="shared" si="0"/>
        <v>9</v>
      </c>
      <c r="C13" s="470" t="s">
        <v>73</v>
      </c>
      <c r="D13" s="470" t="s">
        <v>73</v>
      </c>
      <c r="E13" s="471" t="s">
        <v>73</v>
      </c>
      <c r="F13" s="470" t="s">
        <v>73</v>
      </c>
      <c r="G13" s="470" t="s">
        <v>73</v>
      </c>
      <c r="H13" s="470">
        <f t="shared" si="6"/>
        <v>429183.07808000006</v>
      </c>
      <c r="I13" s="471">
        <f>'Table 12 Labor Costs'!$C$41+'Table 12 Labor Costs'!$L$12</f>
        <v>464514.19653363642</v>
      </c>
      <c r="J13" s="470">
        <f>'Table 13 Power Costs'!D36</f>
        <v>267170.77432765276</v>
      </c>
      <c r="K13" s="470">
        <f>(('Table 14 Reagent Cost'!$F$8)*('Table 6 WTP Flow Balance'!F8/'Table 6 WTP Flow Balance'!$F$5))+'Table 15 Analytics Cost'!F12</f>
        <v>83134.6241741837</v>
      </c>
      <c r="L13" s="470" t="s">
        <v>73</v>
      </c>
      <c r="M13" s="470" t="s">
        <v>73</v>
      </c>
      <c r="N13" s="470">
        <f t="shared" si="7"/>
        <v>1244002.673115473</v>
      </c>
      <c r="O13" s="470">
        <f t="shared" si="1"/>
        <v>217700.46779520778</v>
      </c>
      <c r="P13" s="472">
        <f t="shared" si="2"/>
        <v>1461703.1409106809</v>
      </c>
      <c r="R13" s="62"/>
      <c r="S13" s="57">
        <f t="shared" si="4"/>
        <v>267170.77432765276</v>
      </c>
      <c r="T13" s="57">
        <f t="shared" si="5"/>
        <v>464514.19653363642</v>
      </c>
      <c r="X13" s="641"/>
      <c r="AC13" s="130"/>
      <c r="AD13" s="130"/>
    </row>
    <row r="14" spans="2:30" ht="14.25" x14ac:dyDescent="0.2">
      <c r="B14" s="406">
        <f t="shared" si="0"/>
        <v>10</v>
      </c>
      <c r="C14" s="470" t="s">
        <v>73</v>
      </c>
      <c r="D14" s="470" t="s">
        <v>73</v>
      </c>
      <c r="E14" s="471" t="s">
        <v>73</v>
      </c>
      <c r="F14" s="470" t="s">
        <v>73</v>
      </c>
      <c r="G14" s="470" t="s">
        <v>73</v>
      </c>
      <c r="H14" s="470">
        <f t="shared" si="6"/>
        <v>429183.07808000006</v>
      </c>
      <c r="I14" s="471">
        <f>'Table 12 Labor Costs'!$C$41+'Table 12 Labor Costs'!$L$12</f>
        <v>464514.19653363642</v>
      </c>
      <c r="J14" s="470">
        <f>'Table 13 Power Costs'!D37</f>
        <v>257635.23492095288</v>
      </c>
      <c r="K14" s="470">
        <f>(('Table 14 Reagent Cost'!$F$8)*('Table 6 WTP Flow Balance'!F9/'Table 6 WTP Flow Balance'!$F$5))+'Table 15 Analytics Cost'!F13</f>
        <v>80896.766442345746</v>
      </c>
      <c r="L14" s="470" t="s">
        <v>73</v>
      </c>
      <c r="M14" s="470" t="s">
        <v>73</v>
      </c>
      <c r="N14" s="470">
        <f t="shared" si="7"/>
        <v>1232229.2759769352</v>
      </c>
      <c r="O14" s="470">
        <f t="shared" si="1"/>
        <v>215640.12329596365</v>
      </c>
      <c r="P14" s="472">
        <f t="shared" si="2"/>
        <v>1447869.3992728989</v>
      </c>
      <c r="R14" s="62"/>
      <c r="S14" s="57">
        <f t="shared" si="4"/>
        <v>257635.23492095288</v>
      </c>
      <c r="T14" s="57">
        <f t="shared" si="5"/>
        <v>464514.19653363642</v>
      </c>
      <c r="X14" s="641"/>
      <c r="AD14" s="130"/>
    </row>
    <row r="15" spans="2:30" ht="14.25" x14ac:dyDescent="0.2">
      <c r="B15" s="406">
        <f t="shared" si="0"/>
        <v>11</v>
      </c>
      <c r="C15" s="470" t="s">
        <v>73</v>
      </c>
      <c r="D15" s="470" t="s">
        <v>73</v>
      </c>
      <c r="E15" s="471" t="s">
        <v>73</v>
      </c>
      <c r="F15" s="470" t="s">
        <v>73</v>
      </c>
      <c r="G15" s="470" t="s">
        <v>73</v>
      </c>
      <c r="H15" s="470">
        <f t="shared" si="6"/>
        <v>429183.07808000006</v>
      </c>
      <c r="I15" s="471">
        <f>'Table 12 Labor Costs'!$C$41+'Table 12 Labor Costs'!$L$12</f>
        <v>464514.19653363642</v>
      </c>
      <c r="J15" s="470">
        <f>'Table 13 Power Costs'!D38</f>
        <v>247320.10469752783</v>
      </c>
      <c r="K15" s="470">
        <f>(('Table 14 Reagent Cost'!$F$8)*('Table 6 WTP Flow Balance'!F10/'Table 6 WTP Flow Balance'!$F$5))+'Table 15 Analytics Cost'!F14</f>
        <v>78750.875466610712</v>
      </c>
      <c r="L15" s="470" t="s">
        <v>73</v>
      </c>
      <c r="M15" s="470" t="s">
        <v>73</v>
      </c>
      <c r="N15" s="470">
        <f t="shared" si="7"/>
        <v>1219768.2547777751</v>
      </c>
      <c r="O15" s="470">
        <f t="shared" si="1"/>
        <v>213459.44458611065</v>
      </c>
      <c r="P15" s="472">
        <f>SUM(L15:O15)</f>
        <v>1433227.6993638859</v>
      </c>
      <c r="R15" s="62"/>
      <c r="S15" s="57">
        <f t="shared" si="4"/>
        <v>247320.10469752783</v>
      </c>
      <c r="T15" s="57">
        <f t="shared" si="5"/>
        <v>464514.19653363642</v>
      </c>
      <c r="X15" s="641"/>
      <c r="AD15" s="130"/>
    </row>
    <row r="16" spans="2:30" ht="14.25" x14ac:dyDescent="0.2">
      <c r="B16" s="406">
        <f t="shared" si="0"/>
        <v>12</v>
      </c>
      <c r="C16" s="470" t="s">
        <v>73</v>
      </c>
      <c r="D16" s="470" t="s">
        <v>73</v>
      </c>
      <c r="E16" s="471" t="s">
        <v>73</v>
      </c>
      <c r="F16" s="470" t="s">
        <v>73</v>
      </c>
      <c r="G16" s="470" t="s">
        <v>73</v>
      </c>
      <c r="H16" s="470">
        <f t="shared" si="6"/>
        <v>429183.07808000006</v>
      </c>
      <c r="I16" s="471">
        <f>'Table 12 Labor Costs'!$C$41+'Table 12 Labor Costs'!$L$12</f>
        <v>464514.19653363642</v>
      </c>
      <c r="J16" s="470">
        <f>'Table 13 Power Costs'!D39</f>
        <v>239386.60017802645</v>
      </c>
      <c r="K16" s="470">
        <f>(('Table 14 Reagent Cost'!$F$8)*('Table 6 WTP Flow Balance'!F11/'Table 6 WTP Flow Balance'!$F$5))+'Table 15 Analytics Cost'!F15</f>
        <v>76758.262417713908</v>
      </c>
      <c r="L16" s="470" t="s">
        <v>73</v>
      </c>
      <c r="M16" s="470" t="s">
        <v>73</v>
      </c>
      <c r="N16" s="470">
        <f t="shared" si="7"/>
        <v>1209842.1372093768</v>
      </c>
      <c r="O16" s="470">
        <f t="shared" si="1"/>
        <v>211722.37401164093</v>
      </c>
      <c r="P16" s="472">
        <f t="shared" si="2"/>
        <v>1421564.5112210177</v>
      </c>
      <c r="R16" s="62"/>
      <c r="S16" s="57">
        <f t="shared" si="4"/>
        <v>239386.60017802645</v>
      </c>
      <c r="T16" s="57">
        <f t="shared" si="5"/>
        <v>464514.19653363642</v>
      </c>
      <c r="X16" s="641"/>
      <c r="AD16" s="130"/>
    </row>
    <row r="17" spans="2:30" ht="14.25" x14ac:dyDescent="0.2">
      <c r="B17" s="406">
        <f t="shared" si="0"/>
        <v>13</v>
      </c>
      <c r="C17" s="470" t="s">
        <v>73</v>
      </c>
      <c r="D17" s="470" t="s">
        <v>73</v>
      </c>
      <c r="E17" s="471" t="s">
        <v>73</v>
      </c>
      <c r="F17" s="470" t="s">
        <v>73</v>
      </c>
      <c r="G17" s="470" t="s">
        <v>73</v>
      </c>
      <c r="H17" s="470">
        <f t="shared" si="6"/>
        <v>429183.07808000006</v>
      </c>
      <c r="I17" s="471">
        <f>'Table 12 Labor Costs'!$C$41+'Table 12 Labor Costs'!$L$12</f>
        <v>464514.19653363642</v>
      </c>
      <c r="J17" s="470">
        <f>'Table 13 Power Costs'!D40</f>
        <v>229168.69823349814</v>
      </c>
      <c r="K17" s="470">
        <f>(('Table 14 Reagent Cost'!$F$8)*('Table 6 WTP Flow Balance'!F12/'Table 6 WTP Flow Balance'!$F$5))+'Table 15 Analytics Cost'!F16</f>
        <v>74888.271710287678</v>
      </c>
      <c r="L17" s="470" t="s">
        <v>73</v>
      </c>
      <c r="M17" s="470" t="s">
        <v>73</v>
      </c>
      <c r="N17" s="470">
        <f t="shared" si="7"/>
        <v>1197754.2445574226</v>
      </c>
      <c r="O17" s="470">
        <f t="shared" si="1"/>
        <v>209606.99279754894</v>
      </c>
      <c r="P17" s="472">
        <f t="shared" si="2"/>
        <v>1407361.2373549715</v>
      </c>
      <c r="R17" s="62"/>
      <c r="S17" s="57">
        <f t="shared" si="4"/>
        <v>229168.69823349814</v>
      </c>
      <c r="T17" s="57">
        <f t="shared" si="5"/>
        <v>464514.19653363642</v>
      </c>
      <c r="X17" s="641"/>
      <c r="AD17" s="130"/>
    </row>
    <row r="18" spans="2:30" ht="14.25" x14ac:dyDescent="0.2">
      <c r="B18" s="406">
        <f t="shared" si="0"/>
        <v>14</v>
      </c>
      <c r="C18" s="470" t="s">
        <v>73</v>
      </c>
      <c r="D18" s="470" t="s">
        <v>73</v>
      </c>
      <c r="E18" s="471" t="s">
        <v>73</v>
      </c>
      <c r="F18" s="470" t="s">
        <v>73</v>
      </c>
      <c r="G18" s="470" t="s">
        <v>73</v>
      </c>
      <c r="H18" s="470">
        <f t="shared" si="6"/>
        <v>429183.07808000006</v>
      </c>
      <c r="I18" s="471">
        <f>'Table 12 Labor Costs'!$C$41+'Table 12 Labor Costs'!$L$12</f>
        <v>464514.19653363642</v>
      </c>
      <c r="J18" s="470">
        <f>'Table 13 Power Costs'!D41</f>
        <v>218138.88186130946</v>
      </c>
      <c r="K18" s="470">
        <f>(('Table 14 Reagent Cost'!$F$8)*('Table 6 WTP Flow Balance'!F13/'Table 6 WTP Flow Balance'!$F$5))+'Table 15 Analytics Cost'!F17</f>
        <v>73110.247758964368</v>
      </c>
      <c r="L18" s="470" t="s">
        <v>73</v>
      </c>
      <c r="M18" s="470" t="s">
        <v>73</v>
      </c>
      <c r="N18" s="470">
        <f t="shared" si="7"/>
        <v>1184946.4042339104</v>
      </c>
      <c r="O18" s="470">
        <f t="shared" si="1"/>
        <v>207365.6207409343</v>
      </c>
      <c r="P18" s="472">
        <f t="shared" si="2"/>
        <v>1392312.0249748447</v>
      </c>
      <c r="R18" s="62"/>
      <c r="S18" s="57">
        <f t="shared" si="4"/>
        <v>218138.88186130946</v>
      </c>
      <c r="T18" s="57">
        <f t="shared" si="5"/>
        <v>464514.19653363642</v>
      </c>
      <c r="X18" s="641"/>
      <c r="AD18" s="130"/>
    </row>
    <row r="19" spans="2:30" ht="14.25" x14ac:dyDescent="0.2">
      <c r="B19" s="406">
        <f t="shared" si="0"/>
        <v>15</v>
      </c>
      <c r="C19" s="470" t="s">
        <v>73</v>
      </c>
      <c r="D19" s="470" t="s">
        <v>73</v>
      </c>
      <c r="E19" s="471" t="s">
        <v>73</v>
      </c>
      <c r="F19" s="470" t="s">
        <v>73</v>
      </c>
      <c r="G19" s="470" t="s">
        <v>73</v>
      </c>
      <c r="H19" s="470">
        <f t="shared" si="6"/>
        <v>429183.07808000006</v>
      </c>
      <c r="I19" s="471">
        <f>'Table 12 Labor Costs'!$C$41+'Table 12 Labor Costs'!$L$12</f>
        <v>464514.19653363642</v>
      </c>
      <c r="J19" s="470">
        <f>'Table 13 Power Costs'!D42</f>
        <v>209674.62460267302</v>
      </c>
      <c r="K19" s="470">
        <f>(('Table 14 Reagent Cost'!$F$8)*('Table 6 WTP Flow Balance'!F14/'Table 6 WTP Flow Balance'!$F$5))+'Table 15 Analytics Cost'!F18</f>
        <v>71424.190563743992</v>
      </c>
      <c r="L19" s="470" t="s">
        <v>73</v>
      </c>
      <c r="M19" s="470" t="s">
        <v>73</v>
      </c>
      <c r="N19" s="470">
        <f t="shared" si="7"/>
        <v>1174796.0897800536</v>
      </c>
      <c r="O19" s="470">
        <f t="shared" si="1"/>
        <v>205589.31571150938</v>
      </c>
      <c r="P19" s="472">
        <f t="shared" si="2"/>
        <v>1380385.405491563</v>
      </c>
      <c r="R19" s="62"/>
      <c r="S19" s="57">
        <f t="shared" si="4"/>
        <v>209674.62460267302</v>
      </c>
      <c r="T19" s="57">
        <f t="shared" si="5"/>
        <v>464514.19653363642</v>
      </c>
      <c r="X19" s="641"/>
      <c r="AD19" s="130"/>
    </row>
    <row r="20" spans="2:30" ht="14.25" x14ac:dyDescent="0.2">
      <c r="B20" s="406">
        <f t="shared" si="0"/>
        <v>16</v>
      </c>
      <c r="C20" s="470" t="s">
        <v>73</v>
      </c>
      <c r="D20" s="470" t="s">
        <v>73</v>
      </c>
      <c r="E20" s="471" t="s">
        <v>73</v>
      </c>
      <c r="F20" s="470" t="s">
        <v>73</v>
      </c>
      <c r="G20" s="470" t="s">
        <v>73</v>
      </c>
      <c r="H20" s="470">
        <f t="shared" si="6"/>
        <v>429183.07808000006</v>
      </c>
      <c r="I20" s="471">
        <f>'Table 12 Labor Costs'!$C$41+'Table 12 Labor Costs'!$L$12</f>
        <v>464514.19653363642</v>
      </c>
      <c r="J20" s="470">
        <f>'Table 13 Power Costs'!D43</f>
        <v>204621.06991058248</v>
      </c>
      <c r="K20" s="470">
        <f>(('Table 14 Reagent Cost'!$F$8)*('Table 6 WTP Flow Balance'!F15/'Table 6 WTP Flow Balance'!$F$5))+'Table 15 Analytics Cost'!F19</f>
        <v>69830.100124626566</v>
      </c>
      <c r="L20" s="470" t="s">
        <v>73</v>
      </c>
      <c r="M20" s="470" t="s">
        <v>73</v>
      </c>
      <c r="N20" s="470">
        <f t="shared" si="7"/>
        <v>1168148.4446488456</v>
      </c>
      <c r="O20" s="470">
        <f t="shared" si="1"/>
        <v>204425.97781354797</v>
      </c>
      <c r="P20" s="472">
        <f>SUM(L20:O20)</f>
        <v>1372574.4224623935</v>
      </c>
      <c r="R20" s="62"/>
      <c r="S20" s="57">
        <f t="shared" si="4"/>
        <v>204621.06991058248</v>
      </c>
      <c r="T20" s="57">
        <f t="shared" si="5"/>
        <v>464514.19653363642</v>
      </c>
      <c r="X20" s="641"/>
      <c r="AD20" s="130"/>
    </row>
    <row r="21" spans="2:30" ht="14.25" x14ac:dyDescent="0.2">
      <c r="B21" s="406">
        <f t="shared" si="0"/>
        <v>17</v>
      </c>
      <c r="C21" s="470" t="s">
        <v>73</v>
      </c>
      <c r="D21" s="470" t="s">
        <v>73</v>
      </c>
      <c r="E21" s="471" t="s">
        <v>73</v>
      </c>
      <c r="F21" s="470" t="s">
        <v>73</v>
      </c>
      <c r="G21" s="470" t="s">
        <v>73</v>
      </c>
      <c r="H21" s="470">
        <f t="shared" si="6"/>
        <v>429183.07808000006</v>
      </c>
      <c r="I21" s="471">
        <f>'Table 12 Labor Costs'!$C$41+'Table 12 Labor Costs'!$L$12</f>
        <v>464514.19653363642</v>
      </c>
      <c r="J21" s="470">
        <f>'Table 13 Power Costs'!D44</f>
        <v>199840.58059075798</v>
      </c>
      <c r="K21" s="470">
        <f>(('Table 14 Reagent Cost'!$F$8)*('Table 6 WTP Flow Balance'!F16/'Table 6 WTP Flow Balance'!$F$5))+'Table 15 Analytics Cost'!F20</f>
        <v>68327.976441612031</v>
      </c>
      <c r="L21" s="470" t="s">
        <v>73</v>
      </c>
      <c r="M21" s="470" t="s">
        <v>73</v>
      </c>
      <c r="N21" s="470">
        <f t="shared" si="7"/>
        <v>1161865.8316460066</v>
      </c>
      <c r="O21" s="470">
        <f t="shared" si="1"/>
        <v>203326.52053805115</v>
      </c>
      <c r="P21" s="472">
        <f t="shared" si="2"/>
        <v>1365192.3521840577</v>
      </c>
      <c r="R21" s="62"/>
      <c r="S21" s="57">
        <f t="shared" si="4"/>
        <v>199840.58059075798</v>
      </c>
      <c r="T21" s="57">
        <f t="shared" si="5"/>
        <v>464514.19653363642</v>
      </c>
      <c r="X21" s="641"/>
      <c r="AD21" s="130"/>
    </row>
    <row r="22" spans="2:30" ht="14.25" x14ac:dyDescent="0.2">
      <c r="B22" s="406">
        <f t="shared" si="0"/>
        <v>18</v>
      </c>
      <c r="C22" s="470" t="s">
        <v>73</v>
      </c>
      <c r="D22" s="470" t="s">
        <v>73</v>
      </c>
      <c r="E22" s="471" t="s">
        <v>73</v>
      </c>
      <c r="F22" s="470" t="s">
        <v>73</v>
      </c>
      <c r="G22" s="470" t="s">
        <v>73</v>
      </c>
      <c r="H22" s="470">
        <f t="shared" si="6"/>
        <v>429183.07808000006</v>
      </c>
      <c r="I22" s="471">
        <f>'Table 12 Labor Costs'!$C$41+'Table 12 Labor Costs'!$L$12</f>
        <v>464514.19653363642</v>
      </c>
      <c r="J22" s="470">
        <f>'Table 13 Power Costs'!D45</f>
        <v>195303.2194049333</v>
      </c>
      <c r="K22" s="470">
        <f>(('Table 14 Reagent Cost'!$F$8)*('Table 6 WTP Flow Balance'!F17/'Table 6 WTP Flow Balance'!$F$5))+'Table 15 Analytics Cost'!F21</f>
        <v>66887.163929332804</v>
      </c>
      <c r="L22" s="470" t="s">
        <v>73</v>
      </c>
      <c r="M22" s="470" t="s">
        <v>73</v>
      </c>
      <c r="N22" s="470">
        <f t="shared" si="7"/>
        <v>1155887.6579479026</v>
      </c>
      <c r="O22" s="470">
        <f t="shared" si="1"/>
        <v>202280.34014088294</v>
      </c>
      <c r="P22" s="472">
        <f t="shared" si="2"/>
        <v>1358167.9980887854</v>
      </c>
      <c r="R22" s="62"/>
      <c r="S22" s="57">
        <f t="shared" si="4"/>
        <v>195303.2194049333</v>
      </c>
      <c r="T22" s="57">
        <f t="shared" si="5"/>
        <v>464514.19653363642</v>
      </c>
      <c r="X22" s="641"/>
      <c r="AD22" s="130"/>
    </row>
    <row r="23" spans="2:30" ht="14.25" x14ac:dyDescent="0.2">
      <c r="B23" s="406">
        <f t="shared" si="0"/>
        <v>19</v>
      </c>
      <c r="C23" s="470" t="s">
        <v>73</v>
      </c>
      <c r="D23" s="470" t="s">
        <v>73</v>
      </c>
      <c r="E23" s="471" t="s">
        <v>73</v>
      </c>
      <c r="F23" s="470" t="s">
        <v>73</v>
      </c>
      <c r="G23" s="470" t="s">
        <v>73</v>
      </c>
      <c r="H23" s="470">
        <f t="shared" si="6"/>
        <v>429183.07808000006</v>
      </c>
      <c r="I23" s="471">
        <f>'Table 12 Labor Costs'!$C$41+'Table 12 Labor Costs'!$L$12</f>
        <v>464514.19653363642</v>
      </c>
      <c r="J23" s="470">
        <f>'Table 13 Power Costs'!D46</f>
        <v>191011.02014158733</v>
      </c>
      <c r="K23" s="470">
        <f>(('Table 14 Reagent Cost'!$F$8)*('Table 6 WTP Flow Balance'!F18/'Table 6 WTP Flow Balance'!$F$5))+'Table 15 Analytics Cost'!F22</f>
        <v>65538.318173156498</v>
      </c>
      <c r="L23" s="470" t="s">
        <v>73</v>
      </c>
      <c r="M23" s="470" t="s">
        <v>73</v>
      </c>
      <c r="N23" s="470">
        <f>H23+I23+J23+K23</f>
        <v>1150246.6129283805</v>
      </c>
      <c r="O23" s="470">
        <f>N23*0.175</f>
        <v>201293.15726246659</v>
      </c>
      <c r="P23" s="472">
        <f>SUM(L23:O23)</f>
        <v>1351539.7701908471</v>
      </c>
      <c r="R23" s="62"/>
      <c r="S23" s="57">
        <f t="shared" si="4"/>
        <v>191011.02014158733</v>
      </c>
      <c r="T23" s="57">
        <f t="shared" si="5"/>
        <v>464514.19653363642</v>
      </c>
      <c r="X23" s="641"/>
      <c r="AD23" s="130"/>
    </row>
    <row r="24" spans="2:30" ht="14.25" x14ac:dyDescent="0.2">
      <c r="B24" s="406">
        <f t="shared" si="0"/>
        <v>20</v>
      </c>
      <c r="C24" s="470" t="s">
        <v>73</v>
      </c>
      <c r="D24" s="470" t="s">
        <v>73</v>
      </c>
      <c r="E24" s="471" t="s">
        <v>73</v>
      </c>
      <c r="F24" s="470" t="s">
        <v>73</v>
      </c>
      <c r="G24" s="470" t="s">
        <v>73</v>
      </c>
      <c r="H24" s="470">
        <f t="shared" si="6"/>
        <v>429183.07808000006</v>
      </c>
      <c r="I24" s="471">
        <f>'Table 12 Labor Costs'!$C$41+'Table 12 Labor Costs'!$L$12</f>
        <v>464514.19653363642</v>
      </c>
      <c r="J24" s="470">
        <f>'Table 13 Power Costs'!D47</f>
        <v>186951.25822890145</v>
      </c>
      <c r="K24" s="470">
        <f>(('Table 14 Reagent Cost'!$F$8)*('Table 6 WTP Flow Balance'!F19/'Table 6 WTP Flow Balance'!$F$5))+'Table 15 Analytics Cost'!F23</f>
        <v>64281.439173083127</v>
      </c>
      <c r="L24" s="470" t="s">
        <v>73</v>
      </c>
      <c r="M24" s="470" t="s">
        <v>73</v>
      </c>
      <c r="N24" s="470">
        <f t="shared" si="7"/>
        <v>1144929.9720156211</v>
      </c>
      <c r="O24" s="470">
        <f t="shared" si="1"/>
        <v>200362.74510273369</v>
      </c>
      <c r="P24" s="472">
        <f t="shared" si="2"/>
        <v>1345292.7171183547</v>
      </c>
      <c r="R24" s="62"/>
      <c r="S24" s="57">
        <f t="shared" si="4"/>
        <v>186951.25822890145</v>
      </c>
      <c r="T24" s="57">
        <f t="shared" si="5"/>
        <v>464514.19653363642</v>
      </c>
      <c r="X24" s="641"/>
      <c r="AD24" s="130"/>
    </row>
    <row r="25" spans="2:30" ht="14.25" x14ac:dyDescent="0.2">
      <c r="B25" s="406">
        <f t="shared" si="0"/>
        <v>21</v>
      </c>
      <c r="C25" s="470" t="s">
        <v>73</v>
      </c>
      <c r="D25" s="470" t="s">
        <v>73</v>
      </c>
      <c r="E25" s="471" t="s">
        <v>73</v>
      </c>
      <c r="F25" s="470" t="s">
        <v>73</v>
      </c>
      <c r="G25" s="470" t="s">
        <v>73</v>
      </c>
      <c r="H25" s="470">
        <f t="shared" si="6"/>
        <v>429183.07808000006</v>
      </c>
      <c r="I25" s="471">
        <f>'Table 12 Labor Costs'!$C$41+'Table 12 Labor Costs'!$L$12</f>
        <v>464514.19653363642</v>
      </c>
      <c r="J25" s="470">
        <f>'Table 13 Power Costs'!D48</f>
        <v>185764.41337779435</v>
      </c>
      <c r="K25" s="470">
        <f>(('Table 14 Reagent Cost'!$F$8)*('Table 6 WTP Flow Balance'!F20/'Table 6 WTP Flow Balance'!$F$5))+'Table 15 Analytics Cost'!F24</f>
        <v>63882.91656330377</v>
      </c>
      <c r="L25" s="470" t="s">
        <v>73</v>
      </c>
      <c r="M25" s="470" t="s">
        <v>73</v>
      </c>
      <c r="N25" s="470">
        <f t="shared" si="7"/>
        <v>1143344.6045547347</v>
      </c>
      <c r="O25" s="470">
        <f t="shared" si="1"/>
        <v>200085.30579707856</v>
      </c>
      <c r="P25" s="472">
        <f t="shared" si="2"/>
        <v>1343429.9103518133</v>
      </c>
      <c r="R25" s="62"/>
      <c r="S25" s="57">
        <f t="shared" si="4"/>
        <v>185764.41337779435</v>
      </c>
      <c r="T25" s="57">
        <f t="shared" si="5"/>
        <v>464514.19653363642</v>
      </c>
      <c r="X25" s="641"/>
      <c r="AD25" s="130"/>
    </row>
    <row r="26" spans="2:30" ht="14.25" x14ac:dyDescent="0.2">
      <c r="B26" s="406">
        <f t="shared" si="0"/>
        <v>22</v>
      </c>
      <c r="C26" s="470" t="s">
        <v>73</v>
      </c>
      <c r="D26" s="470" t="s">
        <v>73</v>
      </c>
      <c r="E26" s="471" t="s">
        <v>73</v>
      </c>
      <c r="F26" s="470" t="s">
        <v>73</v>
      </c>
      <c r="G26" s="470" t="s">
        <v>73</v>
      </c>
      <c r="H26" s="470">
        <f>'Table 11 Equip Replace'!J45+'Table 11 Equip Replace'!J65+'Table 11 Equip Replace'!J80+'Table 11 Equip Replace'!J87</f>
        <v>414298.27808000008</v>
      </c>
      <c r="I26" s="471">
        <f>'Table 12 Labor Costs'!$C$41+'Table 12 Labor Costs'!$L$12</f>
        <v>464514.19653363642</v>
      </c>
      <c r="J26" s="470">
        <f>'Table 13 Power Costs'!D49</f>
        <v>185593.85434770258</v>
      </c>
      <c r="K26" s="470">
        <f>(('Table 14 Reagent Cost'!$F$8)*('Table 6 WTP Flow Balance'!F21/'Table 6 WTP Flow Balance'!$F$5))+'Table 15 Analytics Cost'!F25</f>
        <v>63852.26097793613</v>
      </c>
      <c r="L26" s="470" t="s">
        <v>73</v>
      </c>
      <c r="M26" s="470" t="s">
        <v>73</v>
      </c>
      <c r="N26" s="470">
        <f t="shared" si="7"/>
        <v>1128258.5899392753</v>
      </c>
      <c r="O26" s="470">
        <f t="shared" si="1"/>
        <v>197445.25323937315</v>
      </c>
      <c r="P26" s="472">
        <f t="shared" si="2"/>
        <v>1325703.8431786485</v>
      </c>
      <c r="R26" s="62"/>
      <c r="S26" s="57">
        <f t="shared" si="4"/>
        <v>185593.85434770258</v>
      </c>
      <c r="T26" s="57">
        <f t="shared" si="5"/>
        <v>464514.19653363642</v>
      </c>
      <c r="X26" s="641"/>
      <c r="AD26" s="130"/>
    </row>
    <row r="27" spans="2:30" ht="14.25" x14ac:dyDescent="0.2">
      <c r="B27" s="406">
        <f t="shared" si="0"/>
        <v>23</v>
      </c>
      <c r="C27" s="470" t="s">
        <v>73</v>
      </c>
      <c r="D27" s="470" t="s">
        <v>73</v>
      </c>
      <c r="E27" s="471" t="s">
        <v>73</v>
      </c>
      <c r="F27" s="470" t="s">
        <v>73</v>
      </c>
      <c r="G27" s="470" t="s">
        <v>73</v>
      </c>
      <c r="H27" s="470">
        <f t="shared" ref="H27:H58" si="8">H26</f>
        <v>414298.27808000008</v>
      </c>
      <c r="I27" s="471">
        <f>'Table 12 Labor Costs'!$C$41+'Table 12 Labor Costs'!$L$12</f>
        <v>464514.19653363642</v>
      </c>
      <c r="J27" s="470">
        <f>'Table 13 Power Costs'!D50</f>
        <v>185414.40586142565</v>
      </c>
      <c r="K27" s="470">
        <f>(('Table 14 Reagent Cost'!$F$8)*('Table 6 WTP Flow Balance'!F22/'Table 6 WTP Flow Balance'!$F$5))+'Table 15 Analytics Cost'!F26</f>
        <v>63790.949807200843</v>
      </c>
      <c r="L27" s="470" t="s">
        <v>73</v>
      </c>
      <c r="M27" s="470" t="s">
        <v>73</v>
      </c>
      <c r="N27" s="470">
        <f t="shared" si="7"/>
        <v>1128017.830282263</v>
      </c>
      <c r="O27" s="470">
        <f t="shared" si="1"/>
        <v>197403.12029939602</v>
      </c>
      <c r="P27" s="472">
        <f t="shared" si="2"/>
        <v>1325420.9505816591</v>
      </c>
      <c r="R27" s="62"/>
      <c r="S27" s="57">
        <f t="shared" si="4"/>
        <v>185414.40586142565</v>
      </c>
      <c r="T27" s="57">
        <f t="shared" si="5"/>
        <v>464514.19653363642</v>
      </c>
      <c r="X27" s="641"/>
      <c r="AD27" s="130"/>
    </row>
    <row r="28" spans="2:30" ht="14.25" x14ac:dyDescent="0.2">
      <c r="B28" s="406">
        <f t="shared" si="0"/>
        <v>24</v>
      </c>
      <c r="C28" s="470" t="s">
        <v>73</v>
      </c>
      <c r="D28" s="470" t="s">
        <v>73</v>
      </c>
      <c r="E28" s="471" t="s">
        <v>73</v>
      </c>
      <c r="F28" s="470" t="s">
        <v>73</v>
      </c>
      <c r="G28" s="470" t="s">
        <v>73</v>
      </c>
      <c r="H28" s="470">
        <f t="shared" si="8"/>
        <v>414298.27808000008</v>
      </c>
      <c r="I28" s="471">
        <f>'Table 12 Labor Costs'!$C$41+'Table 12 Labor Costs'!$L$12</f>
        <v>464514.19653363642</v>
      </c>
      <c r="J28" s="470">
        <f>'Table 13 Power Costs'!D51</f>
        <v>185240.17736761659</v>
      </c>
      <c r="K28" s="470">
        <f>(('Table 14 Reagent Cost'!$F$8)*('Table 6 WTP Flow Balance'!F23/'Table 6 WTP Flow Balance'!$F$5))+'Table 15 Analytics Cost'!F27</f>
        <v>63729.638636465563</v>
      </c>
      <c r="L28" s="470" t="s">
        <v>73</v>
      </c>
      <c r="M28" s="470" t="s">
        <v>73</v>
      </c>
      <c r="N28" s="470">
        <f t="shared" si="7"/>
        <v>1127782.2906177188</v>
      </c>
      <c r="O28" s="470">
        <f t="shared" si="1"/>
        <v>197361.90085810079</v>
      </c>
      <c r="P28" s="472">
        <f t="shared" si="2"/>
        <v>1325144.1914758196</v>
      </c>
      <c r="R28" s="62"/>
      <c r="S28" s="57">
        <f t="shared" si="4"/>
        <v>185240.17736761659</v>
      </c>
      <c r="T28" s="57">
        <f t="shared" si="5"/>
        <v>464514.19653363642</v>
      </c>
      <c r="X28" s="641"/>
      <c r="AD28" s="130"/>
    </row>
    <row r="29" spans="2:30" ht="14.25" x14ac:dyDescent="0.2">
      <c r="B29" s="406">
        <f t="shared" si="0"/>
        <v>25</v>
      </c>
      <c r="C29" s="470" t="s">
        <v>73</v>
      </c>
      <c r="D29" s="470" t="s">
        <v>73</v>
      </c>
      <c r="E29" s="471" t="s">
        <v>73</v>
      </c>
      <c r="F29" s="470" t="s">
        <v>73</v>
      </c>
      <c r="G29" s="470" t="s">
        <v>73</v>
      </c>
      <c r="H29" s="470">
        <f t="shared" si="8"/>
        <v>414298.27808000008</v>
      </c>
      <c r="I29" s="471">
        <f>'Table 12 Labor Costs'!$C$41+'Table 12 Labor Costs'!$L$12</f>
        <v>464514.19653363642</v>
      </c>
      <c r="J29" s="470">
        <f>'Table 13 Power Costs'!D52</f>
        <v>185069.99344770834</v>
      </c>
      <c r="K29" s="470">
        <f>(('Table 14 Reagent Cost'!$F$8)*('Table 6 WTP Flow Balance'!F24/'Table 6 WTP Flow Balance'!$F$5))+'Table 15 Analytics Cost'!F28</f>
        <v>63668.327465730268</v>
      </c>
      <c r="L29" s="470" t="s">
        <v>73</v>
      </c>
      <c r="M29" s="470" t="s">
        <v>73</v>
      </c>
      <c r="N29" s="470">
        <f t="shared" si="7"/>
        <v>1127550.7955270752</v>
      </c>
      <c r="O29" s="470">
        <f t="shared" si="1"/>
        <v>197321.38921723815</v>
      </c>
      <c r="P29" s="472">
        <f t="shared" si="2"/>
        <v>1324872.1847443134</v>
      </c>
      <c r="R29" s="62"/>
      <c r="S29" s="57">
        <f t="shared" si="4"/>
        <v>185069.99344770834</v>
      </c>
      <c r="T29" s="57">
        <f t="shared" si="5"/>
        <v>464514.19653363642</v>
      </c>
      <c r="X29" s="641"/>
      <c r="AD29" s="130"/>
    </row>
    <row r="30" spans="2:30" ht="14.25" x14ac:dyDescent="0.2">
      <c r="B30" s="406">
        <f t="shared" si="0"/>
        <v>26</v>
      </c>
      <c r="C30" s="470" t="s">
        <v>73</v>
      </c>
      <c r="D30" s="470" t="s">
        <v>73</v>
      </c>
      <c r="E30" s="471" t="s">
        <v>73</v>
      </c>
      <c r="F30" s="470" t="s">
        <v>73</v>
      </c>
      <c r="G30" s="470" t="s">
        <v>73</v>
      </c>
      <c r="H30" s="470">
        <f t="shared" si="8"/>
        <v>414298.27808000008</v>
      </c>
      <c r="I30" s="471">
        <f>'Table 12 Labor Costs'!$C$41+'Table 12 Labor Costs'!$L$12</f>
        <v>464514.19653363642</v>
      </c>
      <c r="J30" s="470">
        <f>'Table 13 Power Costs'!D53</f>
        <v>184919.00407585857</v>
      </c>
      <c r="K30" s="470">
        <f>(('Table 14 Reagent Cost'!$F$8)*('Table 6 WTP Flow Balance'!F25/'Table 6 WTP Flow Balance'!$F$5))+'Table 15 Analytics Cost'!F29</f>
        <v>63637.671880362628</v>
      </c>
      <c r="L30" s="470" t="s">
        <v>73</v>
      </c>
      <c r="M30" s="470" t="s">
        <v>73</v>
      </c>
      <c r="N30" s="470">
        <f t="shared" si="7"/>
        <v>1127369.1505698576</v>
      </c>
      <c r="O30" s="470">
        <f t="shared" si="1"/>
        <v>197289.60134972507</v>
      </c>
      <c r="P30" s="472">
        <f t="shared" si="2"/>
        <v>1324658.7519195827</v>
      </c>
      <c r="R30" s="62"/>
      <c r="S30" s="57">
        <f t="shared" si="4"/>
        <v>184919.00407585857</v>
      </c>
      <c r="T30" s="57">
        <f t="shared" si="5"/>
        <v>464514.19653363642</v>
      </c>
      <c r="X30" s="641"/>
      <c r="AD30" s="130"/>
    </row>
    <row r="31" spans="2:30" ht="14.25" x14ac:dyDescent="0.2">
      <c r="B31" s="406">
        <f t="shared" si="0"/>
        <v>27</v>
      </c>
      <c r="C31" s="470" t="s">
        <v>73</v>
      </c>
      <c r="D31" s="470" t="s">
        <v>73</v>
      </c>
      <c r="E31" s="471" t="s">
        <v>73</v>
      </c>
      <c r="F31" s="470" t="s">
        <v>73</v>
      </c>
      <c r="G31" s="470" t="s">
        <v>73</v>
      </c>
      <c r="H31" s="470">
        <f t="shared" si="8"/>
        <v>414298.27808000008</v>
      </c>
      <c r="I31" s="471">
        <f>'Table 12 Labor Costs'!$C$41+'Table 12 Labor Costs'!$L$12</f>
        <v>464514.19653363642</v>
      </c>
      <c r="J31" s="470">
        <f>'Table 13 Power Costs'!D54</f>
        <v>184754.23888237638</v>
      </c>
      <c r="K31" s="470">
        <f>(('Table 14 Reagent Cost'!$F$8)*('Table 6 WTP Flow Balance'!F26/'Table 6 WTP Flow Balance'!$F$5))+'Table 15 Analytics Cost'!F30</f>
        <v>63576.360709627341</v>
      </c>
      <c r="L31" s="470" t="s">
        <v>73</v>
      </c>
      <c r="M31" s="470" t="s">
        <v>73</v>
      </c>
      <c r="N31" s="470">
        <f t="shared" si="7"/>
        <v>1127143.0742056402</v>
      </c>
      <c r="O31" s="470">
        <f t="shared" si="1"/>
        <v>197250.03798598703</v>
      </c>
      <c r="P31" s="472">
        <f t="shared" si="2"/>
        <v>1324393.1121916273</v>
      </c>
      <c r="R31" s="62"/>
      <c r="S31" s="57">
        <f t="shared" si="4"/>
        <v>184754.23888237638</v>
      </c>
      <c r="T31" s="57">
        <f t="shared" si="5"/>
        <v>464514.19653363642</v>
      </c>
      <c r="X31" s="641"/>
      <c r="AD31" s="130"/>
    </row>
    <row r="32" spans="2:30" ht="14.25" x14ac:dyDescent="0.2">
      <c r="B32" s="406">
        <f t="shared" si="0"/>
        <v>28</v>
      </c>
      <c r="C32" s="470" t="s">
        <v>73</v>
      </c>
      <c r="D32" s="470" t="s">
        <v>73</v>
      </c>
      <c r="E32" s="471" t="s">
        <v>73</v>
      </c>
      <c r="F32" s="470" t="s">
        <v>73</v>
      </c>
      <c r="G32" s="470" t="s">
        <v>73</v>
      </c>
      <c r="H32" s="470">
        <f t="shared" si="8"/>
        <v>414298.27808000008</v>
      </c>
      <c r="I32" s="471">
        <f>'Table 12 Labor Costs'!$C$41+'Table 12 Labor Costs'!$L$12</f>
        <v>464514.19653363642</v>
      </c>
      <c r="J32" s="470">
        <f>'Table 13 Power Costs'!D55</f>
        <v>184591.06331031918</v>
      </c>
      <c r="K32" s="470">
        <f>(('Table 14 Reagent Cost'!$F$8)*('Table 6 WTP Flow Balance'!F27/'Table 6 WTP Flow Balance'!$F$5))+'Table 15 Analytics Cost'!F31</f>
        <v>63515.049538892061</v>
      </c>
      <c r="L32" s="470" t="s">
        <v>73</v>
      </c>
      <c r="M32" s="470" t="s">
        <v>73</v>
      </c>
      <c r="N32" s="470">
        <f t="shared" si="7"/>
        <v>1126918.5874628476</v>
      </c>
      <c r="O32" s="470">
        <f t="shared" si="1"/>
        <v>197210.75280599832</v>
      </c>
      <c r="P32" s="472">
        <f t="shared" si="2"/>
        <v>1324129.3402688459</v>
      </c>
      <c r="R32" s="62"/>
      <c r="S32" s="57">
        <f t="shared" si="4"/>
        <v>184591.06331031918</v>
      </c>
      <c r="T32" s="57">
        <f t="shared" si="5"/>
        <v>464514.19653363642</v>
      </c>
      <c r="X32" s="641"/>
      <c r="AD32" s="130"/>
    </row>
    <row r="33" spans="2:30" ht="14.25" x14ac:dyDescent="0.2">
      <c r="B33" s="406">
        <f t="shared" si="0"/>
        <v>29</v>
      </c>
      <c r="C33" s="470" t="s">
        <v>73</v>
      </c>
      <c r="D33" s="470" t="s">
        <v>73</v>
      </c>
      <c r="E33" s="471" t="s">
        <v>73</v>
      </c>
      <c r="F33" s="470" t="s">
        <v>73</v>
      </c>
      <c r="G33" s="470" t="s">
        <v>73</v>
      </c>
      <c r="H33" s="470">
        <f t="shared" si="8"/>
        <v>414298.27808000008</v>
      </c>
      <c r="I33" s="471">
        <f>'Table 12 Labor Costs'!$C$41+'Table 12 Labor Costs'!$L$12</f>
        <v>464514.19653363642</v>
      </c>
      <c r="J33" s="470">
        <f>'Table 13 Power Costs'!D56</f>
        <v>184445.46510234784</v>
      </c>
      <c r="K33" s="470">
        <f>(('Table 14 Reagent Cost'!$F$8)*('Table 6 WTP Flow Balance'!F28/'Table 6 WTP Flow Balance'!$F$5))+'Table 15 Analytics Cost'!F32</f>
        <v>63484.393953524414</v>
      </c>
      <c r="L33" s="470" t="s">
        <v>73</v>
      </c>
      <c r="M33" s="470" t="s">
        <v>73</v>
      </c>
      <c r="N33" s="470">
        <f t="shared" si="7"/>
        <v>1126742.3336695088</v>
      </c>
      <c r="O33" s="470">
        <f t="shared" si="1"/>
        <v>197179.90839216404</v>
      </c>
      <c r="P33" s="472">
        <f t="shared" si="2"/>
        <v>1323922.2420616727</v>
      </c>
      <c r="R33" s="62"/>
      <c r="S33" s="57">
        <f t="shared" si="4"/>
        <v>184445.46510234784</v>
      </c>
      <c r="T33" s="57">
        <f t="shared" si="5"/>
        <v>464514.19653363642</v>
      </c>
      <c r="X33" s="641"/>
      <c r="AD33" s="130"/>
    </row>
    <row r="34" spans="2:30" ht="14.25" x14ac:dyDescent="0.2">
      <c r="B34" s="406">
        <f t="shared" si="0"/>
        <v>30</v>
      </c>
      <c r="C34" s="470" t="s">
        <v>73</v>
      </c>
      <c r="D34" s="470" t="s">
        <v>73</v>
      </c>
      <c r="E34" s="471" t="s">
        <v>73</v>
      </c>
      <c r="F34" s="470" t="s">
        <v>73</v>
      </c>
      <c r="G34" s="470" t="s">
        <v>73</v>
      </c>
      <c r="H34" s="470">
        <f t="shared" si="8"/>
        <v>414298.27808000008</v>
      </c>
      <c r="I34" s="471">
        <f>'Table 12 Labor Costs'!$C$41+'Table 12 Labor Costs'!$L$12</f>
        <v>464514.19653363642</v>
      </c>
      <c r="J34" s="470">
        <f>'Table 13 Power Costs'!D57</f>
        <v>184285.62126877325</v>
      </c>
      <c r="K34" s="470">
        <f>(('Table 14 Reagent Cost'!$F$8)*('Table 6 WTP Flow Balance'!F29/'Table 6 WTP Flow Balance'!$F$5))+'Table 15 Analytics Cost'!F33</f>
        <v>63423.082782789126</v>
      </c>
      <c r="L34" s="470" t="s">
        <v>73</v>
      </c>
      <c r="M34" s="470" t="s">
        <v>73</v>
      </c>
      <c r="N34" s="470">
        <f t="shared" si="7"/>
        <v>1126521.1786651989</v>
      </c>
      <c r="O34" s="470">
        <f t="shared" si="1"/>
        <v>197141.20626640978</v>
      </c>
      <c r="P34" s="472">
        <f t="shared" si="2"/>
        <v>1323662.3849316086</v>
      </c>
      <c r="R34" s="62"/>
      <c r="S34" s="57">
        <f t="shared" si="4"/>
        <v>184285.62126877325</v>
      </c>
      <c r="T34" s="57">
        <f t="shared" si="5"/>
        <v>464514.19653363642</v>
      </c>
      <c r="X34" s="641"/>
      <c r="AD34" s="130"/>
    </row>
    <row r="35" spans="2:30" ht="14.25" x14ac:dyDescent="0.2">
      <c r="B35" s="406">
        <f t="shared" si="0"/>
        <v>31</v>
      </c>
      <c r="C35" s="470" t="s">
        <v>73</v>
      </c>
      <c r="D35" s="470" t="s">
        <v>73</v>
      </c>
      <c r="E35" s="471" t="s">
        <v>73</v>
      </c>
      <c r="F35" s="470" t="s">
        <v>73</v>
      </c>
      <c r="G35" s="470" t="s">
        <v>73</v>
      </c>
      <c r="H35" s="470">
        <f t="shared" si="8"/>
        <v>414298.27808000008</v>
      </c>
      <c r="I35" s="471">
        <f>'Table 12 Labor Costs'!$C$41+'Table 12 Labor Costs'!$L$12</f>
        <v>464514.19653363642</v>
      </c>
      <c r="J35" s="470">
        <f>'Table 13 Power Costs'!D58</f>
        <v>184143.61552985877</v>
      </c>
      <c r="K35" s="470">
        <f>(('Table 14 Reagent Cost'!$F$8)*('Table 6 WTP Flow Balance'!F30/'Table 6 WTP Flow Balance'!$F$5))+'Table 15 Analytics Cost'!F34</f>
        <v>63392.427197421479</v>
      </c>
      <c r="L35" s="470" t="s">
        <v>73</v>
      </c>
      <c r="M35" s="470" t="s">
        <v>73</v>
      </c>
      <c r="N35" s="470">
        <f t="shared" si="7"/>
        <v>1126348.5173409167</v>
      </c>
      <c r="O35" s="470">
        <f t="shared" si="1"/>
        <v>197110.99053466041</v>
      </c>
      <c r="P35" s="472">
        <f t="shared" si="2"/>
        <v>1323459.5078755771</v>
      </c>
      <c r="R35" s="62"/>
      <c r="S35" s="57">
        <f t="shared" si="4"/>
        <v>184143.61552985877</v>
      </c>
      <c r="T35" s="57">
        <f t="shared" si="5"/>
        <v>464514.19653363642</v>
      </c>
      <c r="X35" s="641"/>
      <c r="AD35" s="130"/>
    </row>
    <row r="36" spans="2:30" ht="14.25" x14ac:dyDescent="0.2">
      <c r="B36" s="406">
        <f t="shared" si="0"/>
        <v>32</v>
      </c>
      <c r="C36" s="470" t="s">
        <v>73</v>
      </c>
      <c r="D36" s="470" t="s">
        <v>73</v>
      </c>
      <c r="E36" s="471" t="s">
        <v>73</v>
      </c>
      <c r="F36" s="470" t="s">
        <v>73</v>
      </c>
      <c r="G36" s="470" t="s">
        <v>73</v>
      </c>
      <c r="H36" s="470">
        <f t="shared" si="8"/>
        <v>414298.27808000008</v>
      </c>
      <c r="I36" s="471">
        <f>'Table 12 Labor Costs'!$C$41+'Table 12 Labor Costs'!$L$12</f>
        <v>464514.19653363642</v>
      </c>
      <c r="J36" s="470">
        <f>'Table 13 Power Costs'!D59</f>
        <v>183987.65055770052</v>
      </c>
      <c r="K36" s="470">
        <f>(('Table 14 Reagent Cost'!$F$8)*('Table 6 WTP Flow Balance'!F31/'Table 6 WTP Flow Balance'!$F$5))+'Table 15 Analytics Cost'!F35</f>
        <v>63331.116026686199</v>
      </c>
      <c r="L36" s="470" t="s">
        <v>73</v>
      </c>
      <c r="M36" s="470" t="s">
        <v>73</v>
      </c>
      <c r="N36" s="470">
        <f t="shared" si="7"/>
        <v>1126131.2411980233</v>
      </c>
      <c r="O36" s="470">
        <f t="shared" si="1"/>
        <v>197072.96720965407</v>
      </c>
      <c r="P36" s="472">
        <f t="shared" si="2"/>
        <v>1323204.2084076775</v>
      </c>
      <c r="R36" s="62"/>
      <c r="S36" s="57">
        <f t="shared" si="4"/>
        <v>183987.65055770052</v>
      </c>
      <c r="T36" s="57">
        <f t="shared" si="5"/>
        <v>464514.19653363642</v>
      </c>
      <c r="X36" s="641"/>
      <c r="AD36" s="130"/>
    </row>
    <row r="37" spans="2:30" ht="14.25" x14ac:dyDescent="0.2">
      <c r="B37" s="406">
        <f t="shared" si="0"/>
        <v>33</v>
      </c>
      <c r="C37" s="470" t="s">
        <v>73</v>
      </c>
      <c r="D37" s="470" t="s">
        <v>73</v>
      </c>
      <c r="E37" s="471" t="s">
        <v>73</v>
      </c>
      <c r="F37" s="470" t="s">
        <v>73</v>
      </c>
      <c r="G37" s="470" t="s">
        <v>73</v>
      </c>
      <c r="H37" s="470">
        <f t="shared" si="8"/>
        <v>414298.27808000008</v>
      </c>
      <c r="I37" s="471">
        <f>'Table 12 Labor Costs'!$C$41+'Table 12 Labor Costs'!$L$12</f>
        <v>464514.19653363642</v>
      </c>
      <c r="J37" s="470">
        <f>'Table 13 Power Costs'!D60</f>
        <v>183850.47503042038</v>
      </c>
      <c r="K37" s="470">
        <f>(('Table 14 Reagent Cost'!$F$8)*('Table 6 WTP Flow Balance'!F32/'Table 6 WTP Flow Balance'!$F$5))+'Table 15 Analytics Cost'!F36</f>
        <v>63300.460441318559</v>
      </c>
      <c r="L37" s="470" t="s">
        <v>73</v>
      </c>
      <c r="M37" s="470" t="s">
        <v>73</v>
      </c>
      <c r="N37" s="470">
        <f t="shared" si="7"/>
        <v>1125963.4100853754</v>
      </c>
      <c r="O37" s="470">
        <f t="shared" si="1"/>
        <v>197043.59676494068</v>
      </c>
      <c r="P37" s="472">
        <f t="shared" si="2"/>
        <v>1323007.0068503162</v>
      </c>
      <c r="R37" s="62"/>
      <c r="S37" s="57">
        <f t="shared" si="4"/>
        <v>183850.47503042038</v>
      </c>
      <c r="T37" s="57">
        <f t="shared" si="5"/>
        <v>464514.19653363642</v>
      </c>
      <c r="X37" s="641"/>
      <c r="AD37" s="130"/>
    </row>
    <row r="38" spans="2:30" ht="14.25" x14ac:dyDescent="0.2">
      <c r="B38" s="406">
        <f t="shared" si="0"/>
        <v>34</v>
      </c>
      <c r="C38" s="470" t="s">
        <v>73</v>
      </c>
      <c r="D38" s="470" t="s">
        <v>73</v>
      </c>
      <c r="E38" s="471" t="s">
        <v>73</v>
      </c>
      <c r="F38" s="470" t="s">
        <v>73</v>
      </c>
      <c r="G38" s="470" t="s">
        <v>73</v>
      </c>
      <c r="H38" s="470">
        <f t="shared" si="8"/>
        <v>414298.27808000008</v>
      </c>
      <c r="I38" s="471">
        <f>'Table 12 Labor Costs'!$C$41+'Table 12 Labor Costs'!$L$12</f>
        <v>464514.19653363642</v>
      </c>
      <c r="J38" s="470">
        <f>'Table 13 Power Costs'!D61</f>
        <v>183700.86369532856</v>
      </c>
      <c r="K38" s="470">
        <f>(('Table 14 Reagent Cost'!$F$8)*('Table 6 WTP Flow Balance'!F33/'Table 6 WTP Flow Balance'!$F$5))+'Table 15 Analytics Cost'!F37</f>
        <v>63239.149270583272</v>
      </c>
      <c r="L38" s="470" t="s">
        <v>73</v>
      </c>
      <c r="M38" s="470" t="s">
        <v>73</v>
      </c>
      <c r="N38" s="470">
        <f t="shared" si="7"/>
        <v>1125752.4875795483</v>
      </c>
      <c r="O38" s="470">
        <f t="shared" si="1"/>
        <v>197006.68532642093</v>
      </c>
      <c r="P38" s="472">
        <f t="shared" si="2"/>
        <v>1322759.1729059692</v>
      </c>
      <c r="R38" s="62"/>
      <c r="S38" s="57">
        <f t="shared" si="4"/>
        <v>183700.86369532856</v>
      </c>
      <c r="T38" s="57">
        <f t="shared" si="5"/>
        <v>464514.19653363642</v>
      </c>
      <c r="X38" s="641"/>
      <c r="AD38" s="130"/>
    </row>
    <row r="39" spans="2:30" ht="14.25" x14ac:dyDescent="0.2">
      <c r="B39" s="406">
        <f t="shared" si="0"/>
        <v>35</v>
      </c>
      <c r="C39" s="470" t="s">
        <v>73</v>
      </c>
      <c r="D39" s="470" t="s">
        <v>73</v>
      </c>
      <c r="E39" s="471" t="s">
        <v>73</v>
      </c>
      <c r="F39" s="470" t="s">
        <v>73</v>
      </c>
      <c r="G39" s="470" t="s">
        <v>73</v>
      </c>
      <c r="H39" s="470">
        <f t="shared" si="8"/>
        <v>414298.27808000008</v>
      </c>
      <c r="I39" s="471">
        <f>'Table 12 Labor Costs'!$C$41+'Table 12 Labor Costs'!$L$12</f>
        <v>464514.19653363642</v>
      </c>
      <c r="J39" s="470">
        <f>'Table 13 Power Costs'!D62</f>
        <v>183571.22250453895</v>
      </c>
      <c r="K39" s="470">
        <f>(('Table 14 Reagent Cost'!$F$8)*('Table 6 WTP Flow Balance'!F34/'Table 6 WTP Flow Balance'!$F$5))+'Table 15 Analytics Cost'!F38</f>
        <v>63208.493685215632</v>
      </c>
      <c r="L39" s="470" t="s">
        <v>73</v>
      </c>
      <c r="M39" s="470" t="s">
        <v>73</v>
      </c>
      <c r="N39" s="470">
        <f t="shared" si="7"/>
        <v>1125592.1908033912</v>
      </c>
      <c r="O39" s="470">
        <f t="shared" si="1"/>
        <v>196978.63339059343</v>
      </c>
      <c r="P39" s="472">
        <f t="shared" si="2"/>
        <v>1322570.8241939845</v>
      </c>
      <c r="R39" s="62"/>
      <c r="S39" s="57">
        <f t="shared" si="4"/>
        <v>183571.22250453895</v>
      </c>
      <c r="T39" s="57">
        <f t="shared" si="5"/>
        <v>464514.19653363642</v>
      </c>
      <c r="X39" s="641"/>
      <c r="AD39" s="130"/>
    </row>
    <row r="40" spans="2:30" ht="14.25" x14ac:dyDescent="0.2">
      <c r="B40" s="406">
        <f t="shared" si="0"/>
        <v>36</v>
      </c>
      <c r="C40" s="470" t="s">
        <v>73</v>
      </c>
      <c r="D40" s="470" t="s">
        <v>73</v>
      </c>
      <c r="E40" s="471" t="s">
        <v>73</v>
      </c>
      <c r="F40" s="470" t="s">
        <v>73</v>
      </c>
      <c r="G40" s="470" t="s">
        <v>73</v>
      </c>
      <c r="H40" s="470">
        <f t="shared" si="8"/>
        <v>414298.27808000008</v>
      </c>
      <c r="I40" s="471">
        <f>'Table 12 Labor Costs'!$C$41+'Table 12 Labor Costs'!$L$12</f>
        <v>464514.19653363642</v>
      </c>
      <c r="J40" s="470">
        <f>'Table 13 Power Costs'!D63</f>
        <v>183427.25786492703</v>
      </c>
      <c r="K40" s="470">
        <f>(('Table 14 Reagent Cost'!$F$8)*('Table 6 WTP Flow Balance'!F35/'Table 6 WTP Flow Balance'!$F$5))+'Table 15 Analytics Cost'!F39</f>
        <v>63147.182514480337</v>
      </c>
      <c r="L40" s="470" t="s">
        <v>73</v>
      </c>
      <c r="M40" s="470" t="s">
        <v>73</v>
      </c>
      <c r="N40" s="470">
        <f t="shared" si="7"/>
        <v>1125386.9149930438</v>
      </c>
      <c r="O40" s="470">
        <f t="shared" si="1"/>
        <v>196942.71012378266</v>
      </c>
      <c r="P40" s="472">
        <f t="shared" si="2"/>
        <v>1322329.6251168265</v>
      </c>
      <c r="R40" s="62"/>
      <c r="S40" s="57">
        <f t="shared" si="4"/>
        <v>183427.25786492703</v>
      </c>
      <c r="T40" s="57">
        <f t="shared" si="5"/>
        <v>464514.19653363642</v>
      </c>
      <c r="X40" s="641"/>
      <c r="AD40" s="130"/>
    </row>
    <row r="41" spans="2:30" ht="14.25" x14ac:dyDescent="0.2">
      <c r="B41" s="406">
        <f t="shared" si="0"/>
        <v>37</v>
      </c>
      <c r="C41" s="470" t="s">
        <v>73</v>
      </c>
      <c r="D41" s="470" t="s">
        <v>73</v>
      </c>
      <c r="E41" s="471" t="s">
        <v>73</v>
      </c>
      <c r="F41" s="470" t="s">
        <v>73</v>
      </c>
      <c r="G41" s="470" t="s">
        <v>73</v>
      </c>
      <c r="H41" s="470">
        <f t="shared" si="8"/>
        <v>414298.27808000008</v>
      </c>
      <c r="I41" s="471">
        <f>'Table 12 Labor Costs'!$C$41+'Table 12 Labor Costs'!$L$12</f>
        <v>464514.19653363642</v>
      </c>
      <c r="J41" s="470">
        <f>'Table 13 Power Costs'!D64</f>
        <v>183299.28163998053</v>
      </c>
      <c r="K41" s="470">
        <f>(('Table 14 Reagent Cost'!$F$8)*('Table 6 WTP Flow Balance'!F36/'Table 6 WTP Flow Balance'!$F$5))+'Table 15 Analytics Cost'!F40</f>
        <v>63116.526929112697</v>
      </c>
      <c r="L41" s="470" t="s">
        <v>73</v>
      </c>
      <c r="M41" s="470" t="s">
        <v>73</v>
      </c>
      <c r="N41" s="470">
        <f t="shared" si="7"/>
        <v>1125228.2831827297</v>
      </c>
      <c r="O41" s="470">
        <f t="shared" si="1"/>
        <v>196914.94955697769</v>
      </c>
      <c r="P41" s="472">
        <f t="shared" si="2"/>
        <v>1322143.2327397075</v>
      </c>
      <c r="R41" s="62"/>
      <c r="S41" s="57">
        <f t="shared" si="4"/>
        <v>183299.28163998053</v>
      </c>
      <c r="T41" s="57">
        <f t="shared" si="5"/>
        <v>464514.19653363642</v>
      </c>
      <c r="X41" s="641"/>
      <c r="AD41" s="130"/>
    </row>
    <row r="42" spans="2:30" ht="14.25" x14ac:dyDescent="0.2">
      <c r="B42" s="406">
        <f t="shared" si="0"/>
        <v>38</v>
      </c>
      <c r="C42" s="470" t="s">
        <v>73</v>
      </c>
      <c r="D42" s="470" t="s">
        <v>73</v>
      </c>
      <c r="E42" s="471" t="s">
        <v>73</v>
      </c>
      <c r="F42" s="470" t="s">
        <v>73</v>
      </c>
      <c r="G42" s="470" t="s">
        <v>73</v>
      </c>
      <c r="H42" s="470">
        <f t="shared" si="8"/>
        <v>414298.27808000008</v>
      </c>
      <c r="I42" s="471">
        <f>'Table 12 Labor Costs'!$C$41+'Table 12 Labor Costs'!$L$12</f>
        <v>464514.19653363642</v>
      </c>
      <c r="J42" s="470">
        <f>'Table 13 Power Costs'!D65</f>
        <v>183171.74288773045</v>
      </c>
      <c r="K42" s="470">
        <f>(('Table 14 Reagent Cost'!$F$8)*('Table 6 WTP Flow Balance'!F37/'Table 6 WTP Flow Balance'!$F$5))+'Table 15 Analytics Cost'!F41</f>
        <v>63085.87134374505</v>
      </c>
      <c r="L42" s="470" t="s">
        <v>73</v>
      </c>
      <c r="M42" s="470" t="s">
        <v>73</v>
      </c>
      <c r="N42" s="470">
        <f t="shared" si="7"/>
        <v>1125070.0888451121</v>
      </c>
      <c r="O42" s="470">
        <f t="shared" si="1"/>
        <v>196887.26554789461</v>
      </c>
      <c r="P42" s="472">
        <f t="shared" si="2"/>
        <v>1321957.3543930068</v>
      </c>
      <c r="R42" s="62"/>
      <c r="S42" s="57">
        <f t="shared" ref="S42:S73" si="9">J42</f>
        <v>183171.74288773045</v>
      </c>
      <c r="T42" s="57">
        <f t="shared" ref="T42:T67" si="10">I42</f>
        <v>464514.19653363642</v>
      </c>
      <c r="X42" s="641"/>
      <c r="AD42" s="130"/>
    </row>
    <row r="43" spans="2:30" ht="14.25" x14ac:dyDescent="0.2">
      <c r="B43" s="406">
        <f t="shared" si="0"/>
        <v>39</v>
      </c>
      <c r="C43" s="470" t="s">
        <v>73</v>
      </c>
      <c r="D43" s="470" t="s">
        <v>73</v>
      </c>
      <c r="E43" s="471" t="s">
        <v>73</v>
      </c>
      <c r="F43" s="470" t="s">
        <v>73</v>
      </c>
      <c r="G43" s="470" t="s">
        <v>73</v>
      </c>
      <c r="H43" s="470">
        <f t="shared" si="8"/>
        <v>414298.27808000008</v>
      </c>
      <c r="I43" s="471">
        <f>'Table 12 Labor Costs'!$C$41+'Table 12 Labor Costs'!$L$12</f>
        <v>464514.19653363642</v>
      </c>
      <c r="J43" s="470">
        <f>'Table 13 Power Costs'!D66</f>
        <v>183028.84191108658</v>
      </c>
      <c r="K43" s="470">
        <f>(('Table 14 Reagent Cost'!$F$8)*('Table 6 WTP Flow Balance'!F38/'Table 6 WTP Flow Balance'!$F$5))+'Table 15 Analytics Cost'!F42</f>
        <v>63024.56017300977</v>
      </c>
      <c r="L43" s="470" t="s">
        <v>73</v>
      </c>
      <c r="M43" s="470" t="s">
        <v>73</v>
      </c>
      <c r="N43" s="470">
        <f t="shared" si="7"/>
        <v>1124865.8766977328</v>
      </c>
      <c r="O43" s="470">
        <f t="shared" si="1"/>
        <v>196851.52842210323</v>
      </c>
      <c r="P43" s="472">
        <f t="shared" si="2"/>
        <v>1321717.4051198361</v>
      </c>
      <c r="R43" s="62"/>
      <c r="S43" s="57">
        <f t="shared" si="9"/>
        <v>183028.84191108658</v>
      </c>
      <c r="T43" s="57">
        <f t="shared" si="10"/>
        <v>464514.19653363642</v>
      </c>
      <c r="X43" s="641"/>
      <c r="AD43" s="130"/>
    </row>
    <row r="44" spans="2:30" ht="14.25" x14ac:dyDescent="0.2">
      <c r="B44" s="406">
        <f t="shared" si="0"/>
        <v>40</v>
      </c>
      <c r="C44" s="470" t="s">
        <v>73</v>
      </c>
      <c r="D44" s="470" t="s">
        <v>73</v>
      </c>
      <c r="E44" s="471" t="s">
        <v>73</v>
      </c>
      <c r="F44" s="470" t="s">
        <v>73</v>
      </c>
      <c r="G44" s="470" t="s">
        <v>73</v>
      </c>
      <c r="H44" s="470">
        <f t="shared" si="8"/>
        <v>414298.27808000008</v>
      </c>
      <c r="I44" s="471">
        <f>'Table 12 Labor Costs'!$C$41+'Table 12 Labor Costs'!$L$12</f>
        <v>464514.19653363642</v>
      </c>
      <c r="J44" s="470">
        <f>'Table 13 Power Costs'!D67</f>
        <v>182902.79975480615</v>
      </c>
      <c r="K44" s="470">
        <f>(('Table 14 Reagent Cost'!$F$8)*('Table 6 WTP Flow Balance'!F39/'Table 6 WTP Flow Balance'!$F$5))+'Table 15 Analytics Cost'!F43</f>
        <v>62993.904587642122</v>
      </c>
      <c r="L44" s="470" t="s">
        <v>73</v>
      </c>
      <c r="M44" s="470" t="s">
        <v>73</v>
      </c>
      <c r="N44" s="470">
        <f t="shared" si="7"/>
        <v>1124709.1789560847</v>
      </c>
      <c r="O44" s="470">
        <f t="shared" si="1"/>
        <v>196824.10631731481</v>
      </c>
      <c r="P44" s="472">
        <f t="shared" si="2"/>
        <v>1321533.2852733994</v>
      </c>
      <c r="R44" s="62"/>
      <c r="S44" s="57">
        <f t="shared" si="9"/>
        <v>182902.79975480615</v>
      </c>
      <c r="T44" s="57">
        <f t="shared" si="10"/>
        <v>464514.19653363642</v>
      </c>
      <c r="X44" s="641"/>
      <c r="AD44" s="130"/>
    </row>
    <row r="45" spans="2:30" ht="14.25" x14ac:dyDescent="0.2">
      <c r="B45" s="406">
        <f t="shared" si="0"/>
        <v>41</v>
      </c>
      <c r="C45" s="470" t="s">
        <v>73</v>
      </c>
      <c r="D45" s="470" t="s">
        <v>73</v>
      </c>
      <c r="E45" s="471" t="s">
        <v>73</v>
      </c>
      <c r="F45" s="470" t="s">
        <v>73</v>
      </c>
      <c r="G45" s="470" t="s">
        <v>73</v>
      </c>
      <c r="H45" s="470">
        <f t="shared" si="8"/>
        <v>414298.27808000008</v>
      </c>
      <c r="I45" s="471">
        <f>'Table 12 Labor Costs'!$C$41+'Table 12 Labor Costs'!$L$12</f>
        <v>464514.19653363642</v>
      </c>
      <c r="J45" s="470">
        <f>'Table 13 Power Costs'!D68</f>
        <v>182778.05419511555</v>
      </c>
      <c r="K45" s="470">
        <f>(('Table 14 Reagent Cost'!$F$8)*('Table 6 WTP Flow Balance'!F40/'Table 6 WTP Flow Balance'!$F$5))+'Table 15 Analytics Cost'!F44</f>
        <v>62963.249002274482</v>
      </c>
      <c r="L45" s="470" t="s">
        <v>73</v>
      </c>
      <c r="M45" s="470" t="s">
        <v>73</v>
      </c>
      <c r="N45" s="470">
        <f t="shared" si="7"/>
        <v>1124553.7778110267</v>
      </c>
      <c r="O45" s="470">
        <f t="shared" si="1"/>
        <v>196796.91111692967</v>
      </c>
      <c r="P45" s="472">
        <f t="shared" si="2"/>
        <v>1321350.6889279564</v>
      </c>
      <c r="R45" s="62"/>
      <c r="S45" s="57">
        <f t="shared" si="9"/>
        <v>182778.05419511555</v>
      </c>
      <c r="T45" s="57">
        <f t="shared" si="10"/>
        <v>464514.19653363642</v>
      </c>
      <c r="X45" s="641"/>
      <c r="AD45" s="130"/>
    </row>
    <row r="46" spans="2:30" ht="14.25" x14ac:dyDescent="0.2">
      <c r="B46" s="406">
        <f t="shared" si="0"/>
        <v>42</v>
      </c>
      <c r="C46" s="470" t="s">
        <v>73</v>
      </c>
      <c r="D46" s="470" t="s">
        <v>73</v>
      </c>
      <c r="E46" s="471" t="s">
        <v>73</v>
      </c>
      <c r="F46" s="470" t="s">
        <v>73</v>
      </c>
      <c r="G46" s="470" t="s">
        <v>73</v>
      </c>
      <c r="H46" s="470">
        <f t="shared" si="8"/>
        <v>414298.27808000008</v>
      </c>
      <c r="I46" s="471">
        <f>'Table 12 Labor Costs'!$C$41+'Table 12 Labor Costs'!$L$12</f>
        <v>464514.19653363642</v>
      </c>
      <c r="J46" s="470">
        <f>'Table 13 Power Costs'!D69</f>
        <v>182638.98925477371</v>
      </c>
      <c r="K46" s="470">
        <f>(('Table 14 Reagent Cost'!$F$8)*('Table 6 WTP Flow Balance'!F41/'Table 6 WTP Flow Balance'!$F$5))+'Table 15 Analytics Cost'!F45</f>
        <v>62901.937831539195</v>
      </c>
      <c r="L46" s="470" t="s">
        <v>73</v>
      </c>
      <c r="M46" s="470" t="s">
        <v>73</v>
      </c>
      <c r="N46" s="470">
        <f t="shared" si="7"/>
        <v>1124353.4016999495</v>
      </c>
      <c r="O46" s="470">
        <f t="shared" si="1"/>
        <v>196761.84529749115</v>
      </c>
      <c r="P46" s="472">
        <f t="shared" si="2"/>
        <v>1321115.2469974407</v>
      </c>
      <c r="R46" s="62"/>
      <c r="S46" s="57">
        <f t="shared" si="9"/>
        <v>182638.98925477371</v>
      </c>
      <c r="T46" s="57">
        <f t="shared" si="10"/>
        <v>464514.19653363642</v>
      </c>
      <c r="X46" s="641"/>
      <c r="AD46" s="130"/>
    </row>
    <row r="47" spans="2:30" ht="14.25" x14ac:dyDescent="0.2">
      <c r="B47" s="406">
        <f t="shared" si="0"/>
        <v>43</v>
      </c>
      <c r="C47" s="470" t="s">
        <v>73</v>
      </c>
      <c r="D47" s="470" t="s">
        <v>73</v>
      </c>
      <c r="E47" s="471" t="s">
        <v>73</v>
      </c>
      <c r="F47" s="470" t="s">
        <v>73</v>
      </c>
      <c r="G47" s="470" t="s">
        <v>73</v>
      </c>
      <c r="H47" s="470">
        <f t="shared" si="8"/>
        <v>414298.27808000008</v>
      </c>
      <c r="I47" s="471">
        <f>'Table 12 Labor Costs'!$C$41+'Table 12 Labor Costs'!$L$12</f>
        <v>464514.19653363642</v>
      </c>
      <c r="J47" s="470">
        <f>'Table 13 Power Costs'!D70</f>
        <v>182517.68443958732</v>
      </c>
      <c r="K47" s="470">
        <f>(('Table 14 Reagent Cost'!$F$8)*('Table 6 WTP Flow Balance'!F42/'Table 6 WTP Flow Balance'!$F$5))+'Table 15 Analytics Cost'!F46</f>
        <v>62871.282246171548</v>
      </c>
      <c r="L47" s="470" t="s">
        <v>73</v>
      </c>
      <c r="M47" s="470" t="s">
        <v>73</v>
      </c>
      <c r="N47" s="470">
        <f t="shared" si="7"/>
        <v>1124201.4412993954</v>
      </c>
      <c r="O47" s="470">
        <f t="shared" si="1"/>
        <v>196735.25222739417</v>
      </c>
      <c r="P47" s="472">
        <f t="shared" si="2"/>
        <v>1320936.6935267895</v>
      </c>
      <c r="R47" s="62"/>
      <c r="S47" s="57">
        <f t="shared" si="9"/>
        <v>182517.68443958732</v>
      </c>
      <c r="T47" s="57">
        <f t="shared" si="10"/>
        <v>464514.19653363642</v>
      </c>
      <c r="X47" s="641"/>
      <c r="AD47" s="130"/>
    </row>
    <row r="48" spans="2:30" ht="14.25" x14ac:dyDescent="0.2">
      <c r="B48" s="406">
        <f t="shared" si="0"/>
        <v>44</v>
      </c>
      <c r="C48" s="470" t="s">
        <v>73</v>
      </c>
      <c r="D48" s="470" t="s">
        <v>73</v>
      </c>
      <c r="E48" s="471" t="s">
        <v>73</v>
      </c>
      <c r="F48" s="470" t="s">
        <v>73</v>
      </c>
      <c r="G48" s="470" t="s">
        <v>73</v>
      </c>
      <c r="H48" s="470">
        <f t="shared" si="8"/>
        <v>414298.27808000008</v>
      </c>
      <c r="I48" s="471">
        <f>'Table 12 Labor Costs'!$C$41+'Table 12 Labor Costs'!$L$12</f>
        <v>464514.19653363642</v>
      </c>
      <c r="J48" s="470">
        <f>'Table 13 Power Costs'!D71</f>
        <v>182398.1306310537</v>
      </c>
      <c r="K48" s="470">
        <f>(('Table 14 Reagent Cost'!$F$8)*('Table 6 WTP Flow Balance'!F43/'Table 6 WTP Flow Balance'!$F$5))+'Table 15 Analytics Cost'!F47</f>
        <v>62840.626660803908</v>
      </c>
      <c r="L48" s="470" t="s">
        <v>73</v>
      </c>
      <c r="M48" s="470" t="s">
        <v>73</v>
      </c>
      <c r="N48" s="470">
        <f t="shared" si="7"/>
        <v>1124051.2319054939</v>
      </c>
      <c r="O48" s="470">
        <f t="shared" si="1"/>
        <v>196708.96558346142</v>
      </c>
      <c r="P48" s="472">
        <f t="shared" si="2"/>
        <v>1320760.1974889552</v>
      </c>
      <c r="R48" s="62"/>
      <c r="S48" s="57">
        <f t="shared" si="9"/>
        <v>182398.1306310537</v>
      </c>
      <c r="T48" s="57">
        <f t="shared" si="10"/>
        <v>464514.19653363642</v>
      </c>
      <c r="X48" s="641"/>
      <c r="AD48" s="130"/>
    </row>
    <row r="49" spans="2:30" ht="14.25" x14ac:dyDescent="0.2">
      <c r="B49" s="406">
        <f t="shared" si="0"/>
        <v>45</v>
      </c>
      <c r="C49" s="470" t="s">
        <v>73</v>
      </c>
      <c r="D49" s="470" t="s">
        <v>73</v>
      </c>
      <c r="E49" s="471" t="s">
        <v>73</v>
      </c>
      <c r="F49" s="470" t="s">
        <v>73</v>
      </c>
      <c r="G49" s="470" t="s">
        <v>73</v>
      </c>
      <c r="H49" s="470">
        <f t="shared" si="8"/>
        <v>414298.27808000008</v>
      </c>
      <c r="I49" s="471">
        <f>'Table 12 Labor Costs'!$C$41+'Table 12 Labor Costs'!$L$12</f>
        <v>464514.19653363642</v>
      </c>
      <c r="J49" s="470">
        <f>'Table 13 Power Costs'!D72</f>
        <v>182264.55137269301</v>
      </c>
      <c r="K49" s="470">
        <f>(('Table 14 Reagent Cost'!$F$8)*('Table 6 WTP Flow Balance'!F44/'Table 6 WTP Flow Balance'!$F$5))+'Table 15 Analytics Cost'!F48</f>
        <v>62779.31549006862</v>
      </c>
      <c r="L49" s="470" t="s">
        <v>73</v>
      </c>
      <c r="M49" s="470" t="s">
        <v>73</v>
      </c>
      <c r="N49" s="470">
        <f t="shared" si="7"/>
        <v>1123856.3414763981</v>
      </c>
      <c r="O49" s="470">
        <f t="shared" si="1"/>
        <v>196674.85975836965</v>
      </c>
      <c r="P49" s="472">
        <f t="shared" si="2"/>
        <v>1320531.2012347677</v>
      </c>
      <c r="R49" s="62"/>
      <c r="S49" s="57">
        <f t="shared" si="9"/>
        <v>182264.55137269301</v>
      </c>
      <c r="T49" s="57">
        <f t="shared" si="10"/>
        <v>464514.19653363642</v>
      </c>
      <c r="X49" s="641"/>
      <c r="AD49" s="130"/>
    </row>
    <row r="50" spans="2:30" ht="14.25" x14ac:dyDescent="0.2">
      <c r="B50" s="406">
        <f t="shared" si="0"/>
        <v>46</v>
      </c>
      <c r="C50" s="470" t="s">
        <v>73</v>
      </c>
      <c r="D50" s="470" t="s">
        <v>73</v>
      </c>
      <c r="E50" s="471" t="s">
        <v>73</v>
      </c>
      <c r="F50" s="470" t="s">
        <v>73</v>
      </c>
      <c r="G50" s="470" t="s">
        <v>73</v>
      </c>
      <c r="H50" s="470">
        <f t="shared" si="8"/>
        <v>414298.27808000008</v>
      </c>
      <c r="I50" s="471">
        <f>'Table 12 Labor Costs'!$C$41+'Table 12 Labor Costs'!$L$12</f>
        <v>464514.19653363642</v>
      </c>
      <c r="J50" s="470">
        <f>'Table 13 Power Costs'!D73</f>
        <v>182149.15986625242</v>
      </c>
      <c r="K50" s="470">
        <f>(('Table 14 Reagent Cost'!$F$8)*('Table 6 WTP Flow Balance'!F45/'Table 6 WTP Flow Balance'!$F$5))+'Table 15 Analytics Cost'!F49</f>
        <v>62748.65990470098</v>
      </c>
      <c r="L50" s="470" t="s">
        <v>73</v>
      </c>
      <c r="M50" s="470" t="s">
        <v>73</v>
      </c>
      <c r="N50" s="470">
        <f t="shared" si="7"/>
        <v>1123710.2943845899</v>
      </c>
      <c r="O50" s="470">
        <f t="shared" si="1"/>
        <v>196649.30151730322</v>
      </c>
      <c r="P50" s="472">
        <f t="shared" si="2"/>
        <v>1320359.595901893</v>
      </c>
      <c r="R50" s="62"/>
      <c r="S50" s="57">
        <f t="shared" si="9"/>
        <v>182149.15986625242</v>
      </c>
      <c r="T50" s="57">
        <f t="shared" si="10"/>
        <v>464514.19653363642</v>
      </c>
      <c r="X50" s="641"/>
      <c r="AD50" s="130"/>
    </row>
    <row r="51" spans="2:30" ht="14.25" x14ac:dyDescent="0.2">
      <c r="B51" s="406">
        <f t="shared" si="0"/>
        <v>47</v>
      </c>
      <c r="C51" s="470" t="s">
        <v>73</v>
      </c>
      <c r="D51" s="470" t="s">
        <v>73</v>
      </c>
      <c r="E51" s="471" t="s">
        <v>73</v>
      </c>
      <c r="F51" s="470" t="s">
        <v>73</v>
      </c>
      <c r="G51" s="470" t="s">
        <v>73</v>
      </c>
      <c r="H51" s="470">
        <f t="shared" si="8"/>
        <v>414298.27808000008</v>
      </c>
      <c r="I51" s="471">
        <f>'Table 12 Labor Costs'!$C$41+'Table 12 Labor Costs'!$L$12</f>
        <v>464514.19653363642</v>
      </c>
      <c r="J51" s="470">
        <f>'Table 13 Power Costs'!D74</f>
        <v>182035.80541793222</v>
      </c>
      <c r="K51" s="470">
        <f>(('Table 14 Reagent Cost'!$F$8)*('Table 6 WTP Flow Balance'!F46/'Table 6 WTP Flow Balance'!$F$5))+'Table 15 Analytics Cost'!F50</f>
        <v>62718.00431933334</v>
      </c>
      <c r="L51" s="470" t="s">
        <v>73</v>
      </c>
      <c r="M51" s="470" t="s">
        <v>73</v>
      </c>
      <c r="N51" s="470">
        <f t="shared" si="7"/>
        <v>1123566.2843509021</v>
      </c>
      <c r="O51" s="470">
        <f t="shared" si="1"/>
        <v>196624.09976140785</v>
      </c>
      <c r="P51" s="472">
        <f t="shared" si="2"/>
        <v>1320190.3841123099</v>
      </c>
      <c r="R51" s="62"/>
      <c r="S51" s="57">
        <f t="shared" si="9"/>
        <v>182035.80541793222</v>
      </c>
      <c r="T51" s="57">
        <f t="shared" si="10"/>
        <v>464514.19653363642</v>
      </c>
      <c r="X51" s="641"/>
      <c r="AD51" s="130"/>
    </row>
    <row r="52" spans="2:30" ht="14.25" x14ac:dyDescent="0.2">
      <c r="B52" s="406">
        <f t="shared" si="0"/>
        <v>48</v>
      </c>
      <c r="C52" s="470" t="s">
        <v>73</v>
      </c>
      <c r="D52" s="470" t="s">
        <v>73</v>
      </c>
      <c r="E52" s="471" t="s">
        <v>73</v>
      </c>
      <c r="F52" s="470" t="s">
        <v>73</v>
      </c>
      <c r="G52" s="470" t="s">
        <v>73</v>
      </c>
      <c r="H52" s="470">
        <f t="shared" si="8"/>
        <v>414298.27808000008</v>
      </c>
      <c r="I52" s="471">
        <f>'Table 12 Labor Costs'!$C$41+'Table 12 Labor Costs'!$L$12</f>
        <v>464514.19653363642</v>
      </c>
      <c r="J52" s="470">
        <f>'Table 13 Power Costs'!D75</f>
        <v>181924.33035109463</v>
      </c>
      <c r="K52" s="470">
        <f>(('Table 14 Reagent Cost'!$F$8)*('Table 6 WTP Flow Balance'!F47/'Table 6 WTP Flow Balance'!$F$5))+'Table 15 Analytics Cost'!F51</f>
        <v>62687.348733965686</v>
      </c>
      <c r="L52" s="470" t="s">
        <v>73</v>
      </c>
      <c r="M52" s="470" t="s">
        <v>73</v>
      </c>
      <c r="N52" s="470">
        <f t="shared" si="7"/>
        <v>1123424.153698697</v>
      </c>
      <c r="O52" s="470">
        <f t="shared" si="1"/>
        <v>196599.22689727196</v>
      </c>
      <c r="P52" s="472">
        <f t="shared" si="2"/>
        <v>1320023.380595969</v>
      </c>
      <c r="R52" s="62"/>
      <c r="S52" s="57">
        <f t="shared" si="9"/>
        <v>181924.33035109463</v>
      </c>
      <c r="T52" s="57">
        <f t="shared" si="10"/>
        <v>464514.19653363642</v>
      </c>
      <c r="X52" s="641"/>
      <c r="AD52" s="130"/>
    </row>
    <row r="53" spans="2:30" ht="14.25" x14ac:dyDescent="0.2">
      <c r="B53" s="406">
        <f t="shared" si="0"/>
        <v>49</v>
      </c>
      <c r="C53" s="470" t="s">
        <v>73</v>
      </c>
      <c r="D53" s="470" t="s">
        <v>73</v>
      </c>
      <c r="E53" s="471" t="s">
        <v>73</v>
      </c>
      <c r="F53" s="470" t="s">
        <v>73</v>
      </c>
      <c r="G53" s="470" t="s">
        <v>73</v>
      </c>
      <c r="H53" s="470">
        <f t="shared" si="8"/>
        <v>414298.27808000008</v>
      </c>
      <c r="I53" s="471">
        <f>'Table 12 Labor Costs'!$C$41+'Table 12 Labor Costs'!$L$12</f>
        <v>464514.19653363642</v>
      </c>
      <c r="J53" s="470">
        <f>'Table 13 Power Costs'!D76</f>
        <v>181814.81295958936</v>
      </c>
      <c r="K53" s="470">
        <f>(('Table 14 Reagent Cost'!$F$8)*('Table 6 WTP Flow Balance'!F48/'Table 6 WTP Flow Balance'!$F$5))+'Table 15 Analytics Cost'!F52</f>
        <v>62656.693148598046</v>
      </c>
      <c r="L53" s="470" t="s">
        <v>73</v>
      </c>
      <c r="M53" s="470" t="s">
        <v>73</v>
      </c>
      <c r="N53" s="470">
        <f t="shared" si="7"/>
        <v>1123283.9807218239</v>
      </c>
      <c r="O53" s="470">
        <f t="shared" si="1"/>
        <v>196574.69662631917</v>
      </c>
      <c r="P53" s="472">
        <f t="shared" si="2"/>
        <v>1319858.677348143</v>
      </c>
      <c r="R53" s="62"/>
      <c r="S53" s="57">
        <f t="shared" si="9"/>
        <v>181814.81295958936</v>
      </c>
      <c r="T53" s="57">
        <f t="shared" si="10"/>
        <v>464514.19653363642</v>
      </c>
      <c r="X53" s="641"/>
      <c r="AD53" s="130"/>
    </row>
    <row r="54" spans="2:30" ht="14.25" x14ac:dyDescent="0.2">
      <c r="B54" s="406">
        <f t="shared" si="0"/>
        <v>50</v>
      </c>
      <c r="C54" s="470" t="s">
        <v>73</v>
      </c>
      <c r="D54" s="470" t="s">
        <v>73</v>
      </c>
      <c r="E54" s="471" t="s">
        <v>73</v>
      </c>
      <c r="F54" s="470" t="s">
        <v>73</v>
      </c>
      <c r="G54" s="470" t="s">
        <v>73</v>
      </c>
      <c r="H54" s="470">
        <f t="shared" si="8"/>
        <v>414298.27808000008</v>
      </c>
      <c r="I54" s="471">
        <f>'Table 12 Labor Costs'!$C$41+'Table 12 Labor Costs'!$L$12</f>
        <v>464514.19653363642</v>
      </c>
      <c r="J54" s="470">
        <f>'Table 13 Power Costs'!D77</f>
        <v>181707.30584173527</v>
      </c>
      <c r="K54" s="470">
        <f>(('Table 14 Reagent Cost'!$F$8)*('Table 6 WTP Flow Balance'!F49/'Table 6 WTP Flow Balance'!$F$5))+'Table 15 Analytics Cost'!F53</f>
        <v>62626.037563230406</v>
      </c>
      <c r="L54" s="470" t="s">
        <v>73</v>
      </c>
      <c r="M54" s="470" t="s">
        <v>73</v>
      </c>
      <c r="N54" s="470">
        <f t="shared" si="7"/>
        <v>1123145.8180186022</v>
      </c>
      <c r="O54" s="470">
        <f t="shared" si="1"/>
        <v>196550.51815325537</v>
      </c>
      <c r="P54" s="472">
        <f t="shared" si="2"/>
        <v>1319696.3361718575</v>
      </c>
      <c r="R54" s="62"/>
      <c r="S54" s="57">
        <f t="shared" si="9"/>
        <v>181707.30584173527</v>
      </c>
      <c r="T54" s="57">
        <f t="shared" si="10"/>
        <v>464514.19653363642</v>
      </c>
      <c r="X54" s="641"/>
      <c r="AD54" s="130"/>
    </row>
    <row r="55" spans="2:30" ht="14.25" x14ac:dyDescent="0.2">
      <c r="B55" s="406">
        <f t="shared" si="0"/>
        <v>51</v>
      </c>
      <c r="C55" s="470" t="s">
        <v>73</v>
      </c>
      <c r="D55" s="470" t="s">
        <v>73</v>
      </c>
      <c r="E55" s="471" t="s">
        <v>73</v>
      </c>
      <c r="F55" s="470" t="s">
        <v>73</v>
      </c>
      <c r="G55" s="470" t="s">
        <v>73</v>
      </c>
      <c r="H55" s="470">
        <f t="shared" si="8"/>
        <v>414298.27808000008</v>
      </c>
      <c r="I55" s="471">
        <f>'Table 12 Labor Costs'!$C$41+'Table 12 Labor Costs'!$L$12</f>
        <v>464514.19653363642</v>
      </c>
      <c r="J55" s="470">
        <f>'Table 13 Power Costs'!D78</f>
        <v>181601.59729601056</v>
      </c>
      <c r="K55" s="470">
        <f>(('Table 14 Reagent Cost'!$F$8)*('Table 6 WTP Flow Balance'!F50/'Table 6 WTP Flow Balance'!$F$5))+'Table 15 Analytics Cost'!F54</f>
        <v>62595.381977862759</v>
      </c>
      <c r="L55" s="470" t="s">
        <v>73</v>
      </c>
      <c r="M55" s="470" t="s">
        <v>73</v>
      </c>
      <c r="N55" s="470">
        <f t="shared" si="7"/>
        <v>1123009.4538875096</v>
      </c>
      <c r="O55" s="470">
        <f t="shared" si="1"/>
        <v>196526.65443031417</v>
      </c>
      <c r="P55" s="472">
        <f t="shared" si="2"/>
        <v>1319536.1083178238</v>
      </c>
      <c r="R55" s="62"/>
      <c r="S55" s="57">
        <f t="shared" si="9"/>
        <v>181601.59729601056</v>
      </c>
      <c r="T55" s="57">
        <f t="shared" si="10"/>
        <v>464514.19653363642</v>
      </c>
      <c r="X55" s="641"/>
      <c r="AD55" s="130"/>
    </row>
    <row r="56" spans="2:30" ht="14.25" x14ac:dyDescent="0.2">
      <c r="B56" s="406">
        <f t="shared" si="0"/>
        <v>52</v>
      </c>
      <c r="C56" s="470" t="s">
        <v>73</v>
      </c>
      <c r="D56" s="470" t="s">
        <v>73</v>
      </c>
      <c r="E56" s="471" t="s">
        <v>73</v>
      </c>
      <c r="F56" s="470" t="s">
        <v>73</v>
      </c>
      <c r="G56" s="470" t="s">
        <v>73</v>
      </c>
      <c r="H56" s="470">
        <f t="shared" si="8"/>
        <v>414298.27808000008</v>
      </c>
      <c r="I56" s="471">
        <f>'Table 12 Labor Costs'!$C$41+'Table 12 Labor Costs'!$L$12</f>
        <v>464514.19653363642</v>
      </c>
      <c r="J56" s="470">
        <f>'Table 13 Power Costs'!D79</f>
        <v>181497.48431630735</v>
      </c>
      <c r="K56" s="470">
        <f>(('Table 14 Reagent Cost'!$F$8)*('Table 6 WTP Flow Balance'!F51/'Table 6 WTP Flow Balance'!$F$5))+'Table 15 Analytics Cost'!F55</f>
        <v>62564.726392495118</v>
      </c>
      <c r="L56" s="470" t="s">
        <v>73</v>
      </c>
      <c r="M56" s="470" t="s">
        <v>73</v>
      </c>
      <c r="N56" s="470">
        <f t="shared" si="7"/>
        <v>1122874.6853224391</v>
      </c>
      <c r="O56" s="470">
        <f t="shared" si="1"/>
        <v>196503.06993142681</v>
      </c>
      <c r="P56" s="472">
        <f t="shared" si="2"/>
        <v>1319377.7552538658</v>
      </c>
      <c r="R56" s="62"/>
      <c r="S56" s="57">
        <f t="shared" si="9"/>
        <v>181497.48431630735</v>
      </c>
      <c r="T56" s="57">
        <f t="shared" si="10"/>
        <v>464514.19653363642</v>
      </c>
      <c r="X56" s="641"/>
      <c r="AD56" s="130"/>
    </row>
    <row r="57" spans="2:30" ht="14.25" x14ac:dyDescent="0.2">
      <c r="B57" s="406">
        <f t="shared" si="0"/>
        <v>53</v>
      </c>
      <c r="C57" s="470" t="s">
        <v>73</v>
      </c>
      <c r="D57" s="470" t="s">
        <v>73</v>
      </c>
      <c r="E57" s="471" t="s">
        <v>73</v>
      </c>
      <c r="F57" s="470" t="s">
        <v>73</v>
      </c>
      <c r="G57" s="470" t="s">
        <v>73</v>
      </c>
      <c r="H57" s="470">
        <f t="shared" si="8"/>
        <v>414298.27808000008</v>
      </c>
      <c r="I57" s="471">
        <f>'Table 12 Labor Costs'!$C$41+'Table 12 Labor Costs'!$L$12</f>
        <v>464514.19653363642</v>
      </c>
      <c r="J57" s="470">
        <f>'Table 13 Power Costs'!D80</f>
        <v>181378.99498831009</v>
      </c>
      <c r="K57" s="470">
        <f>(('Table 14 Reagent Cost'!$F$8)*('Table 6 WTP Flow Balance'!F52/'Table 6 WTP Flow Balance'!$F$5))+'Table 15 Analytics Cost'!F56</f>
        <v>62503.415221759831</v>
      </c>
      <c r="L57" s="470" t="s">
        <v>73</v>
      </c>
      <c r="M57" s="470" t="s">
        <v>73</v>
      </c>
      <c r="N57" s="470">
        <f t="shared" si="7"/>
        <v>1122694.8848237065</v>
      </c>
      <c r="O57" s="470">
        <f t="shared" si="1"/>
        <v>196471.60484414862</v>
      </c>
      <c r="P57" s="472">
        <f t="shared" si="2"/>
        <v>1319166.4896678552</v>
      </c>
      <c r="R57" s="62"/>
      <c r="S57" s="57">
        <f t="shared" si="9"/>
        <v>181378.99498831009</v>
      </c>
      <c r="T57" s="57">
        <f t="shared" si="10"/>
        <v>464514.19653363642</v>
      </c>
      <c r="X57" s="641"/>
      <c r="AD57" s="130"/>
    </row>
    <row r="58" spans="2:30" ht="14.25" x14ac:dyDescent="0.2">
      <c r="B58" s="406">
        <f t="shared" si="0"/>
        <v>54</v>
      </c>
      <c r="C58" s="470" t="s">
        <v>73</v>
      </c>
      <c r="D58" s="470" t="s">
        <v>73</v>
      </c>
      <c r="E58" s="471" t="s">
        <v>73</v>
      </c>
      <c r="F58" s="470" t="s">
        <v>73</v>
      </c>
      <c r="G58" s="470" t="s">
        <v>73</v>
      </c>
      <c r="H58" s="470">
        <f t="shared" si="8"/>
        <v>414298.27808000008</v>
      </c>
      <c r="I58" s="471">
        <f>'Table 12 Labor Costs'!$C$41+'Table 12 Labor Costs'!$L$12</f>
        <v>464514.19653363642</v>
      </c>
      <c r="J58" s="470">
        <f>'Table 13 Power Costs'!D81</f>
        <v>181278.20599031073</v>
      </c>
      <c r="K58" s="470">
        <f>(('Table 14 Reagent Cost'!$F$8)*('Table 6 WTP Flow Balance'!F53/'Table 6 WTP Flow Balance'!$F$5))+'Table 15 Analytics Cost'!F57</f>
        <v>62472.759636392191</v>
      </c>
      <c r="L58" s="470" t="s">
        <v>73</v>
      </c>
      <c r="M58" s="470" t="s">
        <v>73</v>
      </c>
      <c r="N58" s="470">
        <f t="shared" si="7"/>
        <v>1122563.4402403394</v>
      </c>
      <c r="O58" s="470">
        <f t="shared" si="1"/>
        <v>196448.60204205938</v>
      </c>
      <c r="P58" s="472">
        <f t="shared" si="2"/>
        <v>1319012.0422823988</v>
      </c>
      <c r="R58" s="62"/>
      <c r="S58" s="57">
        <f t="shared" si="9"/>
        <v>181278.20599031073</v>
      </c>
      <c r="T58" s="57">
        <f t="shared" si="10"/>
        <v>464514.19653363642</v>
      </c>
      <c r="X58" s="641"/>
      <c r="AD58" s="130"/>
    </row>
    <row r="59" spans="2:30" ht="14.25" x14ac:dyDescent="0.2">
      <c r="B59" s="406">
        <f t="shared" si="0"/>
        <v>55</v>
      </c>
      <c r="C59" s="470" t="s">
        <v>73</v>
      </c>
      <c r="D59" s="470" t="s">
        <v>73</v>
      </c>
      <c r="E59" s="471" t="s">
        <v>73</v>
      </c>
      <c r="F59" s="470" t="s">
        <v>73</v>
      </c>
      <c r="G59" s="470" t="s">
        <v>73</v>
      </c>
      <c r="H59" s="470">
        <f t="shared" ref="H59:H90" si="11">H58</f>
        <v>414298.27808000008</v>
      </c>
      <c r="I59" s="471">
        <f>'Table 12 Labor Costs'!$C$41+'Table 12 Labor Costs'!$L$12</f>
        <v>464514.19653363642</v>
      </c>
      <c r="J59" s="470">
        <f>'Table 13 Power Costs'!D82</f>
        <v>181178.92666856429</v>
      </c>
      <c r="K59" s="470">
        <f>(('Table 14 Reagent Cost'!$F$8)*('Table 6 WTP Flow Balance'!F54/'Table 6 WTP Flow Balance'!$F$5))+'Table 15 Analytics Cost'!F58</f>
        <v>62442.104051024544</v>
      </c>
      <c r="L59" s="470" t="s">
        <v>73</v>
      </c>
      <c r="M59" s="470" t="s">
        <v>73</v>
      </c>
      <c r="N59" s="470">
        <f t="shared" si="7"/>
        <v>1122433.5053332255</v>
      </c>
      <c r="O59" s="470">
        <f t="shared" si="1"/>
        <v>196425.86343331446</v>
      </c>
      <c r="P59" s="472">
        <f t="shared" si="2"/>
        <v>1318859.36876654</v>
      </c>
      <c r="R59" s="62"/>
      <c r="S59" s="57">
        <f t="shared" si="9"/>
        <v>181178.92666856429</v>
      </c>
      <c r="T59" s="57">
        <f t="shared" si="10"/>
        <v>464514.19653363642</v>
      </c>
      <c r="X59" s="641"/>
      <c r="AD59" s="130"/>
    </row>
    <row r="60" spans="2:30" ht="14.25" x14ac:dyDescent="0.2">
      <c r="B60" s="406">
        <f t="shared" si="0"/>
        <v>56</v>
      </c>
      <c r="C60" s="470" t="s">
        <v>73</v>
      </c>
      <c r="D60" s="470" t="s">
        <v>73</v>
      </c>
      <c r="E60" s="471" t="s">
        <v>73</v>
      </c>
      <c r="F60" s="470" t="s">
        <v>73</v>
      </c>
      <c r="G60" s="470" t="s">
        <v>73</v>
      </c>
      <c r="H60" s="470">
        <f t="shared" si="11"/>
        <v>414298.27808000008</v>
      </c>
      <c r="I60" s="471">
        <f>'Table 12 Labor Costs'!$C$41+'Table 12 Labor Costs'!$L$12</f>
        <v>464514.19653363642</v>
      </c>
      <c r="J60" s="470">
        <f>'Table 13 Power Costs'!D83</f>
        <v>181081.00642089351</v>
      </c>
      <c r="K60" s="470">
        <f>(('Table 14 Reagent Cost'!$F$8)*('Table 6 WTP Flow Balance'!F55/'Table 6 WTP Flow Balance'!$F$5))+'Table 15 Analytics Cost'!F59</f>
        <v>62411.448465656904</v>
      </c>
      <c r="L60" s="470" t="s">
        <v>73</v>
      </c>
      <c r="M60" s="470" t="s">
        <v>73</v>
      </c>
      <c r="N60" s="470">
        <f t="shared" si="7"/>
        <v>1122304.929500187</v>
      </c>
      <c r="O60" s="470">
        <f t="shared" si="1"/>
        <v>196403.36266253272</v>
      </c>
      <c r="P60" s="472">
        <f t="shared" si="2"/>
        <v>1318708.2921627196</v>
      </c>
      <c r="R60" s="62"/>
      <c r="S60" s="57">
        <f t="shared" si="9"/>
        <v>181081.00642089351</v>
      </c>
      <c r="T60" s="57">
        <f t="shared" si="10"/>
        <v>464514.19653363642</v>
      </c>
      <c r="X60" s="641"/>
      <c r="AD60" s="130"/>
    </row>
    <row r="61" spans="2:30" ht="14.25" x14ac:dyDescent="0.2">
      <c r="B61" s="406">
        <f t="shared" si="0"/>
        <v>57</v>
      </c>
      <c r="C61" s="470" t="s">
        <v>73</v>
      </c>
      <c r="D61" s="470" t="s">
        <v>73</v>
      </c>
      <c r="E61" s="471" t="s">
        <v>73</v>
      </c>
      <c r="F61" s="470" t="s">
        <v>73</v>
      </c>
      <c r="G61" s="470" t="s">
        <v>73</v>
      </c>
      <c r="H61" s="470">
        <f t="shared" si="11"/>
        <v>414298.27808000008</v>
      </c>
      <c r="I61" s="471">
        <f>'Table 12 Labor Costs'!$C$41+'Table 12 Labor Costs'!$L$12</f>
        <v>464514.19653363642</v>
      </c>
      <c r="J61" s="470">
        <f>'Table 13 Power Costs'!D84</f>
        <v>180984.53559755592</v>
      </c>
      <c r="K61" s="470">
        <f>(('Table 14 Reagent Cost'!$F$8)*('Table 6 WTP Flow Balance'!F56/'Table 6 WTP Flow Balance'!$F$5))+'Table 15 Analytics Cost'!F60</f>
        <v>62380.792880289257</v>
      </c>
      <c r="L61" s="470" t="s">
        <v>73</v>
      </c>
      <c r="M61" s="470" t="s">
        <v>73</v>
      </c>
      <c r="N61" s="470">
        <f t="shared" si="7"/>
        <v>1122177.8030914818</v>
      </c>
      <c r="O61" s="470">
        <f t="shared" si="1"/>
        <v>196381.11554100929</v>
      </c>
      <c r="P61" s="472">
        <f t="shared" si="2"/>
        <v>1318558.918632491</v>
      </c>
      <c r="R61" s="62"/>
      <c r="S61" s="57">
        <f t="shared" si="9"/>
        <v>180984.53559755592</v>
      </c>
      <c r="T61" s="57">
        <f t="shared" si="10"/>
        <v>464514.19653363642</v>
      </c>
      <c r="X61" s="641"/>
      <c r="AD61" s="130"/>
    </row>
    <row r="62" spans="2:30" ht="14.25" x14ac:dyDescent="0.2">
      <c r="B62" s="406">
        <f t="shared" si="0"/>
        <v>58</v>
      </c>
      <c r="C62" s="470" t="s">
        <v>73</v>
      </c>
      <c r="D62" s="470" t="s">
        <v>73</v>
      </c>
      <c r="E62" s="471" t="s">
        <v>73</v>
      </c>
      <c r="F62" s="470" t="s">
        <v>73</v>
      </c>
      <c r="G62" s="470" t="s">
        <v>73</v>
      </c>
      <c r="H62" s="470">
        <f t="shared" si="11"/>
        <v>414298.27808000008</v>
      </c>
      <c r="I62" s="471">
        <f>'Table 12 Labor Costs'!$C$41+'Table 12 Labor Costs'!$L$12</f>
        <v>464514.19653363642</v>
      </c>
      <c r="J62" s="470">
        <f>'Table 13 Power Costs'!D85</f>
        <v>180889.61323168722</v>
      </c>
      <c r="K62" s="470">
        <f>(('Table 14 Reagent Cost'!$F$8)*('Table 6 WTP Flow Balance'!F57/'Table 6 WTP Flow Balance'!$F$5))+'Table 15 Analytics Cost'!F61</f>
        <v>62350.137294921617</v>
      </c>
      <c r="L62" s="470" t="s">
        <v>73</v>
      </c>
      <c r="M62" s="470" t="s">
        <v>73</v>
      </c>
      <c r="N62" s="470">
        <f t="shared" si="7"/>
        <v>1122052.2251402452</v>
      </c>
      <c r="O62" s="470">
        <f t="shared" si="1"/>
        <v>196359.13939954288</v>
      </c>
      <c r="P62" s="472">
        <f t="shared" si="2"/>
        <v>1318411.3645397881</v>
      </c>
      <c r="R62" s="62"/>
      <c r="S62" s="57">
        <f t="shared" si="9"/>
        <v>180889.61323168722</v>
      </c>
      <c r="T62" s="57">
        <f t="shared" si="10"/>
        <v>464514.19653363642</v>
      </c>
      <c r="X62" s="641"/>
      <c r="AD62" s="130"/>
    </row>
    <row r="63" spans="2:30" ht="14.25" x14ac:dyDescent="0.2">
      <c r="B63" s="406">
        <f t="shared" si="0"/>
        <v>59</v>
      </c>
      <c r="C63" s="470" t="s">
        <v>73</v>
      </c>
      <c r="D63" s="470" t="s">
        <v>73</v>
      </c>
      <c r="E63" s="471" t="s">
        <v>73</v>
      </c>
      <c r="F63" s="470" t="s">
        <v>73</v>
      </c>
      <c r="G63" s="470" t="s">
        <v>73</v>
      </c>
      <c r="H63" s="470">
        <f t="shared" si="11"/>
        <v>414298.27808000008</v>
      </c>
      <c r="I63" s="471">
        <f>'Table 12 Labor Costs'!$C$41+'Table 12 Labor Costs'!$L$12</f>
        <v>464514.19653363642</v>
      </c>
      <c r="J63" s="470">
        <f>'Table 13 Power Costs'!D86</f>
        <v>180796.12979271996</v>
      </c>
      <c r="K63" s="470">
        <f>(('Table 14 Reagent Cost'!$F$8)*('Table 6 WTP Flow Balance'!F58/'Table 6 WTP Flow Balance'!$F$5))+'Table 15 Analytics Cost'!F62</f>
        <v>62319.481709553977</v>
      </c>
      <c r="L63" s="470" t="s">
        <v>73</v>
      </c>
      <c r="M63" s="470" t="s">
        <v>73</v>
      </c>
      <c r="N63" s="470">
        <f t="shared" si="7"/>
        <v>1121928.0861159102</v>
      </c>
      <c r="O63" s="470">
        <f t="shared" si="1"/>
        <v>196337.41507028427</v>
      </c>
      <c r="P63" s="472">
        <f t="shared" si="2"/>
        <v>1318265.5011861944</v>
      </c>
      <c r="R63" s="62"/>
      <c r="S63" s="57">
        <f t="shared" si="9"/>
        <v>180796.12979271996</v>
      </c>
      <c r="T63" s="57">
        <f t="shared" si="10"/>
        <v>464514.19653363642</v>
      </c>
      <c r="X63" s="641"/>
      <c r="AD63" s="130"/>
    </row>
    <row r="64" spans="2:30" ht="14.25" x14ac:dyDescent="0.2">
      <c r="B64" s="406">
        <f t="shared" si="0"/>
        <v>60</v>
      </c>
      <c r="C64" s="470" t="s">
        <v>73</v>
      </c>
      <c r="D64" s="470" t="s">
        <v>73</v>
      </c>
      <c r="E64" s="471" t="s">
        <v>73</v>
      </c>
      <c r="F64" s="470" t="s">
        <v>73</v>
      </c>
      <c r="G64" s="470" t="s">
        <v>73</v>
      </c>
      <c r="H64" s="470">
        <f t="shared" si="11"/>
        <v>414298.27808000008</v>
      </c>
      <c r="I64" s="471">
        <f>'Table 12 Labor Costs'!$C$41+'Table 12 Labor Costs'!$L$12</f>
        <v>464514.19653363642</v>
      </c>
      <c r="J64" s="470">
        <f>'Table 13 Power Costs'!D87</f>
        <v>180703.98910332914</v>
      </c>
      <c r="K64" s="470">
        <f>(('Table 14 Reagent Cost'!$F$8)*('Table 6 WTP Flow Balance'!F59/'Table 6 WTP Flow Balance'!$F$5))+'Table 15 Analytics Cost'!F63</f>
        <v>62288.826124186329</v>
      </c>
      <c r="L64" s="470" t="s">
        <v>73</v>
      </c>
      <c r="M64" s="470" t="s">
        <v>73</v>
      </c>
      <c r="N64" s="470">
        <f t="shared" si="7"/>
        <v>1121805.289841152</v>
      </c>
      <c r="O64" s="470">
        <f t="shared" si="1"/>
        <v>196315.92572220159</v>
      </c>
      <c r="P64" s="472">
        <f t="shared" si="2"/>
        <v>1318121.2155633536</v>
      </c>
      <c r="R64" s="62"/>
      <c r="S64" s="57">
        <f t="shared" si="9"/>
        <v>180703.98910332914</v>
      </c>
      <c r="T64" s="57">
        <f t="shared" si="10"/>
        <v>464514.19653363642</v>
      </c>
      <c r="X64" s="641"/>
      <c r="AD64" s="130"/>
    </row>
    <row r="65" spans="2:30" ht="14.25" x14ac:dyDescent="0.2">
      <c r="B65" s="406">
        <f t="shared" si="0"/>
        <v>61</v>
      </c>
      <c r="C65" s="470" t="s">
        <v>73</v>
      </c>
      <c r="D65" s="470" t="s">
        <v>73</v>
      </c>
      <c r="E65" s="471" t="s">
        <v>73</v>
      </c>
      <c r="F65" s="470" t="s">
        <v>73</v>
      </c>
      <c r="G65" s="470" t="s">
        <v>73</v>
      </c>
      <c r="H65" s="470">
        <f t="shared" si="11"/>
        <v>414298.27808000008</v>
      </c>
      <c r="I65" s="471">
        <f>'Table 12 Labor Costs'!$C$41+'Table 12 Labor Costs'!$L$12</f>
        <v>464514.19653363642</v>
      </c>
      <c r="J65" s="470">
        <f>'Table 13 Power Costs'!D88</f>
        <v>180613.29982661712</v>
      </c>
      <c r="K65" s="470">
        <f>(('Table 14 Reagent Cost'!$F$8)*('Table 6 WTP Flow Balance'!F60/'Table 6 WTP Flow Balance'!$F$5))+'Table 15 Analytics Cost'!F64</f>
        <v>62258.170538818689</v>
      </c>
      <c r="L65" s="470" t="s">
        <v>73</v>
      </c>
      <c r="M65" s="470" t="s">
        <v>73</v>
      </c>
      <c r="N65" s="470">
        <f t="shared" si="7"/>
        <v>1121683.9449790723</v>
      </c>
      <c r="O65" s="470">
        <f t="shared" si="1"/>
        <v>196294.69037133764</v>
      </c>
      <c r="P65" s="472">
        <f t="shared" si="2"/>
        <v>1317978.6353504099</v>
      </c>
      <c r="R65" s="62"/>
      <c r="S65" s="57">
        <f t="shared" si="9"/>
        <v>180613.29982661712</v>
      </c>
      <c r="T65" s="57">
        <f t="shared" si="10"/>
        <v>464514.19653363642</v>
      </c>
      <c r="X65" s="641"/>
      <c r="AD65" s="130"/>
    </row>
    <row r="66" spans="2:30" ht="14.25" x14ac:dyDescent="0.2">
      <c r="B66" s="406">
        <f t="shared" si="0"/>
        <v>62</v>
      </c>
      <c r="C66" s="470" t="s">
        <v>73</v>
      </c>
      <c r="D66" s="470" t="s">
        <v>73</v>
      </c>
      <c r="E66" s="471" t="s">
        <v>73</v>
      </c>
      <c r="F66" s="470" t="s">
        <v>73</v>
      </c>
      <c r="G66" s="470" t="s">
        <v>73</v>
      </c>
      <c r="H66" s="470">
        <f t="shared" si="11"/>
        <v>414298.27808000008</v>
      </c>
      <c r="I66" s="471">
        <f>'Table 12 Labor Costs'!$C$41+'Table 12 Labor Costs'!$L$12</f>
        <v>464514.19653363642</v>
      </c>
      <c r="J66" s="470">
        <f>'Table 13 Power Costs'!D89</f>
        <v>180001.61576221316</v>
      </c>
      <c r="K66" s="470">
        <f>(('Table 14 Reagent Cost'!$F$8)*('Table 6 WTP Flow Balance'!F61/'Table 6 WTP Flow Balance'!$F$5))+'Table 15 Analytics Cost'!F65</f>
        <v>62074.237026612827</v>
      </c>
      <c r="L66" s="470" t="s">
        <v>73</v>
      </c>
      <c r="M66" s="470" t="s">
        <v>73</v>
      </c>
      <c r="N66" s="470">
        <f t="shared" si="7"/>
        <v>1120888.3274024625</v>
      </c>
      <c r="O66" s="470">
        <f t="shared" si="1"/>
        <v>196155.45729543091</v>
      </c>
      <c r="P66" s="472">
        <f t="shared" si="2"/>
        <v>1317043.7846978933</v>
      </c>
      <c r="R66" s="62"/>
      <c r="S66" s="57">
        <f t="shared" si="9"/>
        <v>180001.61576221316</v>
      </c>
      <c r="T66" s="57">
        <f t="shared" si="10"/>
        <v>464514.19653363642</v>
      </c>
      <c r="X66" s="641"/>
      <c r="AD66" s="130"/>
    </row>
    <row r="67" spans="2:30" ht="17.25" customHeight="1" thickBot="1" x14ac:dyDescent="0.25">
      <c r="B67" s="407" t="s">
        <v>75</v>
      </c>
      <c r="C67" s="473" t="s">
        <v>73</v>
      </c>
      <c r="D67" s="473" t="s">
        <v>73</v>
      </c>
      <c r="E67" s="474" t="s">
        <v>73</v>
      </c>
      <c r="F67" s="473" t="s">
        <v>73</v>
      </c>
      <c r="G67" s="473" t="s">
        <v>73</v>
      </c>
      <c r="H67" s="473">
        <f t="shared" si="11"/>
        <v>414298.27808000008</v>
      </c>
      <c r="I67" s="471">
        <f>'Table 12 Labor Costs'!$C$41+'Table 12 Labor Costs'!$L$12</f>
        <v>464514.19653363642</v>
      </c>
      <c r="J67" s="473">
        <f>'Table 13 Power Costs'!D90</f>
        <v>179677.29647283992</v>
      </c>
      <c r="K67" s="473">
        <f>(('Table 14 Reagent Cost'!$F$8)*('Table 6 WTP Flow Balance'!F62/'Table 6 WTP Flow Balance'!$F$5))+'Table 15 Analytics Cost'!F66</f>
        <v>61982.2702705099</v>
      </c>
      <c r="L67" s="473" t="s">
        <v>73</v>
      </c>
      <c r="M67" s="473" t="s">
        <v>73</v>
      </c>
      <c r="N67" s="473">
        <f>H67+I67+J67+K67</f>
        <v>1120472.0413569864</v>
      </c>
      <c r="O67" s="473">
        <f t="shared" si="1"/>
        <v>196082.60723747261</v>
      </c>
      <c r="P67" s="475">
        <f>SUM(L67:O67)</f>
        <v>1316554.6485944591</v>
      </c>
      <c r="R67" s="62"/>
      <c r="S67" s="57">
        <f t="shared" si="9"/>
        <v>179677.29647283992</v>
      </c>
      <c r="T67" s="57">
        <f t="shared" si="10"/>
        <v>464514.19653363642</v>
      </c>
      <c r="X67" s="641"/>
      <c r="AD67" s="130"/>
    </row>
    <row r="68" spans="2:30" ht="14.25" x14ac:dyDescent="0.2">
      <c r="B68" s="408">
        <f>B66+2</f>
        <v>64</v>
      </c>
      <c r="C68" s="476" t="s">
        <v>73</v>
      </c>
      <c r="D68" s="476" t="s">
        <v>73</v>
      </c>
      <c r="E68" s="477" t="s">
        <v>73</v>
      </c>
      <c r="F68" s="476" t="s">
        <v>73</v>
      </c>
      <c r="G68" s="476" t="s">
        <v>73</v>
      </c>
      <c r="H68" s="476">
        <f t="shared" si="11"/>
        <v>414298.27808000008</v>
      </c>
      <c r="I68" s="471">
        <f>'Table 12 Labor Costs'!$C$41+'Table 12 Labor Costs'!$L$12</f>
        <v>464514.19653363642</v>
      </c>
      <c r="J68" s="476">
        <f t="shared" ref="J68:J104" si="12">J67</f>
        <v>179677.29647283992</v>
      </c>
      <c r="K68" s="476">
        <f>(('Table 14 Reagent Cost'!$F$8)*('Table 6 WTP Flow Balance'!F63/'Table 6 WTP Flow Balance'!$F$5))+'Table 15 Analytics Cost'!F67</f>
        <v>61982.2702705099</v>
      </c>
      <c r="L68" s="476" t="s">
        <v>73</v>
      </c>
      <c r="M68" s="476" t="s">
        <v>73</v>
      </c>
      <c r="N68" s="476">
        <f t="shared" si="7"/>
        <v>1120472.0413569864</v>
      </c>
      <c r="O68" s="476">
        <f t="shared" si="1"/>
        <v>196082.60723747261</v>
      </c>
      <c r="P68" s="478">
        <f t="shared" si="2"/>
        <v>1316554.6485944591</v>
      </c>
      <c r="R68" s="62"/>
      <c r="S68" s="57">
        <f t="shared" si="9"/>
        <v>179677.29647283992</v>
      </c>
      <c r="X68" s="641"/>
    </row>
    <row r="69" spans="2:30" ht="14.25" x14ac:dyDescent="0.2">
      <c r="B69" s="406">
        <f t="shared" si="0"/>
        <v>65</v>
      </c>
      <c r="C69" s="470" t="s">
        <v>73</v>
      </c>
      <c r="D69" s="470" t="s">
        <v>73</v>
      </c>
      <c r="E69" s="471" t="s">
        <v>73</v>
      </c>
      <c r="F69" s="470" t="s">
        <v>73</v>
      </c>
      <c r="G69" s="470" t="s">
        <v>73</v>
      </c>
      <c r="H69" s="470">
        <f t="shared" si="11"/>
        <v>414298.27808000008</v>
      </c>
      <c r="I69" s="471">
        <f>'Table 12 Labor Costs'!$C$41+'Table 12 Labor Costs'!$L$12</f>
        <v>464514.19653363642</v>
      </c>
      <c r="J69" s="470">
        <f t="shared" si="12"/>
        <v>179677.29647283992</v>
      </c>
      <c r="K69" s="470">
        <f>(('Table 14 Reagent Cost'!$F$8)*('Table 6 WTP Flow Balance'!F64/'Table 6 WTP Flow Balance'!$F$5))+'Table 15 Analytics Cost'!F68</f>
        <v>61982.2702705099</v>
      </c>
      <c r="L69" s="470" t="s">
        <v>73</v>
      </c>
      <c r="M69" s="470" t="s">
        <v>73</v>
      </c>
      <c r="N69" s="470">
        <f t="shared" si="7"/>
        <v>1120472.0413569864</v>
      </c>
      <c r="O69" s="470">
        <f t="shared" si="1"/>
        <v>196082.60723747261</v>
      </c>
      <c r="P69" s="472">
        <f t="shared" si="2"/>
        <v>1316554.6485944591</v>
      </c>
      <c r="R69" s="62"/>
      <c r="S69" s="57">
        <f t="shared" si="9"/>
        <v>179677.29647283992</v>
      </c>
      <c r="X69" s="641"/>
    </row>
    <row r="70" spans="2:30" ht="14.25" x14ac:dyDescent="0.2">
      <c r="B70" s="406">
        <f t="shared" ref="B70:B104" si="13">B69+1</f>
        <v>66</v>
      </c>
      <c r="C70" s="470" t="s">
        <v>73</v>
      </c>
      <c r="D70" s="470" t="s">
        <v>73</v>
      </c>
      <c r="E70" s="471" t="s">
        <v>73</v>
      </c>
      <c r="F70" s="470" t="s">
        <v>73</v>
      </c>
      <c r="G70" s="470" t="s">
        <v>73</v>
      </c>
      <c r="H70" s="470">
        <f t="shared" si="11"/>
        <v>414298.27808000008</v>
      </c>
      <c r="I70" s="471">
        <f>'Table 12 Labor Costs'!$C$41+'Table 12 Labor Costs'!$L$12</f>
        <v>464514.19653363642</v>
      </c>
      <c r="J70" s="470">
        <f t="shared" si="12"/>
        <v>179677.29647283992</v>
      </c>
      <c r="K70" s="470">
        <f>(('Table 14 Reagent Cost'!$F$8)*('Table 6 WTP Flow Balance'!F65/'Table 6 WTP Flow Balance'!$F$5))+'Table 15 Analytics Cost'!F69</f>
        <v>61982.2702705099</v>
      </c>
      <c r="L70" s="470" t="s">
        <v>73</v>
      </c>
      <c r="M70" s="470" t="s">
        <v>73</v>
      </c>
      <c r="N70" s="470">
        <f t="shared" si="7"/>
        <v>1120472.0413569864</v>
      </c>
      <c r="O70" s="470">
        <f t="shared" ref="O70:O104" si="14">N70*0.175</f>
        <v>196082.60723747261</v>
      </c>
      <c r="P70" s="472">
        <f t="shared" ref="P70:P104" si="15">SUM(L70:O70)</f>
        <v>1316554.6485944591</v>
      </c>
      <c r="R70" s="62"/>
      <c r="S70" s="57">
        <f t="shared" si="9"/>
        <v>179677.29647283992</v>
      </c>
      <c r="X70" s="641"/>
    </row>
    <row r="71" spans="2:30" ht="14.25" x14ac:dyDescent="0.2">
      <c r="B71" s="406">
        <f t="shared" si="13"/>
        <v>67</v>
      </c>
      <c r="C71" s="470" t="s">
        <v>73</v>
      </c>
      <c r="D71" s="470" t="s">
        <v>73</v>
      </c>
      <c r="E71" s="471" t="s">
        <v>73</v>
      </c>
      <c r="F71" s="470" t="s">
        <v>73</v>
      </c>
      <c r="G71" s="470" t="s">
        <v>73</v>
      </c>
      <c r="H71" s="470">
        <f t="shared" si="11"/>
        <v>414298.27808000008</v>
      </c>
      <c r="I71" s="471">
        <f>'Table 12 Labor Costs'!$C$41+'Table 12 Labor Costs'!$L$12</f>
        <v>464514.19653363642</v>
      </c>
      <c r="J71" s="470">
        <f t="shared" si="12"/>
        <v>179677.29647283992</v>
      </c>
      <c r="K71" s="470">
        <f>(('Table 14 Reagent Cost'!$F$8)*('Table 6 WTP Flow Balance'!F66/'Table 6 WTP Flow Balance'!$F$5))+'Table 15 Analytics Cost'!F70</f>
        <v>61982.2702705099</v>
      </c>
      <c r="L71" s="470" t="s">
        <v>73</v>
      </c>
      <c r="M71" s="470" t="s">
        <v>73</v>
      </c>
      <c r="N71" s="470">
        <f t="shared" si="7"/>
        <v>1120472.0413569864</v>
      </c>
      <c r="O71" s="470">
        <f t="shared" si="14"/>
        <v>196082.60723747261</v>
      </c>
      <c r="P71" s="472">
        <f t="shared" si="15"/>
        <v>1316554.6485944591</v>
      </c>
      <c r="R71" s="62"/>
      <c r="S71" s="57">
        <f t="shared" si="9"/>
        <v>179677.29647283992</v>
      </c>
      <c r="X71" s="641"/>
    </row>
    <row r="72" spans="2:30" ht="14.25" x14ac:dyDescent="0.2">
      <c r="B72" s="406">
        <f t="shared" si="13"/>
        <v>68</v>
      </c>
      <c r="C72" s="470" t="s">
        <v>73</v>
      </c>
      <c r="D72" s="470" t="s">
        <v>73</v>
      </c>
      <c r="E72" s="471" t="s">
        <v>73</v>
      </c>
      <c r="F72" s="470" t="s">
        <v>73</v>
      </c>
      <c r="G72" s="470" t="s">
        <v>73</v>
      </c>
      <c r="H72" s="470">
        <f t="shared" si="11"/>
        <v>414298.27808000008</v>
      </c>
      <c r="I72" s="471">
        <f>'Table 12 Labor Costs'!$C$41+'Table 12 Labor Costs'!$L$12</f>
        <v>464514.19653363642</v>
      </c>
      <c r="J72" s="470">
        <f t="shared" si="12"/>
        <v>179677.29647283992</v>
      </c>
      <c r="K72" s="470">
        <f>(('Table 14 Reagent Cost'!$F$8)*('Table 6 WTP Flow Balance'!F67/'Table 6 WTP Flow Balance'!$F$5))+'Table 15 Analytics Cost'!F71</f>
        <v>61982.2702705099</v>
      </c>
      <c r="L72" s="470" t="s">
        <v>73</v>
      </c>
      <c r="M72" s="470" t="s">
        <v>73</v>
      </c>
      <c r="N72" s="470">
        <f t="shared" si="7"/>
        <v>1120472.0413569864</v>
      </c>
      <c r="O72" s="470">
        <f t="shared" si="14"/>
        <v>196082.60723747261</v>
      </c>
      <c r="P72" s="472">
        <f t="shared" si="15"/>
        <v>1316554.6485944591</v>
      </c>
      <c r="R72" s="62"/>
      <c r="S72" s="57">
        <f t="shared" si="9"/>
        <v>179677.29647283992</v>
      </c>
      <c r="X72" s="641"/>
    </row>
    <row r="73" spans="2:30" ht="14.25" x14ac:dyDescent="0.2">
      <c r="B73" s="406">
        <f t="shared" si="13"/>
        <v>69</v>
      </c>
      <c r="C73" s="470" t="s">
        <v>73</v>
      </c>
      <c r="D73" s="470" t="s">
        <v>73</v>
      </c>
      <c r="E73" s="471" t="s">
        <v>73</v>
      </c>
      <c r="F73" s="470" t="s">
        <v>73</v>
      </c>
      <c r="G73" s="470" t="s">
        <v>73</v>
      </c>
      <c r="H73" s="470">
        <f t="shared" si="11"/>
        <v>414298.27808000008</v>
      </c>
      <c r="I73" s="471">
        <f>'Table 12 Labor Costs'!$C$41+'Table 12 Labor Costs'!$L$12</f>
        <v>464514.19653363642</v>
      </c>
      <c r="J73" s="470">
        <f t="shared" si="12"/>
        <v>179677.29647283992</v>
      </c>
      <c r="K73" s="470">
        <f>(('Table 14 Reagent Cost'!$F$8)*('Table 6 WTP Flow Balance'!F68/'Table 6 WTP Flow Balance'!$F$5))+'Table 15 Analytics Cost'!F72</f>
        <v>61982.2702705099</v>
      </c>
      <c r="L73" s="470" t="s">
        <v>73</v>
      </c>
      <c r="M73" s="470" t="s">
        <v>73</v>
      </c>
      <c r="N73" s="470">
        <f t="shared" si="7"/>
        <v>1120472.0413569864</v>
      </c>
      <c r="O73" s="470">
        <f t="shared" si="14"/>
        <v>196082.60723747261</v>
      </c>
      <c r="P73" s="472">
        <f t="shared" si="15"/>
        <v>1316554.6485944591</v>
      </c>
      <c r="R73" s="62"/>
      <c r="S73" s="57">
        <f t="shared" si="9"/>
        <v>179677.29647283992</v>
      </c>
      <c r="X73" s="641"/>
    </row>
    <row r="74" spans="2:30" ht="14.25" x14ac:dyDescent="0.2">
      <c r="B74" s="406">
        <f t="shared" si="13"/>
        <v>70</v>
      </c>
      <c r="C74" s="470" t="s">
        <v>73</v>
      </c>
      <c r="D74" s="470" t="s">
        <v>73</v>
      </c>
      <c r="E74" s="471" t="s">
        <v>73</v>
      </c>
      <c r="F74" s="470" t="s">
        <v>73</v>
      </c>
      <c r="G74" s="470" t="s">
        <v>73</v>
      </c>
      <c r="H74" s="470">
        <f t="shared" si="11"/>
        <v>414298.27808000008</v>
      </c>
      <c r="I74" s="471">
        <f>'Table 12 Labor Costs'!$C$41+'Table 12 Labor Costs'!$L$12</f>
        <v>464514.19653363642</v>
      </c>
      <c r="J74" s="470">
        <f t="shared" si="12"/>
        <v>179677.29647283992</v>
      </c>
      <c r="K74" s="470">
        <f>(('Table 14 Reagent Cost'!$F$8)*('Table 6 WTP Flow Balance'!F69/'Table 6 WTP Flow Balance'!$F$5))+'Table 15 Analytics Cost'!F73</f>
        <v>61982.2702705099</v>
      </c>
      <c r="L74" s="470" t="s">
        <v>73</v>
      </c>
      <c r="M74" s="470" t="s">
        <v>73</v>
      </c>
      <c r="N74" s="470">
        <f t="shared" si="7"/>
        <v>1120472.0413569864</v>
      </c>
      <c r="O74" s="470">
        <f t="shared" si="14"/>
        <v>196082.60723747261</v>
      </c>
      <c r="P74" s="472">
        <f t="shared" si="15"/>
        <v>1316554.6485944591</v>
      </c>
      <c r="R74" s="62"/>
      <c r="S74" s="57">
        <f t="shared" ref="S74:S104" si="16">J74</f>
        <v>179677.29647283992</v>
      </c>
      <c r="X74" s="641"/>
    </row>
    <row r="75" spans="2:30" ht="14.25" x14ac:dyDescent="0.2">
      <c r="B75" s="406">
        <f t="shared" si="13"/>
        <v>71</v>
      </c>
      <c r="C75" s="470" t="s">
        <v>73</v>
      </c>
      <c r="D75" s="470" t="s">
        <v>73</v>
      </c>
      <c r="E75" s="471" t="s">
        <v>73</v>
      </c>
      <c r="F75" s="470" t="s">
        <v>73</v>
      </c>
      <c r="G75" s="470" t="s">
        <v>73</v>
      </c>
      <c r="H75" s="470">
        <f t="shared" si="11"/>
        <v>414298.27808000008</v>
      </c>
      <c r="I75" s="471">
        <f>'Table 12 Labor Costs'!$C$41+'Table 12 Labor Costs'!$L$12</f>
        <v>464514.19653363642</v>
      </c>
      <c r="J75" s="470">
        <f t="shared" si="12"/>
        <v>179677.29647283992</v>
      </c>
      <c r="K75" s="470">
        <f>(('Table 14 Reagent Cost'!$F$8)*('Table 6 WTP Flow Balance'!F70/'Table 6 WTP Flow Balance'!$F$5))+'Table 15 Analytics Cost'!F74</f>
        <v>61982.2702705099</v>
      </c>
      <c r="L75" s="470" t="s">
        <v>73</v>
      </c>
      <c r="M75" s="470" t="s">
        <v>73</v>
      </c>
      <c r="N75" s="470">
        <f t="shared" ref="N75:N104" si="17">H75+I75+J75+K75</f>
        <v>1120472.0413569864</v>
      </c>
      <c r="O75" s="470">
        <f t="shared" si="14"/>
        <v>196082.60723747261</v>
      </c>
      <c r="P75" s="472">
        <f t="shared" si="15"/>
        <v>1316554.6485944591</v>
      </c>
      <c r="R75" s="62"/>
      <c r="S75" s="57">
        <f t="shared" si="16"/>
        <v>179677.29647283992</v>
      </c>
      <c r="X75" s="641"/>
    </row>
    <row r="76" spans="2:30" ht="14.25" x14ac:dyDescent="0.2">
      <c r="B76" s="406">
        <f t="shared" si="13"/>
        <v>72</v>
      </c>
      <c r="C76" s="470" t="s">
        <v>73</v>
      </c>
      <c r="D76" s="470" t="s">
        <v>73</v>
      </c>
      <c r="E76" s="471" t="s">
        <v>73</v>
      </c>
      <c r="F76" s="470" t="s">
        <v>73</v>
      </c>
      <c r="G76" s="470" t="s">
        <v>73</v>
      </c>
      <c r="H76" s="470">
        <f t="shared" si="11"/>
        <v>414298.27808000008</v>
      </c>
      <c r="I76" s="471">
        <f>'Table 12 Labor Costs'!$C$41+'Table 12 Labor Costs'!$L$12</f>
        <v>464514.19653363642</v>
      </c>
      <c r="J76" s="470">
        <f t="shared" si="12"/>
        <v>179677.29647283992</v>
      </c>
      <c r="K76" s="470">
        <f>(('Table 14 Reagent Cost'!$F$8)*('Table 6 WTP Flow Balance'!F71/'Table 6 WTP Flow Balance'!$F$5))+'Table 15 Analytics Cost'!F75</f>
        <v>61982.2702705099</v>
      </c>
      <c r="L76" s="470" t="s">
        <v>73</v>
      </c>
      <c r="M76" s="470" t="s">
        <v>73</v>
      </c>
      <c r="N76" s="470">
        <f t="shared" si="17"/>
        <v>1120472.0413569864</v>
      </c>
      <c r="O76" s="470">
        <f t="shared" si="14"/>
        <v>196082.60723747261</v>
      </c>
      <c r="P76" s="472">
        <f t="shared" si="15"/>
        <v>1316554.6485944591</v>
      </c>
      <c r="R76" s="62"/>
      <c r="S76" s="57">
        <f t="shared" si="16"/>
        <v>179677.29647283992</v>
      </c>
      <c r="X76" s="641"/>
    </row>
    <row r="77" spans="2:30" ht="14.25" x14ac:dyDescent="0.2">
      <c r="B77" s="406">
        <f t="shared" si="13"/>
        <v>73</v>
      </c>
      <c r="C77" s="470" t="s">
        <v>73</v>
      </c>
      <c r="D77" s="470" t="s">
        <v>73</v>
      </c>
      <c r="E77" s="471" t="s">
        <v>73</v>
      </c>
      <c r="F77" s="470" t="s">
        <v>73</v>
      </c>
      <c r="G77" s="470" t="s">
        <v>73</v>
      </c>
      <c r="H77" s="470">
        <f t="shared" si="11"/>
        <v>414298.27808000008</v>
      </c>
      <c r="I77" s="471">
        <f>'Table 12 Labor Costs'!$C$41+'Table 12 Labor Costs'!$L$12</f>
        <v>464514.19653363642</v>
      </c>
      <c r="J77" s="470">
        <f t="shared" si="12"/>
        <v>179677.29647283992</v>
      </c>
      <c r="K77" s="470">
        <f>(('Table 14 Reagent Cost'!$F$8)*('Table 6 WTP Flow Balance'!F72/'Table 6 WTP Flow Balance'!$F$5))+'Table 15 Analytics Cost'!F76</f>
        <v>61982.2702705099</v>
      </c>
      <c r="L77" s="470" t="s">
        <v>73</v>
      </c>
      <c r="M77" s="470" t="s">
        <v>73</v>
      </c>
      <c r="N77" s="470">
        <f t="shared" si="17"/>
        <v>1120472.0413569864</v>
      </c>
      <c r="O77" s="470">
        <f t="shared" si="14"/>
        <v>196082.60723747261</v>
      </c>
      <c r="P77" s="472">
        <f t="shared" si="15"/>
        <v>1316554.6485944591</v>
      </c>
      <c r="R77" s="62"/>
      <c r="S77" s="57">
        <f t="shared" si="16"/>
        <v>179677.29647283992</v>
      </c>
      <c r="X77" s="641"/>
    </row>
    <row r="78" spans="2:30" ht="14.25" x14ac:dyDescent="0.2">
      <c r="B78" s="406">
        <f t="shared" si="13"/>
        <v>74</v>
      </c>
      <c r="C78" s="470" t="s">
        <v>73</v>
      </c>
      <c r="D78" s="470" t="s">
        <v>73</v>
      </c>
      <c r="E78" s="471" t="s">
        <v>73</v>
      </c>
      <c r="F78" s="470" t="s">
        <v>73</v>
      </c>
      <c r="G78" s="470" t="s">
        <v>73</v>
      </c>
      <c r="H78" s="470">
        <f t="shared" si="11"/>
        <v>414298.27808000008</v>
      </c>
      <c r="I78" s="471">
        <f>'Table 12 Labor Costs'!$C$41+'Table 12 Labor Costs'!$L$12</f>
        <v>464514.19653363642</v>
      </c>
      <c r="J78" s="470">
        <f t="shared" si="12"/>
        <v>179677.29647283992</v>
      </c>
      <c r="K78" s="470">
        <f>(('Table 14 Reagent Cost'!$F$8)*('Table 6 WTP Flow Balance'!F73/'Table 6 WTP Flow Balance'!$F$5))+'Table 15 Analytics Cost'!F77</f>
        <v>61982.2702705099</v>
      </c>
      <c r="L78" s="470" t="s">
        <v>73</v>
      </c>
      <c r="M78" s="470" t="s">
        <v>73</v>
      </c>
      <c r="N78" s="470">
        <f t="shared" si="17"/>
        <v>1120472.0413569864</v>
      </c>
      <c r="O78" s="470">
        <f t="shared" si="14"/>
        <v>196082.60723747261</v>
      </c>
      <c r="P78" s="472">
        <f t="shared" si="15"/>
        <v>1316554.6485944591</v>
      </c>
      <c r="R78" s="62"/>
      <c r="S78" s="57">
        <f t="shared" si="16"/>
        <v>179677.29647283992</v>
      </c>
      <c r="X78" s="641"/>
    </row>
    <row r="79" spans="2:30" ht="14.25" x14ac:dyDescent="0.2">
      <c r="B79" s="406">
        <f t="shared" si="13"/>
        <v>75</v>
      </c>
      <c r="C79" s="470" t="s">
        <v>73</v>
      </c>
      <c r="D79" s="470" t="s">
        <v>73</v>
      </c>
      <c r="E79" s="471" t="s">
        <v>73</v>
      </c>
      <c r="F79" s="470" t="s">
        <v>73</v>
      </c>
      <c r="G79" s="470" t="s">
        <v>73</v>
      </c>
      <c r="H79" s="470">
        <f t="shared" si="11"/>
        <v>414298.27808000008</v>
      </c>
      <c r="I79" s="471">
        <f>'Table 12 Labor Costs'!$C$41+'Table 12 Labor Costs'!$L$12</f>
        <v>464514.19653363642</v>
      </c>
      <c r="J79" s="470">
        <f t="shared" si="12"/>
        <v>179677.29647283992</v>
      </c>
      <c r="K79" s="470">
        <f>(('Table 14 Reagent Cost'!$F$8)*('Table 6 WTP Flow Balance'!F74/'Table 6 WTP Flow Balance'!$F$5))+'Table 15 Analytics Cost'!F78</f>
        <v>61982.2702705099</v>
      </c>
      <c r="L79" s="470" t="s">
        <v>73</v>
      </c>
      <c r="M79" s="470" t="s">
        <v>73</v>
      </c>
      <c r="N79" s="470">
        <f t="shared" si="17"/>
        <v>1120472.0413569864</v>
      </c>
      <c r="O79" s="470">
        <f t="shared" si="14"/>
        <v>196082.60723747261</v>
      </c>
      <c r="P79" s="472">
        <f t="shared" si="15"/>
        <v>1316554.6485944591</v>
      </c>
      <c r="R79" s="62"/>
      <c r="S79" s="57">
        <f t="shared" si="16"/>
        <v>179677.29647283992</v>
      </c>
      <c r="X79" s="641"/>
    </row>
    <row r="80" spans="2:30" ht="14.25" x14ac:dyDescent="0.2">
      <c r="B80" s="406">
        <f t="shared" si="13"/>
        <v>76</v>
      </c>
      <c r="C80" s="470" t="s">
        <v>73</v>
      </c>
      <c r="D80" s="470" t="s">
        <v>73</v>
      </c>
      <c r="E80" s="471" t="s">
        <v>73</v>
      </c>
      <c r="F80" s="470" t="s">
        <v>73</v>
      </c>
      <c r="G80" s="470" t="s">
        <v>73</v>
      </c>
      <c r="H80" s="470">
        <f t="shared" si="11"/>
        <v>414298.27808000008</v>
      </c>
      <c r="I80" s="471">
        <f>'Table 12 Labor Costs'!$C$41+'Table 12 Labor Costs'!$L$12</f>
        <v>464514.19653363642</v>
      </c>
      <c r="J80" s="470">
        <f t="shared" si="12"/>
        <v>179677.29647283992</v>
      </c>
      <c r="K80" s="470">
        <f>(('Table 14 Reagent Cost'!$F$8)*('Table 6 WTP Flow Balance'!F75/'Table 6 WTP Flow Balance'!$F$5))+'Table 15 Analytics Cost'!F79</f>
        <v>61982.2702705099</v>
      </c>
      <c r="L80" s="470" t="s">
        <v>73</v>
      </c>
      <c r="M80" s="470" t="s">
        <v>73</v>
      </c>
      <c r="N80" s="470">
        <f t="shared" si="17"/>
        <v>1120472.0413569864</v>
      </c>
      <c r="O80" s="470">
        <f t="shared" si="14"/>
        <v>196082.60723747261</v>
      </c>
      <c r="P80" s="472">
        <f t="shared" si="15"/>
        <v>1316554.6485944591</v>
      </c>
      <c r="R80" s="62"/>
      <c r="S80" s="57">
        <f t="shared" si="16"/>
        <v>179677.29647283992</v>
      </c>
      <c r="X80" s="641"/>
    </row>
    <row r="81" spans="2:24" ht="14.25" x14ac:dyDescent="0.2">
      <c r="B81" s="406">
        <f t="shared" si="13"/>
        <v>77</v>
      </c>
      <c r="C81" s="470" t="s">
        <v>73</v>
      </c>
      <c r="D81" s="470" t="s">
        <v>73</v>
      </c>
      <c r="E81" s="471" t="s">
        <v>73</v>
      </c>
      <c r="F81" s="470" t="s">
        <v>73</v>
      </c>
      <c r="G81" s="470" t="s">
        <v>73</v>
      </c>
      <c r="H81" s="470">
        <f t="shared" si="11"/>
        <v>414298.27808000008</v>
      </c>
      <c r="I81" s="471">
        <f>'Table 12 Labor Costs'!$C$41+'Table 12 Labor Costs'!$L$12</f>
        <v>464514.19653363642</v>
      </c>
      <c r="J81" s="470">
        <f t="shared" si="12"/>
        <v>179677.29647283992</v>
      </c>
      <c r="K81" s="470">
        <f>(('Table 14 Reagent Cost'!$F$8)*('Table 6 WTP Flow Balance'!F76/'Table 6 WTP Flow Balance'!$F$5))+'Table 15 Analytics Cost'!F80</f>
        <v>61982.2702705099</v>
      </c>
      <c r="L81" s="470" t="s">
        <v>73</v>
      </c>
      <c r="M81" s="470" t="s">
        <v>73</v>
      </c>
      <c r="N81" s="470">
        <f t="shared" si="17"/>
        <v>1120472.0413569864</v>
      </c>
      <c r="O81" s="470">
        <f t="shared" si="14"/>
        <v>196082.60723747261</v>
      </c>
      <c r="P81" s="472">
        <f t="shared" si="15"/>
        <v>1316554.6485944591</v>
      </c>
      <c r="R81" s="62"/>
      <c r="S81" s="57">
        <f t="shared" si="16"/>
        <v>179677.29647283992</v>
      </c>
      <c r="X81" s="641"/>
    </row>
    <row r="82" spans="2:24" ht="14.25" x14ac:dyDescent="0.2">
      <c r="B82" s="406">
        <f t="shared" si="13"/>
        <v>78</v>
      </c>
      <c r="C82" s="470" t="s">
        <v>73</v>
      </c>
      <c r="D82" s="470" t="s">
        <v>73</v>
      </c>
      <c r="E82" s="471" t="s">
        <v>73</v>
      </c>
      <c r="F82" s="470" t="s">
        <v>73</v>
      </c>
      <c r="G82" s="470" t="s">
        <v>73</v>
      </c>
      <c r="H82" s="470">
        <f t="shared" si="11"/>
        <v>414298.27808000008</v>
      </c>
      <c r="I82" s="471">
        <f>'Table 12 Labor Costs'!$C$41+'Table 12 Labor Costs'!$L$12</f>
        <v>464514.19653363642</v>
      </c>
      <c r="J82" s="470">
        <f t="shared" si="12"/>
        <v>179677.29647283992</v>
      </c>
      <c r="K82" s="470">
        <f>(('Table 14 Reagent Cost'!$F$8)*('Table 6 WTP Flow Balance'!F77/'Table 6 WTP Flow Balance'!$F$5))+'Table 15 Analytics Cost'!F81</f>
        <v>61982.2702705099</v>
      </c>
      <c r="L82" s="470" t="s">
        <v>73</v>
      </c>
      <c r="M82" s="470" t="s">
        <v>73</v>
      </c>
      <c r="N82" s="470">
        <f t="shared" si="17"/>
        <v>1120472.0413569864</v>
      </c>
      <c r="O82" s="470">
        <f t="shared" si="14"/>
        <v>196082.60723747261</v>
      </c>
      <c r="P82" s="472">
        <f t="shared" si="15"/>
        <v>1316554.6485944591</v>
      </c>
      <c r="R82" s="62"/>
      <c r="S82" s="57">
        <f t="shared" si="16"/>
        <v>179677.29647283992</v>
      </c>
      <c r="X82" s="641"/>
    </row>
    <row r="83" spans="2:24" ht="14.25" x14ac:dyDescent="0.2">
      <c r="B83" s="406">
        <f t="shared" si="13"/>
        <v>79</v>
      </c>
      <c r="C83" s="470" t="s">
        <v>73</v>
      </c>
      <c r="D83" s="470" t="s">
        <v>73</v>
      </c>
      <c r="E83" s="471" t="s">
        <v>73</v>
      </c>
      <c r="F83" s="470" t="s">
        <v>73</v>
      </c>
      <c r="G83" s="470" t="s">
        <v>73</v>
      </c>
      <c r="H83" s="470">
        <f t="shared" si="11"/>
        <v>414298.27808000008</v>
      </c>
      <c r="I83" s="471">
        <f>'Table 12 Labor Costs'!$C$41+'Table 12 Labor Costs'!$L$12</f>
        <v>464514.19653363642</v>
      </c>
      <c r="J83" s="470">
        <f t="shared" si="12"/>
        <v>179677.29647283992</v>
      </c>
      <c r="K83" s="470">
        <f>(('Table 14 Reagent Cost'!$F$8)*('Table 6 WTP Flow Balance'!F78/'Table 6 WTP Flow Balance'!$F$5))+'Table 15 Analytics Cost'!F82</f>
        <v>61982.2702705099</v>
      </c>
      <c r="L83" s="470" t="s">
        <v>73</v>
      </c>
      <c r="M83" s="470" t="s">
        <v>73</v>
      </c>
      <c r="N83" s="470">
        <f t="shared" si="17"/>
        <v>1120472.0413569864</v>
      </c>
      <c r="O83" s="470">
        <f t="shared" si="14"/>
        <v>196082.60723747261</v>
      </c>
      <c r="P83" s="472">
        <f t="shared" si="15"/>
        <v>1316554.6485944591</v>
      </c>
      <c r="R83" s="62"/>
      <c r="S83" s="57">
        <f t="shared" si="16"/>
        <v>179677.29647283992</v>
      </c>
      <c r="X83" s="641"/>
    </row>
    <row r="84" spans="2:24" ht="14.25" x14ac:dyDescent="0.2">
      <c r="B84" s="406">
        <f t="shared" si="13"/>
        <v>80</v>
      </c>
      <c r="C84" s="470" t="s">
        <v>73</v>
      </c>
      <c r="D84" s="470" t="s">
        <v>73</v>
      </c>
      <c r="E84" s="471" t="s">
        <v>73</v>
      </c>
      <c r="F84" s="470" t="s">
        <v>73</v>
      </c>
      <c r="G84" s="470" t="s">
        <v>73</v>
      </c>
      <c r="H84" s="470">
        <f t="shared" si="11"/>
        <v>414298.27808000008</v>
      </c>
      <c r="I84" s="471">
        <f>'Table 12 Labor Costs'!$C$41+'Table 12 Labor Costs'!$L$12</f>
        <v>464514.19653363642</v>
      </c>
      <c r="J84" s="470">
        <f t="shared" si="12"/>
        <v>179677.29647283992</v>
      </c>
      <c r="K84" s="470">
        <f>(('Table 14 Reagent Cost'!$F$8)*('Table 6 WTP Flow Balance'!F79/'Table 6 WTP Flow Balance'!$F$5))+'Table 15 Analytics Cost'!F83</f>
        <v>61982.2702705099</v>
      </c>
      <c r="L84" s="470" t="s">
        <v>73</v>
      </c>
      <c r="M84" s="470" t="s">
        <v>73</v>
      </c>
      <c r="N84" s="470">
        <f t="shared" si="17"/>
        <v>1120472.0413569864</v>
      </c>
      <c r="O84" s="470">
        <f t="shared" si="14"/>
        <v>196082.60723747261</v>
      </c>
      <c r="P84" s="472">
        <f t="shared" si="15"/>
        <v>1316554.6485944591</v>
      </c>
      <c r="R84" s="62"/>
      <c r="S84" s="57">
        <f t="shared" si="16"/>
        <v>179677.29647283992</v>
      </c>
      <c r="X84" s="641"/>
    </row>
    <row r="85" spans="2:24" ht="14.25" x14ac:dyDescent="0.2">
      <c r="B85" s="406">
        <f t="shared" si="13"/>
        <v>81</v>
      </c>
      <c r="C85" s="470" t="s">
        <v>73</v>
      </c>
      <c r="D85" s="470" t="s">
        <v>73</v>
      </c>
      <c r="E85" s="471" t="s">
        <v>73</v>
      </c>
      <c r="F85" s="470" t="s">
        <v>73</v>
      </c>
      <c r="G85" s="470" t="s">
        <v>73</v>
      </c>
      <c r="H85" s="470">
        <f t="shared" si="11"/>
        <v>414298.27808000008</v>
      </c>
      <c r="I85" s="471">
        <f>'Table 12 Labor Costs'!$C$41+'Table 12 Labor Costs'!$L$12</f>
        <v>464514.19653363642</v>
      </c>
      <c r="J85" s="470">
        <f t="shared" si="12"/>
        <v>179677.29647283992</v>
      </c>
      <c r="K85" s="470">
        <f>(('Table 14 Reagent Cost'!$F$8)*('Table 6 WTP Flow Balance'!F80/'Table 6 WTP Flow Balance'!$F$5))+'Table 15 Analytics Cost'!F84</f>
        <v>61982.2702705099</v>
      </c>
      <c r="L85" s="470" t="s">
        <v>73</v>
      </c>
      <c r="M85" s="470" t="s">
        <v>73</v>
      </c>
      <c r="N85" s="470">
        <f t="shared" si="17"/>
        <v>1120472.0413569864</v>
      </c>
      <c r="O85" s="470">
        <f t="shared" si="14"/>
        <v>196082.60723747261</v>
      </c>
      <c r="P85" s="472">
        <f t="shared" si="15"/>
        <v>1316554.6485944591</v>
      </c>
      <c r="R85" s="62"/>
      <c r="S85" s="57">
        <f t="shared" si="16"/>
        <v>179677.29647283992</v>
      </c>
      <c r="X85" s="641"/>
    </row>
    <row r="86" spans="2:24" ht="14.25" x14ac:dyDescent="0.2">
      <c r="B86" s="406">
        <f t="shared" si="13"/>
        <v>82</v>
      </c>
      <c r="C86" s="470" t="s">
        <v>73</v>
      </c>
      <c r="D86" s="470" t="s">
        <v>73</v>
      </c>
      <c r="E86" s="471" t="s">
        <v>73</v>
      </c>
      <c r="F86" s="470" t="s">
        <v>73</v>
      </c>
      <c r="G86" s="470" t="s">
        <v>73</v>
      </c>
      <c r="H86" s="470">
        <f t="shared" si="11"/>
        <v>414298.27808000008</v>
      </c>
      <c r="I86" s="471">
        <f>'Table 12 Labor Costs'!$C$41+'Table 12 Labor Costs'!$L$12</f>
        <v>464514.19653363642</v>
      </c>
      <c r="J86" s="470">
        <f t="shared" si="12"/>
        <v>179677.29647283992</v>
      </c>
      <c r="K86" s="470">
        <f>(('Table 14 Reagent Cost'!$F$8)*('Table 6 WTP Flow Balance'!F81/'Table 6 WTP Flow Balance'!$F$5))+'Table 15 Analytics Cost'!F85</f>
        <v>61982.2702705099</v>
      </c>
      <c r="L86" s="470" t="s">
        <v>73</v>
      </c>
      <c r="M86" s="470" t="s">
        <v>73</v>
      </c>
      <c r="N86" s="470">
        <f t="shared" si="17"/>
        <v>1120472.0413569864</v>
      </c>
      <c r="O86" s="470">
        <f t="shared" si="14"/>
        <v>196082.60723747261</v>
      </c>
      <c r="P86" s="472">
        <f t="shared" si="15"/>
        <v>1316554.6485944591</v>
      </c>
      <c r="R86" s="62"/>
      <c r="S86" s="57">
        <f t="shared" si="16"/>
        <v>179677.29647283992</v>
      </c>
      <c r="X86" s="641"/>
    </row>
    <row r="87" spans="2:24" ht="14.25" x14ac:dyDescent="0.2">
      <c r="B87" s="406">
        <f t="shared" si="13"/>
        <v>83</v>
      </c>
      <c r="C87" s="470" t="s">
        <v>73</v>
      </c>
      <c r="D87" s="470" t="s">
        <v>73</v>
      </c>
      <c r="E87" s="471" t="s">
        <v>73</v>
      </c>
      <c r="F87" s="470" t="s">
        <v>73</v>
      </c>
      <c r="G87" s="470" t="s">
        <v>73</v>
      </c>
      <c r="H87" s="470">
        <f t="shared" si="11"/>
        <v>414298.27808000008</v>
      </c>
      <c r="I87" s="471">
        <f>'Table 12 Labor Costs'!$C$41+'Table 12 Labor Costs'!$L$12</f>
        <v>464514.19653363642</v>
      </c>
      <c r="J87" s="470">
        <f t="shared" si="12"/>
        <v>179677.29647283992</v>
      </c>
      <c r="K87" s="470">
        <f>(('Table 14 Reagent Cost'!$F$8)*('Table 6 WTP Flow Balance'!F82/'Table 6 WTP Flow Balance'!$F$5))+'Table 15 Analytics Cost'!F86</f>
        <v>61982.2702705099</v>
      </c>
      <c r="L87" s="470" t="s">
        <v>73</v>
      </c>
      <c r="M87" s="470" t="s">
        <v>73</v>
      </c>
      <c r="N87" s="470">
        <f t="shared" si="17"/>
        <v>1120472.0413569864</v>
      </c>
      <c r="O87" s="470">
        <f t="shared" si="14"/>
        <v>196082.60723747261</v>
      </c>
      <c r="P87" s="472">
        <f t="shared" si="15"/>
        <v>1316554.6485944591</v>
      </c>
      <c r="R87" s="62"/>
      <c r="S87" s="57">
        <f t="shared" si="16"/>
        <v>179677.29647283992</v>
      </c>
      <c r="X87" s="641"/>
    </row>
    <row r="88" spans="2:24" ht="14.25" x14ac:dyDescent="0.2">
      <c r="B88" s="406">
        <f t="shared" si="13"/>
        <v>84</v>
      </c>
      <c r="C88" s="470" t="s">
        <v>73</v>
      </c>
      <c r="D88" s="470" t="s">
        <v>73</v>
      </c>
      <c r="E88" s="471" t="s">
        <v>73</v>
      </c>
      <c r="F88" s="470" t="s">
        <v>73</v>
      </c>
      <c r="G88" s="470" t="s">
        <v>73</v>
      </c>
      <c r="H88" s="470">
        <f t="shared" si="11"/>
        <v>414298.27808000008</v>
      </c>
      <c r="I88" s="471">
        <f>'Table 12 Labor Costs'!$C$41+'Table 12 Labor Costs'!$L$12</f>
        <v>464514.19653363642</v>
      </c>
      <c r="J88" s="470">
        <f t="shared" si="12"/>
        <v>179677.29647283992</v>
      </c>
      <c r="K88" s="470">
        <f>(('Table 14 Reagent Cost'!$F$8)*('Table 6 WTP Flow Balance'!F83/'Table 6 WTP Flow Balance'!$F$5))+'Table 15 Analytics Cost'!F87</f>
        <v>61982.2702705099</v>
      </c>
      <c r="L88" s="470" t="s">
        <v>73</v>
      </c>
      <c r="M88" s="470" t="s">
        <v>73</v>
      </c>
      <c r="N88" s="470">
        <f t="shared" si="17"/>
        <v>1120472.0413569864</v>
      </c>
      <c r="O88" s="470">
        <f t="shared" si="14"/>
        <v>196082.60723747261</v>
      </c>
      <c r="P88" s="472">
        <f t="shared" si="15"/>
        <v>1316554.6485944591</v>
      </c>
      <c r="R88" s="62"/>
      <c r="S88" s="57">
        <f t="shared" si="16"/>
        <v>179677.29647283992</v>
      </c>
      <c r="X88" s="641"/>
    </row>
    <row r="89" spans="2:24" ht="14.25" x14ac:dyDescent="0.2">
      <c r="B89" s="406">
        <f t="shared" si="13"/>
        <v>85</v>
      </c>
      <c r="C89" s="470" t="s">
        <v>73</v>
      </c>
      <c r="D89" s="470" t="s">
        <v>73</v>
      </c>
      <c r="E89" s="471" t="s">
        <v>73</v>
      </c>
      <c r="F89" s="470" t="s">
        <v>73</v>
      </c>
      <c r="G89" s="470" t="s">
        <v>73</v>
      </c>
      <c r="H89" s="470">
        <f t="shared" si="11"/>
        <v>414298.27808000008</v>
      </c>
      <c r="I89" s="471">
        <f>'Table 12 Labor Costs'!$C$41+'Table 12 Labor Costs'!$L$12</f>
        <v>464514.19653363642</v>
      </c>
      <c r="J89" s="470">
        <f t="shared" si="12"/>
        <v>179677.29647283992</v>
      </c>
      <c r="K89" s="470">
        <f>(('Table 14 Reagent Cost'!$F$8)*('Table 6 WTP Flow Balance'!F84/'Table 6 WTP Flow Balance'!$F$5))+'Table 15 Analytics Cost'!F88</f>
        <v>61982.2702705099</v>
      </c>
      <c r="L89" s="470" t="s">
        <v>73</v>
      </c>
      <c r="M89" s="470" t="s">
        <v>73</v>
      </c>
      <c r="N89" s="470">
        <f t="shared" si="17"/>
        <v>1120472.0413569864</v>
      </c>
      <c r="O89" s="470">
        <f t="shared" si="14"/>
        <v>196082.60723747261</v>
      </c>
      <c r="P89" s="472">
        <f t="shared" si="15"/>
        <v>1316554.6485944591</v>
      </c>
      <c r="R89" s="62"/>
      <c r="S89" s="57">
        <f t="shared" si="16"/>
        <v>179677.29647283992</v>
      </c>
      <c r="X89" s="641"/>
    </row>
    <row r="90" spans="2:24" ht="14.25" x14ac:dyDescent="0.2">
      <c r="B90" s="406">
        <f t="shared" si="13"/>
        <v>86</v>
      </c>
      <c r="C90" s="470" t="s">
        <v>73</v>
      </c>
      <c r="D90" s="470" t="s">
        <v>73</v>
      </c>
      <c r="E90" s="471" t="s">
        <v>73</v>
      </c>
      <c r="F90" s="470" t="s">
        <v>73</v>
      </c>
      <c r="G90" s="470" t="s">
        <v>73</v>
      </c>
      <c r="H90" s="470">
        <f t="shared" si="11"/>
        <v>414298.27808000008</v>
      </c>
      <c r="I90" s="471">
        <f>'Table 12 Labor Costs'!$C$41+'Table 12 Labor Costs'!$L$12</f>
        <v>464514.19653363642</v>
      </c>
      <c r="J90" s="470">
        <f t="shared" si="12"/>
        <v>179677.29647283992</v>
      </c>
      <c r="K90" s="470">
        <f>(('Table 14 Reagent Cost'!$F$8)*('Table 6 WTP Flow Balance'!F85/'Table 6 WTP Flow Balance'!$F$5))+'Table 15 Analytics Cost'!F89</f>
        <v>61982.2702705099</v>
      </c>
      <c r="L90" s="470" t="s">
        <v>73</v>
      </c>
      <c r="M90" s="470" t="s">
        <v>73</v>
      </c>
      <c r="N90" s="470">
        <f t="shared" si="17"/>
        <v>1120472.0413569864</v>
      </c>
      <c r="O90" s="470">
        <f t="shared" si="14"/>
        <v>196082.60723747261</v>
      </c>
      <c r="P90" s="472">
        <f t="shared" si="15"/>
        <v>1316554.6485944591</v>
      </c>
      <c r="R90" s="62"/>
      <c r="S90" s="57">
        <f t="shared" si="16"/>
        <v>179677.29647283992</v>
      </c>
      <c r="X90" s="641"/>
    </row>
    <row r="91" spans="2:24" ht="14.25" x14ac:dyDescent="0.2">
      <c r="B91" s="406">
        <f t="shared" si="13"/>
        <v>87</v>
      </c>
      <c r="C91" s="470" t="s">
        <v>73</v>
      </c>
      <c r="D91" s="470" t="s">
        <v>73</v>
      </c>
      <c r="E91" s="471" t="s">
        <v>73</v>
      </c>
      <c r="F91" s="470" t="s">
        <v>73</v>
      </c>
      <c r="G91" s="470" t="s">
        <v>73</v>
      </c>
      <c r="H91" s="470">
        <f t="shared" ref="H91:H104" si="18">H90</f>
        <v>414298.27808000008</v>
      </c>
      <c r="I91" s="471">
        <f>'Table 12 Labor Costs'!$C$41+'Table 12 Labor Costs'!$L$12</f>
        <v>464514.19653363642</v>
      </c>
      <c r="J91" s="470">
        <f t="shared" si="12"/>
        <v>179677.29647283992</v>
      </c>
      <c r="K91" s="470">
        <f>(('Table 14 Reagent Cost'!$F$8)*('Table 6 WTP Flow Balance'!F86/'Table 6 WTP Flow Balance'!$F$5))+'Table 15 Analytics Cost'!F90</f>
        <v>61982.2702705099</v>
      </c>
      <c r="L91" s="470" t="s">
        <v>73</v>
      </c>
      <c r="M91" s="470" t="s">
        <v>73</v>
      </c>
      <c r="N91" s="470">
        <f t="shared" si="17"/>
        <v>1120472.0413569864</v>
      </c>
      <c r="O91" s="470">
        <f t="shared" si="14"/>
        <v>196082.60723747261</v>
      </c>
      <c r="P91" s="472">
        <f t="shared" si="15"/>
        <v>1316554.6485944591</v>
      </c>
      <c r="R91" s="62"/>
      <c r="S91" s="57">
        <f t="shared" si="16"/>
        <v>179677.29647283992</v>
      </c>
      <c r="X91" s="641"/>
    </row>
    <row r="92" spans="2:24" ht="14.25" x14ac:dyDescent="0.2">
      <c r="B92" s="406">
        <f t="shared" si="13"/>
        <v>88</v>
      </c>
      <c r="C92" s="470" t="s">
        <v>73</v>
      </c>
      <c r="D92" s="470" t="s">
        <v>73</v>
      </c>
      <c r="E92" s="471" t="s">
        <v>73</v>
      </c>
      <c r="F92" s="470" t="s">
        <v>73</v>
      </c>
      <c r="G92" s="470" t="s">
        <v>73</v>
      </c>
      <c r="H92" s="470">
        <f t="shared" si="18"/>
        <v>414298.27808000008</v>
      </c>
      <c r="I92" s="471">
        <f>'Table 12 Labor Costs'!$C$41+'Table 12 Labor Costs'!$L$12</f>
        <v>464514.19653363642</v>
      </c>
      <c r="J92" s="470">
        <f t="shared" si="12"/>
        <v>179677.29647283992</v>
      </c>
      <c r="K92" s="470">
        <f>(('Table 14 Reagent Cost'!$F$8)*('Table 6 WTP Flow Balance'!F87/'Table 6 WTP Flow Balance'!$F$5))+'Table 15 Analytics Cost'!F91</f>
        <v>61982.2702705099</v>
      </c>
      <c r="L92" s="470" t="s">
        <v>73</v>
      </c>
      <c r="M92" s="470" t="s">
        <v>73</v>
      </c>
      <c r="N92" s="470">
        <f t="shared" si="17"/>
        <v>1120472.0413569864</v>
      </c>
      <c r="O92" s="470">
        <f t="shared" si="14"/>
        <v>196082.60723747261</v>
      </c>
      <c r="P92" s="472">
        <f t="shared" si="15"/>
        <v>1316554.6485944591</v>
      </c>
      <c r="R92" s="62"/>
      <c r="S92" s="57">
        <f t="shared" si="16"/>
        <v>179677.29647283992</v>
      </c>
      <c r="X92" s="641"/>
    </row>
    <row r="93" spans="2:24" ht="14.25" x14ac:dyDescent="0.2">
      <c r="B93" s="406">
        <f t="shared" si="13"/>
        <v>89</v>
      </c>
      <c r="C93" s="470" t="s">
        <v>73</v>
      </c>
      <c r="D93" s="470" t="s">
        <v>73</v>
      </c>
      <c r="E93" s="471" t="s">
        <v>73</v>
      </c>
      <c r="F93" s="470" t="s">
        <v>73</v>
      </c>
      <c r="G93" s="470" t="s">
        <v>73</v>
      </c>
      <c r="H93" s="470">
        <f t="shared" si="18"/>
        <v>414298.27808000008</v>
      </c>
      <c r="I93" s="471">
        <f>'Table 12 Labor Costs'!$C$41+'Table 12 Labor Costs'!$L$12</f>
        <v>464514.19653363642</v>
      </c>
      <c r="J93" s="470">
        <f t="shared" si="12"/>
        <v>179677.29647283992</v>
      </c>
      <c r="K93" s="470">
        <f>(('Table 14 Reagent Cost'!$F$8)*('Table 6 WTP Flow Balance'!F88/'Table 6 WTP Flow Balance'!$F$5))+'Table 15 Analytics Cost'!F92</f>
        <v>61982.2702705099</v>
      </c>
      <c r="L93" s="470" t="s">
        <v>73</v>
      </c>
      <c r="M93" s="470" t="s">
        <v>73</v>
      </c>
      <c r="N93" s="470">
        <f t="shared" si="17"/>
        <v>1120472.0413569864</v>
      </c>
      <c r="O93" s="470">
        <f t="shared" si="14"/>
        <v>196082.60723747261</v>
      </c>
      <c r="P93" s="472">
        <f t="shared" si="15"/>
        <v>1316554.6485944591</v>
      </c>
      <c r="R93" s="62"/>
      <c r="S93" s="57">
        <f t="shared" si="16"/>
        <v>179677.29647283992</v>
      </c>
      <c r="X93" s="641"/>
    </row>
    <row r="94" spans="2:24" ht="14.25" x14ac:dyDescent="0.2">
      <c r="B94" s="406">
        <f t="shared" si="13"/>
        <v>90</v>
      </c>
      <c r="C94" s="470" t="s">
        <v>73</v>
      </c>
      <c r="D94" s="470" t="s">
        <v>73</v>
      </c>
      <c r="E94" s="471" t="s">
        <v>73</v>
      </c>
      <c r="F94" s="470" t="s">
        <v>73</v>
      </c>
      <c r="G94" s="470" t="s">
        <v>73</v>
      </c>
      <c r="H94" s="470">
        <f t="shared" si="18"/>
        <v>414298.27808000008</v>
      </c>
      <c r="I94" s="471">
        <f>'Table 12 Labor Costs'!$C$41+'Table 12 Labor Costs'!$L$12</f>
        <v>464514.19653363642</v>
      </c>
      <c r="J94" s="470">
        <f t="shared" si="12"/>
        <v>179677.29647283992</v>
      </c>
      <c r="K94" s="470">
        <f>(('Table 14 Reagent Cost'!$F$8)*('Table 6 WTP Flow Balance'!F89/'Table 6 WTP Flow Balance'!$F$5))+'Table 15 Analytics Cost'!F93</f>
        <v>61982.2702705099</v>
      </c>
      <c r="L94" s="470" t="s">
        <v>73</v>
      </c>
      <c r="M94" s="470" t="s">
        <v>73</v>
      </c>
      <c r="N94" s="470">
        <f t="shared" si="17"/>
        <v>1120472.0413569864</v>
      </c>
      <c r="O94" s="470">
        <f t="shared" si="14"/>
        <v>196082.60723747261</v>
      </c>
      <c r="P94" s="472">
        <f t="shared" si="15"/>
        <v>1316554.6485944591</v>
      </c>
      <c r="R94" s="62"/>
      <c r="S94" s="57">
        <f t="shared" si="16"/>
        <v>179677.29647283992</v>
      </c>
      <c r="X94" s="641"/>
    </row>
    <row r="95" spans="2:24" ht="14.25" x14ac:dyDescent="0.2">
      <c r="B95" s="406">
        <f t="shared" si="13"/>
        <v>91</v>
      </c>
      <c r="C95" s="470" t="s">
        <v>73</v>
      </c>
      <c r="D95" s="470" t="s">
        <v>73</v>
      </c>
      <c r="E95" s="471" t="s">
        <v>73</v>
      </c>
      <c r="F95" s="470" t="s">
        <v>73</v>
      </c>
      <c r="G95" s="470" t="s">
        <v>73</v>
      </c>
      <c r="H95" s="470">
        <f t="shared" si="18"/>
        <v>414298.27808000008</v>
      </c>
      <c r="I95" s="471">
        <f>'Table 12 Labor Costs'!$C$41+'Table 12 Labor Costs'!$L$12</f>
        <v>464514.19653363642</v>
      </c>
      <c r="J95" s="470">
        <f t="shared" si="12"/>
        <v>179677.29647283992</v>
      </c>
      <c r="K95" s="470">
        <f>(('Table 14 Reagent Cost'!$F$8)*('Table 6 WTP Flow Balance'!F90/'Table 6 WTP Flow Balance'!$F$5))+'Table 15 Analytics Cost'!F94</f>
        <v>61982.2702705099</v>
      </c>
      <c r="L95" s="470" t="s">
        <v>73</v>
      </c>
      <c r="M95" s="470" t="s">
        <v>73</v>
      </c>
      <c r="N95" s="470">
        <f t="shared" si="17"/>
        <v>1120472.0413569864</v>
      </c>
      <c r="O95" s="470">
        <f t="shared" si="14"/>
        <v>196082.60723747261</v>
      </c>
      <c r="P95" s="472">
        <f t="shared" si="15"/>
        <v>1316554.6485944591</v>
      </c>
      <c r="R95" s="62"/>
      <c r="S95" s="57">
        <f t="shared" si="16"/>
        <v>179677.29647283992</v>
      </c>
      <c r="X95" s="641"/>
    </row>
    <row r="96" spans="2:24" ht="14.25" x14ac:dyDescent="0.2">
      <c r="B96" s="406">
        <f t="shared" si="13"/>
        <v>92</v>
      </c>
      <c r="C96" s="470" t="s">
        <v>73</v>
      </c>
      <c r="D96" s="470" t="s">
        <v>73</v>
      </c>
      <c r="E96" s="471" t="s">
        <v>73</v>
      </c>
      <c r="F96" s="470" t="s">
        <v>73</v>
      </c>
      <c r="G96" s="470" t="s">
        <v>73</v>
      </c>
      <c r="H96" s="470">
        <f t="shared" si="18"/>
        <v>414298.27808000008</v>
      </c>
      <c r="I96" s="471">
        <f>'Table 12 Labor Costs'!$C$41+'Table 12 Labor Costs'!$L$12</f>
        <v>464514.19653363642</v>
      </c>
      <c r="J96" s="470">
        <f t="shared" si="12"/>
        <v>179677.29647283992</v>
      </c>
      <c r="K96" s="470">
        <f>(('Table 14 Reagent Cost'!$F$8)*('Table 6 WTP Flow Balance'!F91/'Table 6 WTP Flow Balance'!$F$5))+'Table 15 Analytics Cost'!F95</f>
        <v>61982.2702705099</v>
      </c>
      <c r="L96" s="470" t="s">
        <v>73</v>
      </c>
      <c r="M96" s="470" t="s">
        <v>73</v>
      </c>
      <c r="N96" s="470">
        <f t="shared" si="17"/>
        <v>1120472.0413569864</v>
      </c>
      <c r="O96" s="470">
        <f t="shared" si="14"/>
        <v>196082.60723747261</v>
      </c>
      <c r="P96" s="472">
        <f t="shared" si="15"/>
        <v>1316554.6485944591</v>
      </c>
      <c r="R96" s="62"/>
      <c r="S96" s="57">
        <f t="shared" si="16"/>
        <v>179677.29647283992</v>
      </c>
      <c r="X96" s="641"/>
    </row>
    <row r="97" spans="2:31" ht="14.25" x14ac:dyDescent="0.2">
      <c r="B97" s="406">
        <f t="shared" si="13"/>
        <v>93</v>
      </c>
      <c r="C97" s="470" t="s">
        <v>73</v>
      </c>
      <c r="D97" s="470" t="s">
        <v>73</v>
      </c>
      <c r="E97" s="471" t="s">
        <v>73</v>
      </c>
      <c r="F97" s="470" t="s">
        <v>73</v>
      </c>
      <c r="G97" s="470" t="s">
        <v>73</v>
      </c>
      <c r="H97" s="470">
        <f t="shared" si="18"/>
        <v>414298.27808000008</v>
      </c>
      <c r="I97" s="471">
        <f>'Table 12 Labor Costs'!$C$41+'Table 12 Labor Costs'!$L$12</f>
        <v>464514.19653363642</v>
      </c>
      <c r="J97" s="470">
        <f t="shared" si="12"/>
        <v>179677.29647283992</v>
      </c>
      <c r="K97" s="470">
        <f>(('Table 14 Reagent Cost'!$F$8)*('Table 6 WTP Flow Balance'!F92/'Table 6 WTP Flow Balance'!$F$5))+'Table 15 Analytics Cost'!F96</f>
        <v>61982.2702705099</v>
      </c>
      <c r="L97" s="470" t="s">
        <v>73</v>
      </c>
      <c r="M97" s="470" t="s">
        <v>73</v>
      </c>
      <c r="N97" s="470">
        <f t="shared" si="17"/>
        <v>1120472.0413569864</v>
      </c>
      <c r="O97" s="470">
        <f t="shared" si="14"/>
        <v>196082.60723747261</v>
      </c>
      <c r="P97" s="472">
        <f t="shared" si="15"/>
        <v>1316554.6485944591</v>
      </c>
      <c r="R97" s="62"/>
      <c r="S97" s="57">
        <f t="shared" si="16"/>
        <v>179677.29647283992</v>
      </c>
      <c r="X97" s="641"/>
    </row>
    <row r="98" spans="2:31" ht="14.25" x14ac:dyDescent="0.2">
      <c r="B98" s="406">
        <f t="shared" si="13"/>
        <v>94</v>
      </c>
      <c r="C98" s="470" t="s">
        <v>73</v>
      </c>
      <c r="D98" s="470" t="s">
        <v>73</v>
      </c>
      <c r="E98" s="471" t="s">
        <v>73</v>
      </c>
      <c r="F98" s="470" t="s">
        <v>73</v>
      </c>
      <c r="G98" s="470" t="s">
        <v>73</v>
      </c>
      <c r="H98" s="470">
        <f t="shared" si="18"/>
        <v>414298.27808000008</v>
      </c>
      <c r="I98" s="471">
        <f>'Table 12 Labor Costs'!$C$41+'Table 12 Labor Costs'!$L$12</f>
        <v>464514.19653363642</v>
      </c>
      <c r="J98" s="470">
        <f t="shared" si="12"/>
        <v>179677.29647283992</v>
      </c>
      <c r="K98" s="470">
        <f>(('Table 14 Reagent Cost'!$F$8)*('Table 6 WTP Flow Balance'!F93/'Table 6 WTP Flow Balance'!$F$5))+'Table 15 Analytics Cost'!F97</f>
        <v>61982.2702705099</v>
      </c>
      <c r="L98" s="470" t="s">
        <v>73</v>
      </c>
      <c r="M98" s="470" t="s">
        <v>73</v>
      </c>
      <c r="N98" s="470">
        <f t="shared" si="17"/>
        <v>1120472.0413569864</v>
      </c>
      <c r="O98" s="470">
        <f t="shared" si="14"/>
        <v>196082.60723747261</v>
      </c>
      <c r="P98" s="472">
        <f t="shared" si="15"/>
        <v>1316554.6485944591</v>
      </c>
      <c r="R98" s="62"/>
      <c r="S98" s="57">
        <f t="shared" si="16"/>
        <v>179677.29647283992</v>
      </c>
      <c r="X98" s="641"/>
    </row>
    <row r="99" spans="2:31" ht="14.25" x14ac:dyDescent="0.2">
      <c r="B99" s="406">
        <f t="shared" si="13"/>
        <v>95</v>
      </c>
      <c r="C99" s="470" t="s">
        <v>73</v>
      </c>
      <c r="D99" s="470" t="s">
        <v>73</v>
      </c>
      <c r="E99" s="471" t="s">
        <v>73</v>
      </c>
      <c r="F99" s="470" t="s">
        <v>73</v>
      </c>
      <c r="G99" s="470" t="s">
        <v>73</v>
      </c>
      <c r="H99" s="470">
        <f t="shared" si="18"/>
        <v>414298.27808000008</v>
      </c>
      <c r="I99" s="471">
        <f>'Table 12 Labor Costs'!$C$41+'Table 12 Labor Costs'!$L$12</f>
        <v>464514.19653363642</v>
      </c>
      <c r="J99" s="470">
        <f t="shared" si="12"/>
        <v>179677.29647283992</v>
      </c>
      <c r="K99" s="470">
        <f>(('Table 14 Reagent Cost'!$F$8)*('Table 6 WTP Flow Balance'!F94/'Table 6 WTP Flow Balance'!$F$5))+'Table 15 Analytics Cost'!F98</f>
        <v>61982.2702705099</v>
      </c>
      <c r="L99" s="470" t="s">
        <v>73</v>
      </c>
      <c r="M99" s="470" t="s">
        <v>73</v>
      </c>
      <c r="N99" s="470">
        <f t="shared" si="17"/>
        <v>1120472.0413569864</v>
      </c>
      <c r="O99" s="470">
        <f t="shared" si="14"/>
        <v>196082.60723747261</v>
      </c>
      <c r="P99" s="472">
        <f t="shared" si="15"/>
        <v>1316554.6485944591</v>
      </c>
      <c r="R99" s="62"/>
      <c r="S99" s="57">
        <f t="shared" si="16"/>
        <v>179677.29647283992</v>
      </c>
      <c r="X99" s="641"/>
    </row>
    <row r="100" spans="2:31" ht="14.25" x14ac:dyDescent="0.2">
      <c r="B100" s="406">
        <f t="shared" si="13"/>
        <v>96</v>
      </c>
      <c r="C100" s="470" t="s">
        <v>73</v>
      </c>
      <c r="D100" s="470" t="s">
        <v>73</v>
      </c>
      <c r="E100" s="471" t="s">
        <v>73</v>
      </c>
      <c r="F100" s="470" t="s">
        <v>73</v>
      </c>
      <c r="G100" s="470" t="s">
        <v>73</v>
      </c>
      <c r="H100" s="470">
        <f t="shared" si="18"/>
        <v>414298.27808000008</v>
      </c>
      <c r="I100" s="471">
        <f>'Table 12 Labor Costs'!$C$41+'Table 12 Labor Costs'!$L$12</f>
        <v>464514.19653363642</v>
      </c>
      <c r="J100" s="470">
        <f t="shared" si="12"/>
        <v>179677.29647283992</v>
      </c>
      <c r="K100" s="470">
        <f>(('Table 14 Reagent Cost'!$F$8)*('Table 6 WTP Flow Balance'!F95/'Table 6 WTP Flow Balance'!$F$5))+'Table 15 Analytics Cost'!F99</f>
        <v>61982.2702705099</v>
      </c>
      <c r="L100" s="470" t="s">
        <v>73</v>
      </c>
      <c r="M100" s="470" t="s">
        <v>73</v>
      </c>
      <c r="N100" s="470">
        <f t="shared" si="17"/>
        <v>1120472.0413569864</v>
      </c>
      <c r="O100" s="470">
        <f t="shared" si="14"/>
        <v>196082.60723747261</v>
      </c>
      <c r="P100" s="472">
        <f t="shared" si="15"/>
        <v>1316554.6485944591</v>
      </c>
      <c r="R100" s="62"/>
      <c r="S100" s="57">
        <f t="shared" si="16"/>
        <v>179677.29647283992</v>
      </c>
      <c r="X100" s="641"/>
    </row>
    <row r="101" spans="2:31" ht="14.25" x14ac:dyDescent="0.2">
      <c r="B101" s="406">
        <f t="shared" si="13"/>
        <v>97</v>
      </c>
      <c r="C101" s="470" t="s">
        <v>73</v>
      </c>
      <c r="D101" s="470" t="s">
        <v>73</v>
      </c>
      <c r="E101" s="471" t="s">
        <v>73</v>
      </c>
      <c r="F101" s="470" t="s">
        <v>73</v>
      </c>
      <c r="G101" s="470" t="s">
        <v>73</v>
      </c>
      <c r="H101" s="470">
        <f t="shared" si="18"/>
        <v>414298.27808000008</v>
      </c>
      <c r="I101" s="471">
        <f>'Table 12 Labor Costs'!$C$41+'Table 12 Labor Costs'!$L$12</f>
        <v>464514.19653363642</v>
      </c>
      <c r="J101" s="470">
        <f t="shared" si="12"/>
        <v>179677.29647283992</v>
      </c>
      <c r="K101" s="470">
        <f>(('Table 14 Reagent Cost'!$F$8)*('Table 6 WTP Flow Balance'!F96/'Table 6 WTP Flow Balance'!$F$5))+'Table 15 Analytics Cost'!F100</f>
        <v>61982.2702705099</v>
      </c>
      <c r="L101" s="470" t="s">
        <v>73</v>
      </c>
      <c r="M101" s="470" t="s">
        <v>73</v>
      </c>
      <c r="N101" s="470">
        <f t="shared" si="17"/>
        <v>1120472.0413569864</v>
      </c>
      <c r="O101" s="470">
        <f t="shared" si="14"/>
        <v>196082.60723747261</v>
      </c>
      <c r="P101" s="472">
        <f t="shared" si="15"/>
        <v>1316554.6485944591</v>
      </c>
      <c r="R101" s="62"/>
      <c r="S101" s="57">
        <f t="shared" si="16"/>
        <v>179677.29647283992</v>
      </c>
      <c r="X101" s="641"/>
    </row>
    <row r="102" spans="2:31" ht="14.25" x14ac:dyDescent="0.2">
      <c r="B102" s="406">
        <f t="shared" si="13"/>
        <v>98</v>
      </c>
      <c r="C102" s="470" t="s">
        <v>73</v>
      </c>
      <c r="D102" s="470" t="s">
        <v>73</v>
      </c>
      <c r="E102" s="471" t="s">
        <v>73</v>
      </c>
      <c r="F102" s="470" t="s">
        <v>73</v>
      </c>
      <c r="G102" s="470" t="s">
        <v>73</v>
      </c>
      <c r="H102" s="470">
        <f t="shared" si="18"/>
        <v>414298.27808000008</v>
      </c>
      <c r="I102" s="471">
        <f>'Table 12 Labor Costs'!$C$41+'Table 12 Labor Costs'!$L$12</f>
        <v>464514.19653363642</v>
      </c>
      <c r="J102" s="470">
        <f t="shared" si="12"/>
        <v>179677.29647283992</v>
      </c>
      <c r="K102" s="470">
        <f>(('Table 14 Reagent Cost'!$F$8)*('Table 6 WTP Flow Balance'!F97/'Table 6 WTP Flow Balance'!$F$5))+'Table 15 Analytics Cost'!F101</f>
        <v>61982.2702705099</v>
      </c>
      <c r="L102" s="470" t="s">
        <v>73</v>
      </c>
      <c r="M102" s="470" t="s">
        <v>73</v>
      </c>
      <c r="N102" s="470">
        <f t="shared" si="17"/>
        <v>1120472.0413569864</v>
      </c>
      <c r="O102" s="470">
        <f t="shared" si="14"/>
        <v>196082.60723747261</v>
      </c>
      <c r="P102" s="472">
        <f t="shared" si="15"/>
        <v>1316554.6485944591</v>
      </c>
      <c r="R102" s="62"/>
      <c r="S102" s="57">
        <f t="shared" si="16"/>
        <v>179677.29647283992</v>
      </c>
      <c r="X102" s="641"/>
    </row>
    <row r="103" spans="2:31" ht="14.25" x14ac:dyDescent="0.2">
      <c r="B103" s="406">
        <f t="shared" si="13"/>
        <v>99</v>
      </c>
      <c r="C103" s="470" t="s">
        <v>73</v>
      </c>
      <c r="D103" s="470" t="s">
        <v>73</v>
      </c>
      <c r="E103" s="471" t="s">
        <v>73</v>
      </c>
      <c r="F103" s="470" t="s">
        <v>73</v>
      </c>
      <c r="G103" s="470" t="s">
        <v>73</v>
      </c>
      <c r="H103" s="470">
        <f t="shared" si="18"/>
        <v>414298.27808000008</v>
      </c>
      <c r="I103" s="471">
        <f>'Table 12 Labor Costs'!$C$41+'Table 12 Labor Costs'!$L$12</f>
        <v>464514.19653363642</v>
      </c>
      <c r="J103" s="470">
        <f t="shared" si="12"/>
        <v>179677.29647283992</v>
      </c>
      <c r="K103" s="470">
        <f>(('Table 14 Reagent Cost'!$F$8)*('Table 6 WTP Flow Balance'!F98/'Table 6 WTP Flow Balance'!$F$5))+'Table 15 Analytics Cost'!F102</f>
        <v>61982.2702705099</v>
      </c>
      <c r="L103" s="470" t="s">
        <v>73</v>
      </c>
      <c r="M103" s="470" t="s">
        <v>73</v>
      </c>
      <c r="N103" s="470">
        <f t="shared" si="17"/>
        <v>1120472.0413569864</v>
      </c>
      <c r="O103" s="470">
        <f t="shared" si="14"/>
        <v>196082.60723747261</v>
      </c>
      <c r="P103" s="472">
        <f t="shared" si="15"/>
        <v>1316554.6485944591</v>
      </c>
      <c r="R103" s="62"/>
      <c r="S103" s="57">
        <f t="shared" si="16"/>
        <v>179677.29647283992</v>
      </c>
      <c r="X103" s="641"/>
    </row>
    <row r="104" spans="2:31" ht="15" thickBot="1" x14ac:dyDescent="0.25">
      <c r="B104" s="407">
        <f t="shared" si="13"/>
        <v>100</v>
      </c>
      <c r="C104" s="473" t="s">
        <v>73</v>
      </c>
      <c r="D104" s="473" t="s">
        <v>73</v>
      </c>
      <c r="E104" s="474" t="s">
        <v>73</v>
      </c>
      <c r="F104" s="473" t="s">
        <v>73</v>
      </c>
      <c r="G104" s="473" t="s">
        <v>73</v>
      </c>
      <c r="H104" s="473">
        <f t="shared" si="18"/>
        <v>414298.27808000008</v>
      </c>
      <c r="I104" s="471">
        <f>'Table 12 Labor Costs'!$C$41+'Table 12 Labor Costs'!$L$12</f>
        <v>464514.19653363642</v>
      </c>
      <c r="J104" s="473">
        <f t="shared" si="12"/>
        <v>179677.29647283992</v>
      </c>
      <c r="K104" s="473">
        <f>(('Table 14 Reagent Cost'!$F$8)*('Table 6 WTP Flow Balance'!F99/'Table 6 WTP Flow Balance'!$F$5))+'Table 15 Analytics Cost'!F103</f>
        <v>61982.2702705099</v>
      </c>
      <c r="L104" s="473" t="s">
        <v>73</v>
      </c>
      <c r="M104" s="473" t="s">
        <v>73</v>
      </c>
      <c r="N104" s="473">
        <f t="shared" si="17"/>
        <v>1120472.0413569864</v>
      </c>
      <c r="O104" s="473">
        <f t="shared" si="14"/>
        <v>196082.60723747261</v>
      </c>
      <c r="P104" s="475">
        <f t="shared" si="15"/>
        <v>1316554.6485944591</v>
      </c>
      <c r="R104" s="62"/>
      <c r="S104" s="57">
        <f t="shared" si="16"/>
        <v>179677.29647283992</v>
      </c>
      <c r="X104" s="641"/>
    </row>
    <row r="105" spans="2:31" ht="15" thickBot="1" x14ac:dyDescent="0.25">
      <c r="B105" s="409" t="s">
        <v>29</v>
      </c>
      <c r="C105" s="479">
        <f>SUM(C5:C104)</f>
        <v>531600</v>
      </c>
      <c r="D105" s="479">
        <f t="shared" ref="D105:M105" si="19">SUM(D5:D104)</f>
        <v>53160</v>
      </c>
      <c r="E105" s="479">
        <f t="shared" si="19"/>
        <v>1302480.4000000001</v>
      </c>
      <c r="F105" s="479">
        <f t="shared" si="19"/>
        <v>1265233.52465914</v>
      </c>
      <c r="G105" s="479">
        <f>SUM(G5:G104)</f>
        <v>11213299.758400001</v>
      </c>
      <c r="H105" s="479">
        <f t="shared" si="19"/>
        <v>40319320.369600073</v>
      </c>
      <c r="I105" s="479">
        <f t="shared" si="19"/>
        <v>44128848.670695402</v>
      </c>
      <c r="J105" s="479">
        <f t="shared" si="19"/>
        <v>18026416.447910607</v>
      </c>
      <c r="K105" s="479">
        <f t="shared" si="19"/>
        <v>6138465.2522984026</v>
      </c>
      <c r="L105" s="479">
        <f>SUM(L5:L104)</f>
        <v>11744899.758400001</v>
      </c>
      <c r="M105" s="479">
        <f t="shared" si="19"/>
        <v>3523469.9275199999</v>
      </c>
      <c r="N105" s="479">
        <f>SUM(N5:N104)</f>
        <v>111233924.6651634</v>
      </c>
      <c r="O105" s="479">
        <f t="shared" ref="O105" si="20">SUM(O5:O104)</f>
        <v>19465936.816403657</v>
      </c>
      <c r="P105" s="480">
        <f>SUM(P5:P104)</f>
        <v>145968231.1674872</v>
      </c>
      <c r="X105" s="641"/>
      <c r="AC105" s="130"/>
      <c r="AD105" s="130"/>
      <c r="AE105" s="130"/>
    </row>
    <row r="106" spans="2:31" ht="13.5" thickTop="1" x14ac:dyDescent="0.2">
      <c r="B106" s="85"/>
      <c r="AC106" s="130"/>
    </row>
    <row r="107" spans="2:31" x14ac:dyDescent="0.2">
      <c r="B107" s="65"/>
      <c r="M107"/>
      <c r="N107" s="57"/>
      <c r="O107" s="57"/>
    </row>
    <row r="108" spans="2:31" x14ac:dyDescent="0.2">
      <c r="B108" s="65"/>
    </row>
    <row r="109" spans="2:31" x14ac:dyDescent="0.2">
      <c r="B109" s="65"/>
    </row>
  </sheetData>
  <mergeCells count="8">
    <mergeCell ref="B2:B3"/>
    <mergeCell ref="O2:O3"/>
    <mergeCell ref="P2:P3"/>
    <mergeCell ref="C2:F2"/>
    <mergeCell ref="G2:K2"/>
    <mergeCell ref="L2:L3"/>
    <mergeCell ref="M2:M3"/>
    <mergeCell ref="N2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9421-AAEE-4D39-A5D9-B6C996D4AAA0}">
  <dimension ref="A1:V101"/>
  <sheetViews>
    <sheetView zoomScaleNormal="100" workbookViewId="0">
      <pane xSplit="2" ySplit="2" topLeftCell="D10" activePane="bottomRight" state="frozen"/>
      <selection pane="topRight" activeCell="C1" sqref="C1"/>
      <selection pane="bottomLeft" activeCell="A3" sqref="A3"/>
      <selection pane="bottomRight" activeCell="V1" sqref="S1:V1048576"/>
    </sheetView>
  </sheetViews>
  <sheetFormatPr defaultRowHeight="12.75" x14ac:dyDescent="0.2"/>
  <cols>
    <col min="1" max="1" width="3" style="52" customWidth="1"/>
    <col min="2" max="2" width="20.1640625" style="56" customWidth="1"/>
    <col min="3" max="3" width="14.5" style="56" customWidth="1"/>
    <col min="4" max="4" width="32" style="56" customWidth="1"/>
    <col min="5" max="5" width="13.6640625" style="56" bestFit="1" customWidth="1"/>
    <col min="6" max="6" width="16.83203125" style="37" customWidth="1"/>
    <col min="7" max="7" width="33" style="37" customWidth="1"/>
    <col min="8" max="8" width="12.5" style="61" customWidth="1"/>
    <col min="9" max="12" width="12.6640625" style="37" customWidth="1"/>
    <col min="13" max="13" width="12.5" style="51" customWidth="1"/>
    <col min="14" max="14" width="13.6640625" style="52" customWidth="1"/>
    <col min="15" max="15" width="15.33203125" style="52" customWidth="1"/>
    <col min="16" max="16" width="36.33203125" style="52" customWidth="1"/>
    <col min="17" max="17" width="11.1640625" style="52" bestFit="1" customWidth="1"/>
    <col min="19" max="22" width="0" hidden="1" customWidth="1"/>
  </cols>
  <sheetData>
    <row r="1" spans="1:19" ht="13.5" thickBot="1" x14ac:dyDescent="0.25"/>
    <row r="2" spans="1:19" ht="29.25" thickTop="1" x14ac:dyDescent="0.2">
      <c r="B2" s="403" t="s">
        <v>245</v>
      </c>
      <c r="C2" s="281" t="s">
        <v>1</v>
      </c>
      <c r="D2" s="281" t="s">
        <v>246</v>
      </c>
      <c r="E2" s="281" t="s">
        <v>247</v>
      </c>
      <c r="F2" s="281" t="s">
        <v>248</v>
      </c>
      <c r="G2" s="281" t="s">
        <v>249</v>
      </c>
      <c r="H2" s="281" t="s">
        <v>250</v>
      </c>
      <c r="I2" s="410" t="s">
        <v>251</v>
      </c>
      <c r="J2" s="410" t="s">
        <v>252</v>
      </c>
      <c r="K2" s="281" t="s">
        <v>253</v>
      </c>
      <c r="L2" s="281" t="s">
        <v>254</v>
      </c>
      <c r="M2" s="281" t="s">
        <v>255</v>
      </c>
      <c r="N2" s="281" t="s">
        <v>256</v>
      </c>
      <c r="O2" s="281" t="s">
        <v>257</v>
      </c>
      <c r="P2" s="282" t="s">
        <v>258</v>
      </c>
    </row>
    <row r="3" spans="1:19" ht="15" thickBot="1" x14ac:dyDescent="0.2">
      <c r="A3" s="55"/>
      <c r="B3" s="404"/>
      <c r="C3" s="353"/>
      <c r="D3" s="353"/>
      <c r="E3" s="353"/>
      <c r="F3" s="353"/>
      <c r="G3" s="353"/>
      <c r="H3" s="353"/>
      <c r="I3" s="412"/>
      <c r="J3" s="412"/>
      <c r="K3" s="353" t="s">
        <v>259</v>
      </c>
      <c r="L3" s="353" t="s">
        <v>259</v>
      </c>
      <c r="M3" s="353">
        <v>6.3200000000000006E-2</v>
      </c>
      <c r="N3" s="353" t="s">
        <v>259</v>
      </c>
      <c r="O3" s="353" t="s">
        <v>259</v>
      </c>
      <c r="P3" s="354"/>
      <c r="Q3" s="55"/>
    </row>
    <row r="4" spans="1:19" ht="29.25" thickBot="1" x14ac:dyDescent="0.25">
      <c r="B4" s="411" t="s">
        <v>260</v>
      </c>
      <c r="C4" s="413" t="s">
        <v>261</v>
      </c>
      <c r="D4" s="413" t="s">
        <v>262</v>
      </c>
      <c r="E4" s="413" t="s">
        <v>263</v>
      </c>
      <c r="F4" s="413"/>
      <c r="G4" s="413" t="s">
        <v>264</v>
      </c>
      <c r="H4" s="413"/>
      <c r="I4" s="414">
        <v>1</v>
      </c>
      <c r="J4" s="414" t="s">
        <v>265</v>
      </c>
      <c r="K4" s="466">
        <v>500000</v>
      </c>
      <c r="L4" s="466">
        <f>I4*K4</f>
        <v>500000</v>
      </c>
      <c r="M4" s="466">
        <f>L4*$M$3</f>
        <v>31600.000000000004</v>
      </c>
      <c r="N4" s="466">
        <f>L4+M4</f>
        <v>531600</v>
      </c>
      <c r="O4" s="466">
        <f>N4</f>
        <v>531600</v>
      </c>
      <c r="P4" s="434" t="s">
        <v>116</v>
      </c>
    </row>
    <row r="5" spans="1:19" ht="14.25" x14ac:dyDescent="0.2">
      <c r="B5" s="699" t="s">
        <v>266</v>
      </c>
      <c r="C5" s="702" t="s">
        <v>267</v>
      </c>
      <c r="D5" s="415" t="s">
        <v>268</v>
      </c>
      <c r="E5" s="415"/>
      <c r="F5" s="415"/>
      <c r="G5" s="415" t="s">
        <v>269</v>
      </c>
      <c r="H5" s="417"/>
      <c r="I5" s="418">
        <v>1</v>
      </c>
      <c r="J5" s="418" t="s">
        <v>270</v>
      </c>
      <c r="K5" s="464">
        <v>20000</v>
      </c>
      <c r="L5" s="464">
        <f t="shared" ref="L5:L39" si="0">I5*K5</f>
        <v>20000</v>
      </c>
      <c r="M5" s="464">
        <f t="shared" ref="M5" si="1">L5*$M$3</f>
        <v>1264.0000000000002</v>
      </c>
      <c r="N5" s="464">
        <f t="shared" ref="N5" si="2">L5+M5</f>
        <v>21264</v>
      </c>
      <c r="O5" s="464"/>
      <c r="P5" s="435" t="s">
        <v>271</v>
      </c>
    </row>
    <row r="6" spans="1:19" ht="14.25" x14ac:dyDescent="0.2">
      <c r="B6" s="700"/>
      <c r="C6" s="698"/>
      <c r="D6" s="419" t="s">
        <v>272</v>
      </c>
      <c r="E6" s="419"/>
      <c r="F6" s="419"/>
      <c r="G6" s="246" t="s">
        <v>273</v>
      </c>
      <c r="H6" s="419" t="s">
        <v>274</v>
      </c>
      <c r="I6" s="421">
        <v>2</v>
      </c>
      <c r="J6" s="421" t="s">
        <v>270</v>
      </c>
      <c r="K6" s="459">
        <v>10000</v>
      </c>
      <c r="L6" s="459">
        <f t="shared" si="0"/>
        <v>20000</v>
      </c>
      <c r="M6" s="459">
        <f>L6*$M$3</f>
        <v>1264.0000000000002</v>
      </c>
      <c r="N6" s="459">
        <f>L6+M6</f>
        <v>21264</v>
      </c>
      <c r="O6" s="459"/>
      <c r="P6" s="436" t="s">
        <v>275</v>
      </c>
    </row>
    <row r="7" spans="1:19" ht="14.25" x14ac:dyDescent="0.2">
      <c r="B7" s="700"/>
      <c r="C7" s="698"/>
      <c r="D7" s="419" t="s">
        <v>276</v>
      </c>
      <c r="E7" s="419" t="s">
        <v>277</v>
      </c>
      <c r="F7" s="419"/>
      <c r="G7" s="419" t="s">
        <v>278</v>
      </c>
      <c r="H7" s="419" t="s">
        <v>279</v>
      </c>
      <c r="I7" s="421">
        <v>3500</v>
      </c>
      <c r="J7" s="421" t="s">
        <v>280</v>
      </c>
      <c r="K7" s="459">
        <v>6</v>
      </c>
      <c r="L7" s="459">
        <f t="shared" si="0"/>
        <v>21000</v>
      </c>
      <c r="M7" s="459">
        <f>L7*$M$3</f>
        <v>1327.2</v>
      </c>
      <c r="N7" s="459">
        <f>L7+M7</f>
        <v>22327.200000000001</v>
      </c>
      <c r="O7" s="459"/>
      <c r="P7" s="436"/>
    </row>
    <row r="8" spans="1:19" ht="28.5" x14ac:dyDescent="0.2">
      <c r="B8" s="700"/>
      <c r="C8" s="698" t="s">
        <v>281</v>
      </c>
      <c r="D8" s="419" t="s">
        <v>282</v>
      </c>
      <c r="E8" s="419" t="s">
        <v>283</v>
      </c>
      <c r="F8" s="419"/>
      <c r="G8" s="419" t="s">
        <v>284</v>
      </c>
      <c r="H8" s="422" t="s">
        <v>285</v>
      </c>
      <c r="I8" s="421">
        <v>1</v>
      </c>
      <c r="J8" s="421" t="s">
        <v>270</v>
      </c>
      <c r="K8" s="459">
        <v>125000</v>
      </c>
      <c r="L8" s="459">
        <f t="shared" si="0"/>
        <v>125000</v>
      </c>
      <c r="M8" s="459">
        <f t="shared" ref="M8" si="3">L8*$M$3</f>
        <v>7900.0000000000009</v>
      </c>
      <c r="N8" s="459">
        <f t="shared" ref="N8" si="4">L8+M8</f>
        <v>132900</v>
      </c>
      <c r="O8" s="459"/>
      <c r="P8" s="436"/>
    </row>
    <row r="9" spans="1:19" ht="14.25" x14ac:dyDescent="0.2">
      <c r="B9" s="700"/>
      <c r="C9" s="698"/>
      <c r="D9" s="419" t="s">
        <v>276</v>
      </c>
      <c r="E9" s="419" t="s">
        <v>277</v>
      </c>
      <c r="F9" s="419"/>
      <c r="G9" s="419" t="s">
        <v>278</v>
      </c>
      <c r="H9" s="419" t="s">
        <v>279</v>
      </c>
      <c r="I9" s="421">
        <v>7000</v>
      </c>
      <c r="J9" s="421" t="s">
        <v>280</v>
      </c>
      <c r="K9" s="459">
        <v>6</v>
      </c>
      <c r="L9" s="459">
        <f t="shared" si="0"/>
        <v>42000</v>
      </c>
      <c r="M9" s="459">
        <f>L9*$M$3</f>
        <v>2654.4</v>
      </c>
      <c r="N9" s="459">
        <f>L9+M9</f>
        <v>44654.400000000001</v>
      </c>
      <c r="O9" s="459"/>
      <c r="P9" s="436"/>
    </row>
    <row r="10" spans="1:19" ht="28.5" x14ac:dyDescent="0.2">
      <c r="B10" s="700"/>
      <c r="C10" s="698" t="s">
        <v>286</v>
      </c>
      <c r="D10" s="419" t="s">
        <v>282</v>
      </c>
      <c r="E10" s="419" t="s">
        <v>283</v>
      </c>
      <c r="F10" s="419"/>
      <c r="G10" s="419" t="s">
        <v>284</v>
      </c>
      <c r="H10" s="422" t="s">
        <v>285</v>
      </c>
      <c r="I10" s="421">
        <v>1</v>
      </c>
      <c r="J10" s="421" t="s">
        <v>270</v>
      </c>
      <c r="K10" s="459">
        <v>125000</v>
      </c>
      <c r="L10" s="459">
        <f t="shared" ref="L10:L13" si="5">I10*K10</f>
        <v>125000</v>
      </c>
      <c r="M10" s="459">
        <f t="shared" ref="M10:M11" si="6">L10*$M$3</f>
        <v>7900.0000000000009</v>
      </c>
      <c r="N10" s="459">
        <f t="shared" ref="N10:N11" si="7">L10+M10</f>
        <v>132900</v>
      </c>
      <c r="O10" s="459">
        <f>N10</f>
        <v>132900</v>
      </c>
      <c r="P10" s="436"/>
    </row>
    <row r="11" spans="1:19" ht="28.5" x14ac:dyDescent="0.2">
      <c r="B11" s="700"/>
      <c r="C11" s="698"/>
      <c r="D11" s="419" t="s">
        <v>287</v>
      </c>
      <c r="E11" s="419"/>
      <c r="F11" s="419"/>
      <c r="G11" s="419" t="s">
        <v>288</v>
      </c>
      <c r="H11" s="419"/>
      <c r="I11" s="421">
        <v>1.85</v>
      </c>
      <c r="J11" s="421" t="s">
        <v>289</v>
      </c>
      <c r="K11" s="459">
        <v>1000</v>
      </c>
      <c r="L11" s="459">
        <f t="shared" si="5"/>
        <v>1850</v>
      </c>
      <c r="M11" s="459">
        <f t="shared" si="6"/>
        <v>116.92000000000002</v>
      </c>
      <c r="N11" s="459">
        <f t="shared" si="7"/>
        <v>1966.92</v>
      </c>
      <c r="O11" s="459">
        <f>N11</f>
        <v>1966.92</v>
      </c>
      <c r="P11" s="436" t="s">
        <v>290</v>
      </c>
    </row>
    <row r="12" spans="1:19" ht="42.75" x14ac:dyDescent="0.2">
      <c r="B12" s="700"/>
      <c r="C12" s="698"/>
      <c r="D12" s="419" t="s">
        <v>272</v>
      </c>
      <c r="E12" s="419"/>
      <c r="F12" s="419"/>
      <c r="G12" s="246" t="s">
        <v>291</v>
      </c>
      <c r="H12" s="419" t="s">
        <v>274</v>
      </c>
      <c r="I12" s="421">
        <v>2</v>
      </c>
      <c r="J12" s="421" t="s">
        <v>270</v>
      </c>
      <c r="K12" s="459">
        <v>10000</v>
      </c>
      <c r="L12" s="459">
        <f t="shared" si="5"/>
        <v>20000</v>
      </c>
      <c r="M12" s="459">
        <f>L12*$M$3</f>
        <v>1264.0000000000002</v>
      </c>
      <c r="N12" s="459">
        <f>L12+M12</f>
        <v>21264</v>
      </c>
      <c r="O12" s="459"/>
      <c r="P12" s="436" t="s">
        <v>292</v>
      </c>
    </row>
    <row r="13" spans="1:19" ht="14.25" x14ac:dyDescent="0.2">
      <c r="B13" s="700"/>
      <c r="C13" s="698"/>
      <c r="D13" s="419" t="s">
        <v>276</v>
      </c>
      <c r="E13" s="419" t="s">
        <v>277</v>
      </c>
      <c r="F13" s="419"/>
      <c r="G13" s="419" t="s">
        <v>278</v>
      </c>
      <c r="H13" s="419" t="s">
        <v>279</v>
      </c>
      <c r="I13" s="421">
        <v>1000</v>
      </c>
      <c r="J13" s="421" t="s">
        <v>280</v>
      </c>
      <c r="K13" s="459">
        <v>6</v>
      </c>
      <c r="L13" s="459">
        <f t="shared" si="5"/>
        <v>6000</v>
      </c>
      <c r="M13" s="459">
        <f>L13*$M$3</f>
        <v>379.20000000000005</v>
      </c>
      <c r="N13" s="459">
        <f>L13+M13</f>
        <v>6379.2</v>
      </c>
      <c r="O13" s="459"/>
      <c r="P13" s="436"/>
    </row>
    <row r="14" spans="1:19" ht="28.5" x14ac:dyDescent="0.2">
      <c r="B14" s="700"/>
      <c r="C14" s="698" t="s">
        <v>21</v>
      </c>
      <c r="D14" s="419" t="s">
        <v>282</v>
      </c>
      <c r="E14" s="419" t="s">
        <v>283</v>
      </c>
      <c r="F14" s="419"/>
      <c r="G14" s="419" t="s">
        <v>293</v>
      </c>
      <c r="H14" s="422" t="s">
        <v>285</v>
      </c>
      <c r="I14" s="421">
        <v>1</v>
      </c>
      <c r="J14" s="421" t="s">
        <v>270</v>
      </c>
      <c r="K14" s="459">
        <v>200000</v>
      </c>
      <c r="L14" s="459">
        <f t="shared" si="0"/>
        <v>200000</v>
      </c>
      <c r="M14" s="459">
        <f t="shared" ref="M14:M16" si="8">L14*$M$3</f>
        <v>12640.000000000002</v>
      </c>
      <c r="N14" s="459">
        <f t="shared" ref="N14:N16" si="9">L14+M14</f>
        <v>212640</v>
      </c>
      <c r="O14" s="459">
        <f>N14</f>
        <v>212640</v>
      </c>
      <c r="P14" s="436"/>
    </row>
    <row r="15" spans="1:19" ht="28.5" x14ac:dyDescent="0.2">
      <c r="B15" s="700"/>
      <c r="C15" s="698"/>
      <c r="D15" s="419" t="s">
        <v>287</v>
      </c>
      <c r="E15" s="419"/>
      <c r="F15" s="419"/>
      <c r="G15" s="419" t="s">
        <v>288</v>
      </c>
      <c r="H15" s="419"/>
      <c r="I15" s="421">
        <v>1.85</v>
      </c>
      <c r="J15" s="421" t="s">
        <v>289</v>
      </c>
      <c r="K15" s="459">
        <v>1000</v>
      </c>
      <c r="L15" s="459">
        <f t="shared" si="0"/>
        <v>1850</v>
      </c>
      <c r="M15" s="459">
        <f t="shared" si="8"/>
        <v>116.92000000000002</v>
      </c>
      <c r="N15" s="459">
        <f t="shared" si="9"/>
        <v>1966.92</v>
      </c>
      <c r="O15" s="459">
        <f>N15</f>
        <v>1966.92</v>
      </c>
      <c r="P15" s="436" t="s">
        <v>290</v>
      </c>
    </row>
    <row r="16" spans="1:19" ht="42.75" x14ac:dyDescent="0.2">
      <c r="B16" s="700"/>
      <c r="C16" s="698"/>
      <c r="D16" s="419" t="s">
        <v>272</v>
      </c>
      <c r="E16" s="419"/>
      <c r="F16" s="246"/>
      <c r="G16" s="246" t="s">
        <v>294</v>
      </c>
      <c r="H16" s="419"/>
      <c r="I16" s="421">
        <v>2</v>
      </c>
      <c r="J16" s="421" t="s">
        <v>270</v>
      </c>
      <c r="K16" s="459">
        <v>20000</v>
      </c>
      <c r="L16" s="459">
        <f t="shared" si="0"/>
        <v>40000</v>
      </c>
      <c r="M16" s="459">
        <f t="shared" si="8"/>
        <v>2528.0000000000005</v>
      </c>
      <c r="N16" s="459">
        <f t="shared" si="9"/>
        <v>42528</v>
      </c>
      <c r="O16" s="459"/>
      <c r="P16" s="436" t="s">
        <v>295</v>
      </c>
      <c r="S16" s="28"/>
    </row>
    <row r="17" spans="2:22" ht="14.25" x14ac:dyDescent="0.2">
      <c r="B17" s="700"/>
      <c r="C17" s="698"/>
      <c r="D17" s="419" t="s">
        <v>276</v>
      </c>
      <c r="E17" s="419" t="s">
        <v>296</v>
      </c>
      <c r="F17" s="419"/>
      <c r="G17" s="419" t="s">
        <v>297</v>
      </c>
      <c r="H17" s="419" t="s">
        <v>279</v>
      </c>
      <c r="I17" s="421">
        <v>13200</v>
      </c>
      <c r="J17" s="421" t="s">
        <v>280</v>
      </c>
      <c r="K17" s="459">
        <v>23</v>
      </c>
      <c r="L17" s="459">
        <f t="shared" si="0"/>
        <v>303600</v>
      </c>
      <c r="M17" s="459">
        <f>L17*$M$3</f>
        <v>19187.52</v>
      </c>
      <c r="N17" s="459">
        <f>L17+M17</f>
        <v>322787.52</v>
      </c>
      <c r="O17" s="459"/>
      <c r="P17" s="436"/>
    </row>
    <row r="18" spans="2:22" ht="57" x14ac:dyDescent="0.2">
      <c r="B18" s="700"/>
      <c r="C18" s="419" t="s">
        <v>298</v>
      </c>
      <c r="D18" s="419" t="s">
        <v>299</v>
      </c>
      <c r="E18" s="419" t="s">
        <v>277</v>
      </c>
      <c r="F18" s="419"/>
      <c r="G18" s="419" t="s">
        <v>300</v>
      </c>
      <c r="H18" s="419" t="s">
        <v>279</v>
      </c>
      <c r="I18" s="421">
        <v>5100</v>
      </c>
      <c r="J18" s="421" t="s">
        <v>280</v>
      </c>
      <c r="K18" s="459">
        <v>6</v>
      </c>
      <c r="L18" s="459">
        <f t="shared" ref="L18" si="10">I18*K18</f>
        <v>30600</v>
      </c>
      <c r="M18" s="459">
        <f>L18*$M$3</f>
        <v>1933.9200000000003</v>
      </c>
      <c r="N18" s="459">
        <f>L18+M18</f>
        <v>32533.920000000002</v>
      </c>
      <c r="O18" s="459">
        <f>N18</f>
        <v>32533.920000000002</v>
      </c>
      <c r="P18" s="436"/>
      <c r="S18" s="28"/>
    </row>
    <row r="19" spans="2:22" ht="28.5" x14ac:dyDescent="0.2">
      <c r="B19" s="700"/>
      <c r="C19" s="698" t="s">
        <v>20</v>
      </c>
      <c r="D19" s="419" t="s">
        <v>282</v>
      </c>
      <c r="E19" s="419" t="s">
        <v>283</v>
      </c>
      <c r="F19" s="419"/>
      <c r="G19" s="419" t="s">
        <v>293</v>
      </c>
      <c r="H19" s="422" t="s">
        <v>285</v>
      </c>
      <c r="I19" s="421">
        <v>1</v>
      </c>
      <c r="J19" s="421" t="s">
        <v>270</v>
      </c>
      <c r="K19" s="459">
        <v>200000</v>
      </c>
      <c r="L19" s="459">
        <f t="shared" ref="L19" si="11">I19*K19</f>
        <v>200000</v>
      </c>
      <c r="M19" s="459">
        <f t="shared" ref="M19" si="12">L19*$M$3</f>
        <v>12640.000000000002</v>
      </c>
      <c r="N19" s="459">
        <f t="shared" ref="N19" si="13">L19+M19</f>
        <v>212640</v>
      </c>
      <c r="O19" s="459">
        <f>N19</f>
        <v>212640</v>
      </c>
      <c r="P19" s="436"/>
      <c r="S19" s="99" t="s">
        <v>301</v>
      </c>
      <c r="T19" s="99" t="s">
        <v>302</v>
      </c>
    </row>
    <row r="20" spans="2:22" ht="28.5" x14ac:dyDescent="0.2">
      <c r="B20" s="700"/>
      <c r="C20" s="698"/>
      <c r="D20" s="419" t="s">
        <v>287</v>
      </c>
      <c r="E20" s="419"/>
      <c r="F20" s="419"/>
      <c r="G20" s="419" t="s">
        <v>288</v>
      </c>
      <c r="H20" s="419"/>
      <c r="I20" s="421">
        <v>1.85</v>
      </c>
      <c r="J20" s="421" t="s">
        <v>289</v>
      </c>
      <c r="K20" s="459">
        <v>1000</v>
      </c>
      <c r="L20" s="459">
        <f t="shared" si="0"/>
        <v>1850</v>
      </c>
      <c r="M20" s="459">
        <f t="shared" ref="M20:M21" si="14">L20*$M$3</f>
        <v>116.92000000000002</v>
      </c>
      <c r="N20" s="459">
        <f t="shared" ref="N20:N21" si="15">L20+M20</f>
        <v>1966.92</v>
      </c>
      <c r="O20" s="459">
        <f>N20</f>
        <v>1966.92</v>
      </c>
      <c r="P20" s="436" t="s">
        <v>290</v>
      </c>
      <c r="S20" s="99" t="s">
        <v>303</v>
      </c>
      <c r="T20" s="99" t="s">
        <v>304</v>
      </c>
    </row>
    <row r="21" spans="2:22" ht="42.75" x14ac:dyDescent="0.2">
      <c r="B21" s="700"/>
      <c r="C21" s="698"/>
      <c r="D21" s="419" t="s">
        <v>272</v>
      </c>
      <c r="E21" s="423"/>
      <c r="F21" s="419"/>
      <c r="G21" s="419" t="s">
        <v>305</v>
      </c>
      <c r="H21" s="419"/>
      <c r="I21" s="424">
        <v>2</v>
      </c>
      <c r="J21" s="421" t="s">
        <v>270</v>
      </c>
      <c r="K21" s="459">
        <v>15000</v>
      </c>
      <c r="L21" s="459">
        <f t="shared" si="0"/>
        <v>30000</v>
      </c>
      <c r="M21" s="459">
        <f t="shared" si="14"/>
        <v>1896.0000000000002</v>
      </c>
      <c r="N21" s="459">
        <f t="shared" si="15"/>
        <v>31896</v>
      </c>
      <c r="O21" s="459"/>
      <c r="P21" s="436" t="s">
        <v>306</v>
      </c>
    </row>
    <row r="22" spans="2:22" ht="28.5" x14ac:dyDescent="0.2">
      <c r="B22" s="700"/>
      <c r="C22" s="698"/>
      <c r="D22" s="419" t="s">
        <v>307</v>
      </c>
      <c r="E22" s="419" t="s">
        <v>277</v>
      </c>
      <c r="F22" s="419"/>
      <c r="G22" s="419" t="s">
        <v>300</v>
      </c>
      <c r="H22" s="419" t="s">
        <v>279</v>
      </c>
      <c r="I22" s="421">
        <v>6000</v>
      </c>
      <c r="J22" s="421" t="s">
        <v>280</v>
      </c>
      <c r="K22" s="459">
        <v>6</v>
      </c>
      <c r="L22" s="459">
        <f t="shared" si="0"/>
        <v>36000</v>
      </c>
      <c r="M22" s="459">
        <f>L22*$M$3</f>
        <v>2275.2000000000003</v>
      </c>
      <c r="N22" s="459">
        <f>L22+M22</f>
        <v>38275.199999999997</v>
      </c>
      <c r="O22" s="459">
        <f>N22</f>
        <v>38275.199999999997</v>
      </c>
      <c r="P22" s="436"/>
      <c r="S22" s="99" t="s">
        <v>308</v>
      </c>
      <c r="T22" s="99"/>
      <c r="U22" s="134">
        <v>46114</v>
      </c>
      <c r="V22" s="99" t="s">
        <v>309</v>
      </c>
    </row>
    <row r="23" spans="2:22" ht="28.5" x14ac:dyDescent="0.2">
      <c r="B23" s="700"/>
      <c r="C23" s="698" t="s">
        <v>310</v>
      </c>
      <c r="D23" s="419" t="s">
        <v>311</v>
      </c>
      <c r="E23" s="419"/>
      <c r="F23" s="419"/>
      <c r="G23" s="419" t="s">
        <v>312</v>
      </c>
      <c r="H23" s="422"/>
      <c r="I23" s="421">
        <v>1</v>
      </c>
      <c r="J23" s="421" t="s">
        <v>270</v>
      </c>
      <c r="K23" s="459">
        <v>20000</v>
      </c>
      <c r="L23" s="459">
        <f t="shared" ref="L23:L27" si="16">I23*K23</f>
        <v>20000</v>
      </c>
      <c r="M23" s="459">
        <f t="shared" ref="M23" si="17">L23*$M$3</f>
        <v>1264.0000000000002</v>
      </c>
      <c r="N23" s="459">
        <f t="shared" ref="N23" si="18">L23+M23</f>
        <v>21264</v>
      </c>
      <c r="O23" s="459">
        <f>N23</f>
        <v>21264</v>
      </c>
      <c r="P23" s="436" t="s">
        <v>313</v>
      </c>
      <c r="S23" s="99" t="s">
        <v>301</v>
      </c>
      <c r="T23" s="99" t="s">
        <v>302</v>
      </c>
    </row>
    <row r="24" spans="2:22" ht="14.25" x14ac:dyDescent="0.2">
      <c r="B24" s="700"/>
      <c r="C24" s="698"/>
      <c r="D24" s="419" t="s">
        <v>276</v>
      </c>
      <c r="E24" s="419" t="s">
        <v>277</v>
      </c>
      <c r="F24" s="419"/>
      <c r="G24" s="419" t="s">
        <v>278</v>
      </c>
      <c r="H24" s="419" t="s">
        <v>279</v>
      </c>
      <c r="I24" s="421">
        <v>1500</v>
      </c>
      <c r="J24" s="421" t="s">
        <v>280</v>
      </c>
      <c r="K24" s="459">
        <v>6</v>
      </c>
      <c r="L24" s="459">
        <f t="shared" si="16"/>
        <v>9000</v>
      </c>
      <c r="M24" s="459">
        <f>L24*$M$3</f>
        <v>568.80000000000007</v>
      </c>
      <c r="N24" s="459">
        <f>L24+M24</f>
        <v>9568.7999999999993</v>
      </c>
      <c r="O24" s="459">
        <f>N24</f>
        <v>9568.7999999999993</v>
      </c>
      <c r="P24" s="436" t="s">
        <v>314</v>
      </c>
      <c r="S24" s="99" t="s">
        <v>303</v>
      </c>
      <c r="T24" s="99" t="s">
        <v>304</v>
      </c>
    </row>
    <row r="25" spans="2:22" ht="28.5" x14ac:dyDescent="0.2">
      <c r="B25" s="700"/>
      <c r="C25" s="698" t="s">
        <v>315</v>
      </c>
      <c r="D25" s="419" t="s">
        <v>311</v>
      </c>
      <c r="E25" s="419"/>
      <c r="F25" s="419"/>
      <c r="G25" s="419"/>
      <c r="H25" s="422"/>
      <c r="I25" s="421">
        <v>1</v>
      </c>
      <c r="J25" s="421" t="s">
        <v>270</v>
      </c>
      <c r="K25" s="459">
        <v>20000</v>
      </c>
      <c r="L25" s="459">
        <f t="shared" ref="L25" si="19">I25*K25</f>
        <v>20000</v>
      </c>
      <c r="M25" s="459">
        <f t="shared" ref="M25" si="20">L25*$M$3</f>
        <v>1264.0000000000002</v>
      </c>
      <c r="N25" s="459">
        <f t="shared" ref="N25" si="21">L25+M25</f>
        <v>21264</v>
      </c>
      <c r="O25" s="459"/>
      <c r="P25" s="436" t="s">
        <v>313</v>
      </c>
    </row>
    <row r="26" spans="2:22" ht="14.25" x14ac:dyDescent="0.2">
      <c r="B26" s="700"/>
      <c r="C26" s="698"/>
      <c r="D26" s="419" t="s">
        <v>272</v>
      </c>
      <c r="E26" s="419"/>
      <c r="F26" s="419"/>
      <c r="G26" s="419" t="s">
        <v>316</v>
      </c>
      <c r="H26" s="419"/>
      <c r="I26" s="421">
        <v>2</v>
      </c>
      <c r="J26" s="421" t="s">
        <v>270</v>
      </c>
      <c r="K26" s="459">
        <v>10000</v>
      </c>
      <c r="L26" s="459">
        <f t="shared" si="16"/>
        <v>20000</v>
      </c>
      <c r="M26" s="459">
        <f t="shared" ref="M26" si="22">L26*$M$3</f>
        <v>1264.0000000000002</v>
      </c>
      <c r="N26" s="459">
        <f t="shared" ref="N26" si="23">L26+M26</f>
        <v>21264</v>
      </c>
      <c r="O26" s="459"/>
      <c r="P26" s="436" t="s">
        <v>275</v>
      </c>
      <c r="R26" s="28"/>
      <c r="S26" s="99" t="s">
        <v>308</v>
      </c>
      <c r="T26" s="99"/>
      <c r="U26" s="134">
        <v>46114</v>
      </c>
      <c r="V26" s="99" t="s">
        <v>309</v>
      </c>
    </row>
    <row r="27" spans="2:22" ht="14.25" x14ac:dyDescent="0.2">
      <c r="B27" s="700"/>
      <c r="C27" s="698"/>
      <c r="D27" s="419" t="s">
        <v>299</v>
      </c>
      <c r="E27" s="419" t="s">
        <v>277</v>
      </c>
      <c r="F27" s="419"/>
      <c r="G27" s="419" t="s">
        <v>278</v>
      </c>
      <c r="H27" s="419" t="s">
        <v>279</v>
      </c>
      <c r="I27" s="421">
        <v>3500</v>
      </c>
      <c r="J27" s="421" t="s">
        <v>280</v>
      </c>
      <c r="K27" s="459">
        <v>6</v>
      </c>
      <c r="L27" s="459">
        <f t="shared" si="16"/>
        <v>21000</v>
      </c>
      <c r="M27" s="459">
        <f>L27*$M$3</f>
        <v>1327.2</v>
      </c>
      <c r="N27" s="459">
        <f>L27+M27</f>
        <v>22327.200000000001</v>
      </c>
      <c r="O27" s="459"/>
      <c r="P27" s="436"/>
      <c r="S27" s="99" t="s">
        <v>301</v>
      </c>
      <c r="T27" s="99" t="s">
        <v>302</v>
      </c>
    </row>
    <row r="28" spans="2:22" ht="28.5" x14ac:dyDescent="0.2">
      <c r="B28" s="700"/>
      <c r="C28" s="698" t="s">
        <v>317</v>
      </c>
      <c r="D28" s="419" t="s">
        <v>282</v>
      </c>
      <c r="E28" s="419" t="s">
        <v>283</v>
      </c>
      <c r="F28" s="419"/>
      <c r="G28" s="419" t="s">
        <v>293</v>
      </c>
      <c r="H28" s="422" t="s">
        <v>285</v>
      </c>
      <c r="I28" s="421">
        <v>1</v>
      </c>
      <c r="J28" s="421" t="s">
        <v>270</v>
      </c>
      <c r="K28" s="459">
        <v>200000</v>
      </c>
      <c r="L28" s="459">
        <f t="shared" si="0"/>
        <v>200000</v>
      </c>
      <c r="M28" s="459">
        <f t="shared" ref="M28:M30" si="24">L28*$M$3</f>
        <v>12640.000000000002</v>
      </c>
      <c r="N28" s="459">
        <f t="shared" ref="N28:N30" si="25">L28+M28</f>
        <v>212640</v>
      </c>
      <c r="O28" s="459">
        <f>N28</f>
        <v>212640</v>
      </c>
      <c r="P28" s="436"/>
      <c r="S28" s="99" t="s">
        <v>303</v>
      </c>
      <c r="T28" s="99" t="s">
        <v>304</v>
      </c>
    </row>
    <row r="29" spans="2:22" ht="28.5" x14ac:dyDescent="0.2">
      <c r="B29" s="700"/>
      <c r="C29" s="698"/>
      <c r="D29" s="419" t="s">
        <v>287</v>
      </c>
      <c r="E29" s="419"/>
      <c r="F29" s="419"/>
      <c r="G29" s="419" t="s">
        <v>288</v>
      </c>
      <c r="H29" s="419"/>
      <c r="I29" s="421">
        <v>1.85</v>
      </c>
      <c r="J29" s="421" t="s">
        <v>289</v>
      </c>
      <c r="K29" s="459">
        <v>1000</v>
      </c>
      <c r="L29" s="459">
        <f t="shared" si="0"/>
        <v>1850</v>
      </c>
      <c r="M29" s="459">
        <f t="shared" si="24"/>
        <v>116.92000000000002</v>
      </c>
      <c r="N29" s="459">
        <f t="shared" si="25"/>
        <v>1966.92</v>
      </c>
      <c r="O29" s="459">
        <f>N29</f>
        <v>1966.92</v>
      </c>
      <c r="P29" s="436" t="s">
        <v>290</v>
      </c>
      <c r="S29" s="99" t="s">
        <v>318</v>
      </c>
      <c r="T29" s="99" t="s">
        <v>319</v>
      </c>
    </row>
    <row r="30" spans="2:22" ht="42.75" x14ac:dyDescent="0.2">
      <c r="B30" s="700"/>
      <c r="C30" s="698"/>
      <c r="D30" s="419" t="s">
        <v>272</v>
      </c>
      <c r="E30" s="419"/>
      <c r="F30" s="419"/>
      <c r="G30" s="419" t="s">
        <v>320</v>
      </c>
      <c r="H30" s="419"/>
      <c r="I30" s="421">
        <v>2</v>
      </c>
      <c r="J30" s="421" t="s">
        <v>270</v>
      </c>
      <c r="K30" s="459">
        <v>17500</v>
      </c>
      <c r="L30" s="459">
        <f t="shared" ref="L30:L34" si="26">I30*K30</f>
        <v>35000</v>
      </c>
      <c r="M30" s="459">
        <f t="shared" si="24"/>
        <v>2212</v>
      </c>
      <c r="N30" s="459">
        <f t="shared" si="25"/>
        <v>37212</v>
      </c>
      <c r="O30" s="459"/>
      <c r="P30" s="436" t="s">
        <v>321</v>
      </c>
      <c r="R30" s="28"/>
    </row>
    <row r="31" spans="2:22" ht="28.5" x14ac:dyDescent="0.2">
      <c r="B31" s="700"/>
      <c r="C31" s="698"/>
      <c r="D31" s="419" t="s">
        <v>307</v>
      </c>
      <c r="E31" s="419" t="s">
        <v>277</v>
      </c>
      <c r="F31" s="419"/>
      <c r="G31" s="419" t="s">
        <v>269</v>
      </c>
      <c r="H31" s="419" t="s">
        <v>279</v>
      </c>
      <c r="I31" s="421">
        <v>11000</v>
      </c>
      <c r="J31" s="421" t="s">
        <v>280</v>
      </c>
      <c r="K31" s="459">
        <v>11</v>
      </c>
      <c r="L31" s="459">
        <f t="shared" si="26"/>
        <v>121000</v>
      </c>
      <c r="M31" s="459">
        <f>L31*$M$3</f>
        <v>7647.2000000000007</v>
      </c>
      <c r="N31" s="459">
        <f>L31+M31</f>
        <v>128647.2</v>
      </c>
      <c r="O31" s="459"/>
      <c r="P31" s="436"/>
    </row>
    <row r="32" spans="2:22" ht="28.5" x14ac:dyDescent="0.2">
      <c r="B32" s="700"/>
      <c r="C32" s="698" t="s">
        <v>322</v>
      </c>
      <c r="D32" s="419" t="s">
        <v>282</v>
      </c>
      <c r="E32" s="419" t="s">
        <v>283</v>
      </c>
      <c r="F32" s="419"/>
      <c r="G32" s="419" t="s">
        <v>323</v>
      </c>
      <c r="H32" s="422" t="s">
        <v>285</v>
      </c>
      <c r="I32" s="421">
        <v>2</v>
      </c>
      <c r="J32" s="421" t="s">
        <v>270</v>
      </c>
      <c r="K32" s="459">
        <v>125000</v>
      </c>
      <c r="L32" s="459">
        <f t="shared" si="26"/>
        <v>250000</v>
      </c>
      <c r="M32" s="459">
        <f t="shared" ref="M32:M35" si="27">L32*$M$3</f>
        <v>15800.000000000002</v>
      </c>
      <c r="N32" s="459">
        <f t="shared" ref="N32:N35" si="28">L32+M32</f>
        <v>265800</v>
      </c>
      <c r="O32" s="459">
        <f>N32</f>
        <v>265800</v>
      </c>
      <c r="P32" s="436"/>
    </row>
    <row r="33" spans="1:18" ht="28.5" x14ac:dyDescent="0.2">
      <c r="B33" s="700"/>
      <c r="C33" s="698"/>
      <c r="D33" s="419" t="s">
        <v>287</v>
      </c>
      <c r="E33" s="419"/>
      <c r="F33" s="419"/>
      <c r="G33" s="419" t="s">
        <v>288</v>
      </c>
      <c r="H33" s="419"/>
      <c r="I33" s="421">
        <v>4</v>
      </c>
      <c r="J33" s="421" t="s">
        <v>289</v>
      </c>
      <c r="K33" s="459">
        <v>1000</v>
      </c>
      <c r="L33" s="459">
        <f t="shared" si="26"/>
        <v>4000</v>
      </c>
      <c r="M33" s="459">
        <f t="shared" si="27"/>
        <v>252.8</v>
      </c>
      <c r="N33" s="459">
        <f t="shared" si="28"/>
        <v>4252.8</v>
      </c>
      <c r="O33" s="459">
        <f>N33</f>
        <v>4252.8</v>
      </c>
      <c r="P33" s="436" t="s">
        <v>290</v>
      </c>
    </row>
    <row r="34" spans="1:18" ht="28.5" x14ac:dyDescent="0.2">
      <c r="B34" s="700"/>
      <c r="C34" s="698"/>
      <c r="D34" s="419" t="s">
        <v>272</v>
      </c>
      <c r="E34" s="419"/>
      <c r="F34" s="419"/>
      <c r="G34" s="419" t="s">
        <v>324</v>
      </c>
      <c r="H34" s="419"/>
      <c r="I34" s="421">
        <v>2</v>
      </c>
      <c r="J34" s="421" t="s">
        <v>270</v>
      </c>
      <c r="K34" s="459">
        <v>20000</v>
      </c>
      <c r="L34" s="459">
        <f t="shared" si="26"/>
        <v>40000</v>
      </c>
      <c r="M34" s="459">
        <f t="shared" ref="M34" si="29">L34*$M$3</f>
        <v>2528.0000000000005</v>
      </c>
      <c r="N34" s="459">
        <f t="shared" ref="N34" si="30">L34+M34</f>
        <v>42528</v>
      </c>
      <c r="O34" s="459"/>
      <c r="P34" s="436" t="s">
        <v>325</v>
      </c>
      <c r="R34" s="28"/>
    </row>
    <row r="35" spans="1:18" ht="28.5" x14ac:dyDescent="0.2">
      <c r="B35" s="700"/>
      <c r="C35" s="698"/>
      <c r="D35" s="419" t="s">
        <v>272</v>
      </c>
      <c r="E35" s="419"/>
      <c r="F35" s="419"/>
      <c r="G35" s="419" t="s">
        <v>324</v>
      </c>
      <c r="H35" s="419"/>
      <c r="I35" s="421">
        <v>2</v>
      </c>
      <c r="J35" s="421" t="s">
        <v>270</v>
      </c>
      <c r="K35" s="459">
        <v>20000</v>
      </c>
      <c r="L35" s="459">
        <f t="shared" ref="L35:L36" si="31">I35*K35</f>
        <v>40000</v>
      </c>
      <c r="M35" s="459">
        <f t="shared" si="27"/>
        <v>2528.0000000000005</v>
      </c>
      <c r="N35" s="459">
        <f t="shared" si="28"/>
        <v>42528</v>
      </c>
      <c r="O35" s="459"/>
      <c r="P35" s="436" t="s">
        <v>325</v>
      </c>
      <c r="R35" s="28"/>
    </row>
    <row r="36" spans="1:18" ht="28.5" x14ac:dyDescent="0.2">
      <c r="B36" s="700"/>
      <c r="C36" s="698"/>
      <c r="D36" s="419" t="s">
        <v>307</v>
      </c>
      <c r="E36" s="419" t="s">
        <v>277</v>
      </c>
      <c r="F36" s="419"/>
      <c r="G36" s="419" t="s">
        <v>278</v>
      </c>
      <c r="H36" s="419" t="s">
        <v>279</v>
      </c>
      <c r="I36" s="421">
        <v>11000</v>
      </c>
      <c r="J36" s="421" t="s">
        <v>280</v>
      </c>
      <c r="K36" s="459">
        <v>11</v>
      </c>
      <c r="L36" s="459">
        <f t="shared" si="31"/>
        <v>121000</v>
      </c>
      <c r="M36" s="459">
        <f>L36*$M$3</f>
        <v>7647.2000000000007</v>
      </c>
      <c r="N36" s="459">
        <f>L36+M36</f>
        <v>128647.2</v>
      </c>
      <c r="O36" s="459"/>
      <c r="P36" s="436"/>
    </row>
    <row r="37" spans="1:18" ht="14.25" x14ac:dyDescent="0.2">
      <c r="B37" s="700"/>
      <c r="C37" s="698" t="s">
        <v>326</v>
      </c>
      <c r="D37" s="419" t="s">
        <v>327</v>
      </c>
      <c r="E37" s="419"/>
      <c r="F37" s="419"/>
      <c r="G37" s="419"/>
      <c r="H37" s="422"/>
      <c r="I37" s="421">
        <v>3</v>
      </c>
      <c r="J37" s="421" t="s">
        <v>270</v>
      </c>
      <c r="K37" s="459">
        <v>50000</v>
      </c>
      <c r="L37" s="459">
        <f t="shared" ref="L37" si="32">I37*K37</f>
        <v>150000</v>
      </c>
      <c r="M37" s="459">
        <f t="shared" ref="M37" si="33">L37*$M$3</f>
        <v>9480.0000000000018</v>
      </c>
      <c r="N37" s="459">
        <f t="shared" ref="N37" si="34">L37+M37</f>
        <v>159480</v>
      </c>
      <c r="O37" s="459">
        <f>N37</f>
        <v>159480</v>
      </c>
      <c r="P37" s="436" t="s">
        <v>328</v>
      </c>
    </row>
    <row r="38" spans="1:18" ht="14.25" x14ac:dyDescent="0.2">
      <c r="B38" s="700"/>
      <c r="C38" s="698"/>
      <c r="D38" s="419" t="s">
        <v>272</v>
      </c>
      <c r="E38" s="419"/>
      <c r="F38" s="419"/>
      <c r="G38" s="419" t="s">
        <v>329</v>
      </c>
      <c r="H38" s="419"/>
      <c r="I38" s="421">
        <v>6</v>
      </c>
      <c r="J38" s="421" t="s">
        <v>270</v>
      </c>
      <c r="K38" s="459">
        <v>20000</v>
      </c>
      <c r="L38" s="459">
        <f t="shared" si="0"/>
        <v>120000</v>
      </c>
      <c r="M38" s="459">
        <f t="shared" ref="M38" si="35">L38*$M$3</f>
        <v>7584.0000000000009</v>
      </c>
      <c r="N38" s="459">
        <f t="shared" ref="N38" si="36">L38+M38</f>
        <v>127584</v>
      </c>
      <c r="O38" s="459">
        <f>N38</f>
        <v>127584</v>
      </c>
      <c r="P38" s="436"/>
    </row>
    <row r="39" spans="1:18" ht="28.5" x14ac:dyDescent="0.2">
      <c r="B39" s="700"/>
      <c r="C39" s="698"/>
      <c r="D39" s="419" t="s">
        <v>307</v>
      </c>
      <c r="E39" s="419" t="s">
        <v>296</v>
      </c>
      <c r="F39" s="419"/>
      <c r="G39" s="419" t="s">
        <v>278</v>
      </c>
      <c r="H39" s="419" t="s">
        <v>279</v>
      </c>
      <c r="I39" s="421">
        <v>11000</v>
      </c>
      <c r="J39" s="421" t="s">
        <v>280</v>
      </c>
      <c r="K39" s="459">
        <v>9</v>
      </c>
      <c r="L39" s="459">
        <f t="shared" si="0"/>
        <v>99000</v>
      </c>
      <c r="M39" s="459">
        <f>L39*$M$3</f>
        <v>6256.8</v>
      </c>
      <c r="N39" s="459">
        <f>L39+M39</f>
        <v>105256.8</v>
      </c>
      <c r="O39" s="459">
        <f>N39</f>
        <v>105256.8</v>
      </c>
      <c r="P39" s="436"/>
    </row>
    <row r="40" spans="1:18" ht="14.25" x14ac:dyDescent="0.2">
      <c r="B40" s="700"/>
      <c r="C40" s="419"/>
      <c r="D40" s="419" t="s">
        <v>330</v>
      </c>
      <c r="E40" s="419"/>
      <c r="F40" s="419"/>
      <c r="G40" s="419"/>
      <c r="H40" s="419"/>
      <c r="I40" s="421"/>
      <c r="J40" s="421"/>
      <c r="K40" s="459"/>
      <c r="L40" s="459"/>
      <c r="M40" s="459"/>
      <c r="N40" s="459">
        <f>SUM(N5:N39)</f>
        <v>2654385.12</v>
      </c>
      <c r="O40" s="459">
        <f>SUM(O5:O39)</f>
        <v>1542703.2000000002</v>
      </c>
      <c r="P40" s="436"/>
    </row>
    <row r="41" spans="1:18" ht="14.25" x14ac:dyDescent="0.2">
      <c r="B41" s="700"/>
      <c r="C41" s="419"/>
      <c r="D41" s="419" t="s">
        <v>331</v>
      </c>
      <c r="E41" s="419"/>
      <c r="F41" s="419"/>
      <c r="G41" s="419"/>
      <c r="H41" s="419"/>
      <c r="I41" s="421"/>
      <c r="J41" s="421"/>
      <c r="K41" s="459"/>
      <c r="L41" s="459"/>
      <c r="M41" s="460"/>
      <c r="N41" s="459"/>
      <c r="O41" s="459">
        <v>60000</v>
      </c>
      <c r="P41" s="436" t="s">
        <v>332</v>
      </c>
    </row>
    <row r="42" spans="1:18" ht="28.5" x14ac:dyDescent="0.2">
      <c r="B42" s="700"/>
      <c r="C42" s="419"/>
      <c r="D42" s="419" t="s">
        <v>333</v>
      </c>
      <c r="E42" s="419"/>
      <c r="F42" s="419"/>
      <c r="G42" s="419"/>
      <c r="H42" s="419"/>
      <c r="I42" s="421"/>
      <c r="J42" s="421"/>
      <c r="K42" s="459"/>
      <c r="L42" s="459"/>
      <c r="M42" s="460"/>
      <c r="N42" s="459"/>
      <c r="O42" s="459">
        <v>250000</v>
      </c>
      <c r="P42" s="436" t="s">
        <v>334</v>
      </c>
    </row>
    <row r="43" spans="1:18" ht="28.5" x14ac:dyDescent="0.2">
      <c r="B43" s="700"/>
      <c r="C43" s="419"/>
      <c r="D43" s="419" t="s">
        <v>335</v>
      </c>
      <c r="E43" s="419"/>
      <c r="F43" s="419"/>
      <c r="G43" s="419"/>
      <c r="H43" s="419"/>
      <c r="I43" s="421"/>
      <c r="J43" s="421"/>
      <c r="K43" s="459"/>
      <c r="L43" s="459"/>
      <c r="M43" s="460"/>
      <c r="N43" s="459"/>
      <c r="O43" s="459">
        <v>250000</v>
      </c>
      <c r="P43" s="436" t="s">
        <v>336</v>
      </c>
    </row>
    <row r="44" spans="1:18" ht="29.25" thickBot="1" x14ac:dyDescent="0.25">
      <c r="B44" s="700"/>
      <c r="C44" s="441"/>
      <c r="D44" s="441" t="s">
        <v>337</v>
      </c>
      <c r="E44" s="441"/>
      <c r="F44" s="441"/>
      <c r="G44" s="441"/>
      <c r="H44" s="441"/>
      <c r="I44" s="442"/>
      <c r="J44" s="442"/>
      <c r="K44" s="443"/>
      <c r="L44" s="444"/>
      <c r="M44" s="445"/>
      <c r="N44" s="443">
        <v>0.25</v>
      </c>
      <c r="O44" s="461">
        <f>N44*N40</f>
        <v>663596.28</v>
      </c>
      <c r="P44" s="446" t="s">
        <v>338</v>
      </c>
    </row>
    <row r="45" spans="1:18" s="75" customFormat="1" ht="15" thickBot="1" x14ac:dyDescent="0.25">
      <c r="A45" s="74"/>
      <c r="B45" s="701"/>
      <c r="C45" s="703" t="s">
        <v>29</v>
      </c>
      <c r="D45" s="704"/>
      <c r="E45" s="704"/>
      <c r="F45" s="704"/>
      <c r="G45" s="704"/>
      <c r="H45" s="704"/>
      <c r="I45" s="704"/>
      <c r="J45" s="704"/>
      <c r="K45" s="704"/>
      <c r="L45" s="704"/>
      <c r="M45" s="704"/>
      <c r="N45" s="705"/>
      <c r="O45" s="465">
        <f>SUM(O40:O44)</f>
        <v>2766299.4800000004</v>
      </c>
      <c r="P45" s="448"/>
      <c r="Q45" s="74"/>
    </row>
    <row r="46" spans="1:18" ht="29.25" thickBot="1" x14ac:dyDescent="0.25">
      <c r="B46" s="699" t="s">
        <v>339</v>
      </c>
      <c r="C46" s="702" t="s">
        <v>340</v>
      </c>
      <c r="D46" s="415" t="s">
        <v>341</v>
      </c>
      <c r="E46" s="415"/>
      <c r="F46" s="415"/>
      <c r="G46" s="427"/>
      <c r="H46" s="415"/>
      <c r="I46" s="418">
        <v>2</v>
      </c>
      <c r="J46" s="418" t="s">
        <v>270</v>
      </c>
      <c r="K46" s="464">
        <v>500000</v>
      </c>
      <c r="L46" s="464">
        <f>I46*K46</f>
        <v>1000000</v>
      </c>
      <c r="M46" s="464">
        <f>L46*$M$3</f>
        <v>63200.000000000007</v>
      </c>
      <c r="N46" s="464">
        <f>L46+M46</f>
        <v>1063200</v>
      </c>
      <c r="O46" s="464">
        <f>N46</f>
        <v>1063200</v>
      </c>
      <c r="P46" s="435" t="s">
        <v>342</v>
      </c>
      <c r="Q46" s="28"/>
      <c r="R46" s="28"/>
    </row>
    <row r="47" spans="1:18" ht="14.25" x14ac:dyDescent="0.2">
      <c r="B47" s="711"/>
      <c r="C47" s="715"/>
      <c r="D47" s="415" t="s">
        <v>343</v>
      </c>
      <c r="E47" s="430"/>
      <c r="F47" s="430"/>
      <c r="G47" s="640"/>
      <c r="H47" s="430"/>
      <c r="I47" s="432">
        <v>4</v>
      </c>
      <c r="J47" s="418" t="s">
        <v>270</v>
      </c>
      <c r="K47" s="458">
        <v>150000</v>
      </c>
      <c r="L47" s="464">
        <f>I47*K47</f>
        <v>600000</v>
      </c>
      <c r="M47" s="464">
        <f>L47*$M$3</f>
        <v>37920.000000000007</v>
      </c>
      <c r="N47" s="464">
        <f>L47+M47</f>
        <v>637920</v>
      </c>
      <c r="O47" s="464">
        <f>N47</f>
        <v>637920</v>
      </c>
      <c r="P47" s="439"/>
      <c r="Q47" s="28"/>
      <c r="R47" s="28"/>
    </row>
    <row r="48" spans="1:18" ht="34.5" customHeight="1" x14ac:dyDescent="0.2">
      <c r="B48" s="700"/>
      <c r="C48" s="698"/>
      <c r="D48" s="419" t="s">
        <v>344</v>
      </c>
      <c r="E48" s="419" t="s">
        <v>345</v>
      </c>
      <c r="F48" s="419"/>
      <c r="G48" s="419" t="s">
        <v>346</v>
      </c>
      <c r="H48" s="419"/>
      <c r="I48" s="421">
        <v>4</v>
      </c>
      <c r="J48" s="421" t="s">
        <v>270</v>
      </c>
      <c r="K48" s="459">
        <v>50000</v>
      </c>
      <c r="L48" s="459">
        <f>I48*K48</f>
        <v>200000</v>
      </c>
      <c r="M48" s="459">
        <f>L48*$M$3</f>
        <v>12640.000000000002</v>
      </c>
      <c r="N48" s="459">
        <f>L48+M48</f>
        <v>212640</v>
      </c>
      <c r="O48" s="459">
        <f>N48</f>
        <v>212640</v>
      </c>
      <c r="P48" s="436" t="s">
        <v>347</v>
      </c>
      <c r="Q48"/>
    </row>
    <row r="49" spans="2:17" ht="28.5" x14ac:dyDescent="0.2">
      <c r="B49" s="700"/>
      <c r="C49" s="698"/>
      <c r="D49" s="419" t="s">
        <v>348</v>
      </c>
      <c r="E49" s="419" t="s">
        <v>345</v>
      </c>
      <c r="F49" s="419"/>
      <c r="G49" s="419" t="s">
        <v>349</v>
      </c>
      <c r="H49" s="419"/>
      <c r="I49" s="421">
        <v>4</v>
      </c>
      <c r="J49" s="421" t="s">
        <v>270</v>
      </c>
      <c r="K49" s="459">
        <v>20000</v>
      </c>
      <c r="L49" s="459">
        <f>I49*K49</f>
        <v>80000</v>
      </c>
      <c r="M49" s="459">
        <f>L49*$M$3</f>
        <v>5056.0000000000009</v>
      </c>
      <c r="N49" s="459">
        <f>L49+M49</f>
        <v>85056</v>
      </c>
      <c r="O49" s="459">
        <f>N49</f>
        <v>85056</v>
      </c>
      <c r="P49" s="436" t="s">
        <v>350</v>
      </c>
      <c r="Q49"/>
    </row>
    <row r="50" spans="2:17" ht="28.5" x14ac:dyDescent="0.2">
      <c r="B50" s="712"/>
      <c r="C50" s="683"/>
      <c r="D50" s="419" t="s">
        <v>299</v>
      </c>
      <c r="E50" s="419" t="s">
        <v>296</v>
      </c>
      <c r="F50" s="419"/>
      <c r="G50" s="419" t="s">
        <v>269</v>
      </c>
      <c r="H50" s="419"/>
      <c r="I50" s="421">
        <v>25000</v>
      </c>
      <c r="J50" s="421" t="s">
        <v>280</v>
      </c>
      <c r="K50" s="459">
        <v>13</v>
      </c>
      <c r="L50" s="459">
        <f t="shared" ref="L50:L52" si="37">I50*K50</f>
        <v>325000</v>
      </c>
      <c r="M50" s="459">
        <f t="shared" ref="M50:M52" si="38">L50*$M$3</f>
        <v>20540.000000000004</v>
      </c>
      <c r="N50" s="459">
        <f>L50+M50</f>
        <v>345540</v>
      </c>
      <c r="O50" s="459">
        <f>N50/2</f>
        <v>172770</v>
      </c>
      <c r="P50" s="436" t="s">
        <v>351</v>
      </c>
    </row>
    <row r="51" spans="2:17" ht="14.25" x14ac:dyDescent="0.2">
      <c r="B51" s="712"/>
      <c r="C51" s="698" t="s">
        <v>352</v>
      </c>
      <c r="D51" s="419" t="s">
        <v>353</v>
      </c>
      <c r="E51" s="419"/>
      <c r="F51" s="419"/>
      <c r="G51" s="419"/>
      <c r="H51" s="422"/>
      <c r="I51" s="421">
        <v>20</v>
      </c>
      <c r="J51" s="421" t="s">
        <v>270</v>
      </c>
      <c r="K51" s="459">
        <v>50000</v>
      </c>
      <c r="L51" s="459">
        <f t="shared" si="37"/>
        <v>1000000</v>
      </c>
      <c r="M51" s="459">
        <f t="shared" si="38"/>
        <v>63200.000000000007</v>
      </c>
      <c r="N51" s="459">
        <f t="shared" ref="N51:N52" si="39">L51+M51</f>
        <v>1063200</v>
      </c>
      <c r="O51" s="459"/>
      <c r="P51" s="436" t="s">
        <v>354</v>
      </c>
    </row>
    <row r="52" spans="2:17" ht="14.25" x14ac:dyDescent="0.2">
      <c r="B52" s="712"/>
      <c r="C52" s="683"/>
      <c r="D52" s="419" t="s">
        <v>272</v>
      </c>
      <c r="E52" s="419"/>
      <c r="F52" s="419"/>
      <c r="G52" s="419" t="s">
        <v>355</v>
      </c>
      <c r="H52" s="419"/>
      <c r="I52" s="421">
        <v>20</v>
      </c>
      <c r="J52" s="421" t="s">
        <v>270</v>
      </c>
      <c r="K52" s="459">
        <v>15000</v>
      </c>
      <c r="L52" s="459">
        <f t="shared" si="37"/>
        <v>300000</v>
      </c>
      <c r="M52" s="459">
        <f t="shared" si="38"/>
        <v>18960.000000000004</v>
      </c>
      <c r="N52" s="459">
        <f t="shared" si="39"/>
        <v>318960</v>
      </c>
      <c r="O52" s="459"/>
      <c r="P52" s="436" t="s">
        <v>356</v>
      </c>
    </row>
    <row r="53" spans="2:17" ht="28.5" x14ac:dyDescent="0.2">
      <c r="B53" s="712"/>
      <c r="C53" s="683"/>
      <c r="D53" s="419" t="s">
        <v>276</v>
      </c>
      <c r="E53" s="419" t="s">
        <v>277</v>
      </c>
      <c r="F53" s="419"/>
      <c r="G53" s="419" t="s">
        <v>297</v>
      </c>
      <c r="H53" s="419" t="s">
        <v>279</v>
      </c>
      <c r="I53" s="421">
        <v>18000</v>
      </c>
      <c r="J53" s="421" t="s">
        <v>280</v>
      </c>
      <c r="K53" s="459">
        <v>19</v>
      </c>
      <c r="L53" s="459">
        <f>I53*K53</f>
        <v>342000</v>
      </c>
      <c r="M53" s="459">
        <f>L53*$M$3</f>
        <v>21614.400000000001</v>
      </c>
      <c r="N53" s="459">
        <f>L53+M53</f>
        <v>363614.4</v>
      </c>
      <c r="O53" s="459"/>
      <c r="P53" s="436" t="s">
        <v>357</v>
      </c>
    </row>
    <row r="54" spans="2:17" ht="28.5" x14ac:dyDescent="0.2">
      <c r="B54" s="712"/>
      <c r="C54" s="698" t="s">
        <v>133</v>
      </c>
      <c r="D54" s="419" t="s">
        <v>282</v>
      </c>
      <c r="E54" s="419" t="s">
        <v>283</v>
      </c>
      <c r="F54" s="419"/>
      <c r="G54" s="419" t="s">
        <v>293</v>
      </c>
      <c r="H54" s="422" t="s">
        <v>285</v>
      </c>
      <c r="I54" s="421">
        <v>1</v>
      </c>
      <c r="J54" s="421" t="s">
        <v>270</v>
      </c>
      <c r="K54" s="459">
        <v>200000</v>
      </c>
      <c r="L54" s="459">
        <f t="shared" ref="L54:L55" si="40">I54*K54</f>
        <v>200000</v>
      </c>
      <c r="M54" s="459">
        <f t="shared" ref="M54:M55" si="41">L54*$M$3</f>
        <v>12640.000000000002</v>
      </c>
      <c r="N54" s="459">
        <f t="shared" ref="N54:N55" si="42">L54+M54</f>
        <v>212640</v>
      </c>
      <c r="O54" s="459">
        <f>N54</f>
        <v>212640</v>
      </c>
      <c r="P54" s="436"/>
    </row>
    <row r="55" spans="2:17" ht="28.5" x14ac:dyDescent="0.2">
      <c r="B55" s="712"/>
      <c r="C55" s="683"/>
      <c r="D55" s="419" t="s">
        <v>287</v>
      </c>
      <c r="E55" s="419"/>
      <c r="F55" s="419"/>
      <c r="G55" s="419" t="s">
        <v>288</v>
      </c>
      <c r="H55" s="419"/>
      <c r="I55" s="421">
        <v>1.85</v>
      </c>
      <c r="J55" s="421" t="s">
        <v>289</v>
      </c>
      <c r="K55" s="459">
        <v>1000</v>
      </c>
      <c r="L55" s="459">
        <f t="shared" si="40"/>
        <v>1850</v>
      </c>
      <c r="M55" s="459">
        <f t="shared" si="41"/>
        <v>116.92000000000002</v>
      </c>
      <c r="N55" s="459">
        <f t="shared" si="42"/>
        <v>1966.92</v>
      </c>
      <c r="O55" s="459">
        <f>N55</f>
        <v>1966.92</v>
      </c>
      <c r="P55" s="436" t="s">
        <v>290</v>
      </c>
    </row>
    <row r="56" spans="2:17" ht="14.25" x14ac:dyDescent="0.2">
      <c r="B56" s="712"/>
      <c r="C56" s="683"/>
      <c r="D56" s="419" t="s">
        <v>272</v>
      </c>
      <c r="E56" s="419"/>
      <c r="F56" s="419"/>
      <c r="G56" s="419" t="s">
        <v>358</v>
      </c>
      <c r="H56" s="419"/>
      <c r="I56" s="421">
        <v>2</v>
      </c>
      <c r="J56" s="421" t="s">
        <v>270</v>
      </c>
      <c r="K56" s="459">
        <v>28000</v>
      </c>
      <c r="L56" s="459">
        <f>K56*I56</f>
        <v>56000</v>
      </c>
      <c r="M56" s="459">
        <f>L56*$M$3</f>
        <v>3539.2000000000003</v>
      </c>
      <c r="N56" s="459">
        <f>L56+M56</f>
        <v>59539.199999999997</v>
      </c>
      <c r="O56" s="459"/>
      <c r="P56" s="436" t="s">
        <v>359</v>
      </c>
    </row>
    <row r="57" spans="2:17" ht="14.25" x14ac:dyDescent="0.2">
      <c r="B57" s="712"/>
      <c r="C57" s="683"/>
      <c r="D57" s="419" t="s">
        <v>276</v>
      </c>
      <c r="E57" s="419" t="s">
        <v>277</v>
      </c>
      <c r="F57" s="419"/>
      <c r="G57" s="419" t="s">
        <v>360</v>
      </c>
      <c r="H57" s="419" t="s">
        <v>279</v>
      </c>
      <c r="I57" s="421">
        <v>30000</v>
      </c>
      <c r="J57" s="421" t="s">
        <v>280</v>
      </c>
      <c r="K57" s="459">
        <v>23</v>
      </c>
      <c r="L57" s="459">
        <f>I57*K57</f>
        <v>690000</v>
      </c>
      <c r="M57" s="459">
        <f>L57*$M$3</f>
        <v>43608.000000000007</v>
      </c>
      <c r="N57" s="459">
        <f>L57+M57</f>
        <v>733608</v>
      </c>
      <c r="O57" s="459"/>
      <c r="P57" s="436" t="s">
        <v>361</v>
      </c>
    </row>
    <row r="58" spans="2:17" ht="14.25" x14ac:dyDescent="0.2">
      <c r="B58" s="712"/>
      <c r="C58" s="716" t="s">
        <v>362</v>
      </c>
      <c r="D58" s="419" t="s">
        <v>363</v>
      </c>
      <c r="E58" s="419"/>
      <c r="F58" s="419"/>
      <c r="G58" s="419" t="s">
        <v>364</v>
      </c>
      <c r="H58" s="422"/>
      <c r="I58" s="421">
        <v>1</v>
      </c>
      <c r="J58" s="421" t="s">
        <v>270</v>
      </c>
      <c r="K58" s="459">
        <v>300000</v>
      </c>
      <c r="L58" s="459">
        <f t="shared" ref="L58" si="43">I58*K58</f>
        <v>300000</v>
      </c>
      <c r="M58" s="459">
        <f t="shared" ref="M58" si="44">L58*$M$3</f>
        <v>18960.000000000004</v>
      </c>
      <c r="N58" s="459">
        <f t="shared" ref="N58" si="45">L58+M58</f>
        <v>318960</v>
      </c>
      <c r="O58" s="459">
        <f>N58</f>
        <v>318960</v>
      </c>
      <c r="P58" s="436"/>
    </row>
    <row r="59" spans="2:17" ht="28.5" x14ac:dyDescent="0.2">
      <c r="B59" s="712"/>
      <c r="C59" s="716"/>
      <c r="D59" s="419" t="s">
        <v>272</v>
      </c>
      <c r="E59" s="419"/>
      <c r="F59" s="419"/>
      <c r="G59" s="419" t="s">
        <v>365</v>
      </c>
      <c r="H59" s="419"/>
      <c r="I59" s="421">
        <v>2</v>
      </c>
      <c r="J59" s="421" t="s">
        <v>270</v>
      </c>
      <c r="K59" s="459">
        <v>28000</v>
      </c>
      <c r="L59" s="459">
        <f>K59*I59</f>
        <v>56000</v>
      </c>
      <c r="M59" s="459">
        <f>L59*$M$3</f>
        <v>3539.2000000000003</v>
      </c>
      <c r="N59" s="459">
        <f>L59+M59</f>
        <v>59539.199999999997</v>
      </c>
      <c r="O59" s="459"/>
      <c r="P59" s="436" t="s">
        <v>366</v>
      </c>
    </row>
    <row r="60" spans="2:17" ht="28.5" x14ac:dyDescent="0.2">
      <c r="B60" s="712"/>
      <c r="C60" s="716"/>
      <c r="D60" s="419" t="s">
        <v>276</v>
      </c>
      <c r="E60" s="419" t="s">
        <v>277</v>
      </c>
      <c r="F60" s="419"/>
      <c r="G60" s="419" t="s">
        <v>360</v>
      </c>
      <c r="H60" s="419" t="s">
        <v>279</v>
      </c>
      <c r="I60" s="421">
        <v>40000</v>
      </c>
      <c r="J60" s="421" t="s">
        <v>280</v>
      </c>
      <c r="K60" s="459">
        <v>23</v>
      </c>
      <c r="L60" s="459">
        <f>I60*K60</f>
        <v>920000</v>
      </c>
      <c r="M60" s="459">
        <f>L60*$M$3</f>
        <v>58144.000000000007</v>
      </c>
      <c r="N60" s="459">
        <f>L60+M60</f>
        <v>978144</v>
      </c>
      <c r="O60" s="459"/>
      <c r="P60" s="436" t="s">
        <v>367</v>
      </c>
    </row>
    <row r="61" spans="2:17" ht="14.25" x14ac:dyDescent="0.2">
      <c r="B61" s="712"/>
      <c r="C61" s="419"/>
      <c r="D61" s="419" t="s">
        <v>330</v>
      </c>
      <c r="E61" s="419"/>
      <c r="F61" s="419"/>
      <c r="G61" s="419"/>
      <c r="H61" s="419"/>
      <c r="I61" s="421"/>
      <c r="J61" s="421"/>
      <c r="K61" s="459"/>
      <c r="L61" s="459">
        <f>SUM(L46:L50)</f>
        <v>2205000</v>
      </c>
      <c r="M61" s="459">
        <f>SUM(M46:M50)</f>
        <v>139356.00000000003</v>
      </c>
      <c r="N61" s="459">
        <f>SUM(N46:N60)</f>
        <v>6454527.7200000007</v>
      </c>
      <c r="O61" s="459">
        <f>SUM(O46:O60)</f>
        <v>2705152.92</v>
      </c>
      <c r="P61" s="436"/>
    </row>
    <row r="62" spans="2:17" ht="14.25" x14ac:dyDescent="0.2">
      <c r="B62" s="712"/>
      <c r="C62" s="419"/>
      <c r="D62" s="419" t="s">
        <v>331</v>
      </c>
      <c r="E62" s="419"/>
      <c r="F62" s="419"/>
      <c r="G62" s="419"/>
      <c r="H62" s="419"/>
      <c r="I62" s="421"/>
      <c r="J62" s="421"/>
      <c r="K62" s="459"/>
      <c r="L62" s="459"/>
      <c r="M62" s="460"/>
      <c r="N62" s="459"/>
      <c r="O62" s="459">
        <v>15000</v>
      </c>
      <c r="P62" s="436" t="s">
        <v>368</v>
      </c>
    </row>
    <row r="63" spans="2:17" ht="14.25" x14ac:dyDescent="0.2">
      <c r="B63" s="712"/>
      <c r="C63" s="419"/>
      <c r="D63" s="419" t="s">
        <v>333</v>
      </c>
      <c r="E63" s="419"/>
      <c r="F63" s="419"/>
      <c r="G63" s="419"/>
      <c r="H63" s="419"/>
      <c r="I63" s="421"/>
      <c r="J63" s="421"/>
      <c r="K63" s="459"/>
      <c r="L63" s="459"/>
      <c r="M63" s="460"/>
      <c r="N63" s="459"/>
      <c r="O63" s="459">
        <v>250000</v>
      </c>
      <c r="P63" s="436"/>
    </row>
    <row r="64" spans="2:17" ht="14.25" x14ac:dyDescent="0.2">
      <c r="B64" s="712"/>
      <c r="C64" s="419"/>
      <c r="D64" s="419" t="s">
        <v>335</v>
      </c>
      <c r="E64" s="419"/>
      <c r="F64" s="419"/>
      <c r="G64" s="419"/>
      <c r="H64" s="419"/>
      <c r="I64" s="421"/>
      <c r="J64" s="421"/>
      <c r="K64" s="459"/>
      <c r="L64" s="459"/>
      <c r="M64" s="460"/>
      <c r="N64" s="459"/>
      <c r="O64" s="459">
        <v>100000</v>
      </c>
      <c r="P64" s="436" t="s">
        <v>369</v>
      </c>
    </row>
    <row r="65" spans="1:20" ht="29.25" thickBot="1" x14ac:dyDescent="0.25">
      <c r="B65" s="712"/>
      <c r="C65" s="441"/>
      <c r="D65" s="441" t="s">
        <v>337</v>
      </c>
      <c r="E65" s="441"/>
      <c r="F65" s="441"/>
      <c r="G65" s="441"/>
      <c r="H65" s="441"/>
      <c r="I65" s="442"/>
      <c r="J65" s="442"/>
      <c r="K65" s="461"/>
      <c r="L65" s="461"/>
      <c r="M65" s="462"/>
      <c r="N65" s="461"/>
      <c r="O65" s="461">
        <v>250000</v>
      </c>
      <c r="P65" s="446" t="s">
        <v>370</v>
      </c>
    </row>
    <row r="66" spans="1:20" s="75" customFormat="1" ht="15" thickBot="1" x14ac:dyDescent="0.25">
      <c r="A66" s="74"/>
      <c r="B66" s="714"/>
      <c r="C66" s="720" t="s">
        <v>29</v>
      </c>
      <c r="D66" s="721"/>
      <c r="E66" s="721"/>
      <c r="F66" s="721"/>
      <c r="G66" s="721"/>
      <c r="H66" s="721"/>
      <c r="I66" s="721"/>
      <c r="J66" s="721"/>
      <c r="K66" s="721"/>
      <c r="L66" s="721"/>
      <c r="M66" s="721"/>
      <c r="N66" s="722"/>
      <c r="O66" s="465">
        <f>SUM(O61:O65)</f>
        <v>3320152.92</v>
      </c>
      <c r="P66" s="448"/>
      <c r="Q66" s="74"/>
    </row>
    <row r="67" spans="1:20" ht="14.25" x14ac:dyDescent="0.2">
      <c r="B67" s="706" t="s">
        <v>371</v>
      </c>
      <c r="C67" s="709" t="s">
        <v>46</v>
      </c>
      <c r="D67" s="415" t="s">
        <v>363</v>
      </c>
      <c r="E67" s="415"/>
      <c r="F67" s="415"/>
      <c r="G67" s="415" t="s">
        <v>372</v>
      </c>
      <c r="H67" s="417"/>
      <c r="I67" s="418">
        <v>1</v>
      </c>
      <c r="J67" s="418" t="s">
        <v>270</v>
      </c>
      <c r="K67" s="464">
        <v>300000</v>
      </c>
      <c r="L67" s="464">
        <f t="shared" ref="L67:L76" si="46">I67*K67</f>
        <v>300000</v>
      </c>
      <c r="M67" s="464">
        <f t="shared" ref="M67:M76" si="47">L67*$M$3</f>
        <v>18960.000000000004</v>
      </c>
      <c r="N67" s="464">
        <f>L67+M67</f>
        <v>318960</v>
      </c>
      <c r="O67" s="464">
        <f t="shared" ref="O67:O76" si="48">N67</f>
        <v>318960</v>
      </c>
      <c r="P67" s="435"/>
      <c r="Q67" s="129"/>
      <c r="R67" s="129"/>
    </row>
    <row r="68" spans="1:20" ht="14.25" x14ac:dyDescent="0.2">
      <c r="B68" s="707"/>
      <c r="C68" s="710"/>
      <c r="D68" s="419" t="s">
        <v>373</v>
      </c>
      <c r="E68" s="419" t="s">
        <v>277</v>
      </c>
      <c r="F68" s="419"/>
      <c r="G68" s="419" t="s">
        <v>360</v>
      </c>
      <c r="H68" s="419"/>
      <c r="I68" s="419">
        <v>5000</v>
      </c>
      <c r="J68" s="419" t="s">
        <v>280</v>
      </c>
      <c r="K68" s="459">
        <v>23</v>
      </c>
      <c r="L68" s="459">
        <f t="shared" si="46"/>
        <v>115000</v>
      </c>
      <c r="M68" s="459">
        <f t="shared" si="47"/>
        <v>7268.0000000000009</v>
      </c>
      <c r="N68" s="459">
        <f>M68+L68</f>
        <v>122268</v>
      </c>
      <c r="O68" s="459">
        <f t="shared" si="48"/>
        <v>122268</v>
      </c>
      <c r="P68" s="428"/>
      <c r="Q68" s="76"/>
      <c r="R68" s="52"/>
      <c r="S68" s="52"/>
      <c r="T68" s="52"/>
    </row>
    <row r="69" spans="1:20" ht="14.25" x14ac:dyDescent="0.2">
      <c r="B69" s="707"/>
      <c r="C69" s="710"/>
      <c r="D69" s="246" t="s">
        <v>374</v>
      </c>
      <c r="E69" s="419"/>
      <c r="F69" s="419"/>
      <c r="G69" s="419" t="s">
        <v>375</v>
      </c>
      <c r="H69" s="419" t="s">
        <v>376</v>
      </c>
      <c r="I69" s="421">
        <v>3</v>
      </c>
      <c r="J69" s="421" t="s">
        <v>270</v>
      </c>
      <c r="K69" s="459">
        <v>20000</v>
      </c>
      <c r="L69" s="459">
        <f t="shared" si="46"/>
        <v>60000</v>
      </c>
      <c r="M69" s="459">
        <f t="shared" si="47"/>
        <v>3792.0000000000005</v>
      </c>
      <c r="N69" s="459">
        <f>L69+M69</f>
        <v>63792</v>
      </c>
      <c r="O69" s="459">
        <f t="shared" si="48"/>
        <v>63792</v>
      </c>
      <c r="P69" s="436"/>
    </row>
    <row r="70" spans="1:20" ht="28.5" x14ac:dyDescent="0.2">
      <c r="B70" s="707"/>
      <c r="C70" s="710"/>
      <c r="D70" s="419" t="s">
        <v>377</v>
      </c>
      <c r="E70" s="419" t="s">
        <v>378</v>
      </c>
      <c r="F70" s="419"/>
      <c r="G70" s="419" t="s">
        <v>379</v>
      </c>
      <c r="H70" s="419" t="s">
        <v>380</v>
      </c>
      <c r="I70" s="419">
        <v>2</v>
      </c>
      <c r="J70" s="419" t="s">
        <v>270</v>
      </c>
      <c r="K70" s="459">
        <v>25000</v>
      </c>
      <c r="L70" s="459">
        <f t="shared" si="46"/>
        <v>50000</v>
      </c>
      <c r="M70" s="459">
        <f t="shared" si="47"/>
        <v>3160.0000000000005</v>
      </c>
      <c r="N70" s="459">
        <f>M70+L70</f>
        <v>53160</v>
      </c>
      <c r="O70" s="459">
        <f t="shared" si="48"/>
        <v>53160</v>
      </c>
      <c r="P70" s="437" t="s">
        <v>381</v>
      </c>
      <c r="Q70" s="76"/>
      <c r="R70" s="52"/>
      <c r="S70" s="52"/>
      <c r="T70" s="52"/>
    </row>
    <row r="71" spans="1:20" ht="14.25" x14ac:dyDescent="0.2">
      <c r="B71" s="707"/>
      <c r="C71" s="710"/>
      <c r="D71" s="246" t="s">
        <v>382</v>
      </c>
      <c r="E71" s="419"/>
      <c r="F71" s="419" t="s">
        <v>383</v>
      </c>
      <c r="G71" s="419"/>
      <c r="H71" s="419" t="s">
        <v>376</v>
      </c>
      <c r="I71" s="421">
        <v>6</v>
      </c>
      <c r="J71" s="421" t="s">
        <v>270</v>
      </c>
      <c r="K71" s="459">
        <v>53200</v>
      </c>
      <c r="L71" s="459">
        <f t="shared" si="46"/>
        <v>319200</v>
      </c>
      <c r="M71" s="459">
        <f t="shared" si="47"/>
        <v>20173.440000000002</v>
      </c>
      <c r="N71" s="459">
        <f t="shared" ref="N71:N76" si="49">L71+M71</f>
        <v>339373.44</v>
      </c>
      <c r="O71" s="459">
        <f t="shared" si="48"/>
        <v>339373.44</v>
      </c>
      <c r="P71" s="436"/>
    </row>
    <row r="72" spans="1:20" ht="14.25" x14ac:dyDescent="0.2">
      <c r="B72" s="707"/>
      <c r="C72" s="710"/>
      <c r="D72" s="246" t="s">
        <v>384</v>
      </c>
      <c r="E72" s="419"/>
      <c r="F72" s="419"/>
      <c r="G72" s="419"/>
      <c r="H72" s="419" t="s">
        <v>376</v>
      </c>
      <c r="I72" s="421">
        <v>1</v>
      </c>
      <c r="J72" s="421" t="s">
        <v>385</v>
      </c>
      <c r="K72" s="459">
        <v>45611</v>
      </c>
      <c r="L72" s="459">
        <f t="shared" si="46"/>
        <v>45611</v>
      </c>
      <c r="M72" s="459">
        <f t="shared" si="47"/>
        <v>2882.6152000000002</v>
      </c>
      <c r="N72" s="459">
        <f t="shared" si="49"/>
        <v>48493.6152</v>
      </c>
      <c r="O72" s="459">
        <f t="shared" si="48"/>
        <v>48493.6152</v>
      </c>
      <c r="P72" s="438"/>
    </row>
    <row r="73" spans="1:20" ht="28.5" x14ac:dyDescent="0.2">
      <c r="B73" s="707"/>
      <c r="C73" s="710"/>
      <c r="D73" s="246" t="s">
        <v>386</v>
      </c>
      <c r="E73" s="419" t="s">
        <v>387</v>
      </c>
      <c r="F73" s="419"/>
      <c r="G73" s="419" t="s">
        <v>388</v>
      </c>
      <c r="H73" s="419" t="s">
        <v>376</v>
      </c>
      <c r="I73" s="421">
        <v>3</v>
      </c>
      <c r="J73" s="421" t="s">
        <v>385</v>
      </c>
      <c r="K73" s="459">
        <f>499520+2950+2347</f>
        <v>504817</v>
      </c>
      <c r="L73" s="459">
        <f t="shared" si="46"/>
        <v>1514451</v>
      </c>
      <c r="M73" s="459">
        <f t="shared" si="47"/>
        <v>95713.303200000009</v>
      </c>
      <c r="N73" s="459">
        <f t="shared" si="49"/>
        <v>1610164.3032</v>
      </c>
      <c r="O73" s="459">
        <f t="shared" si="48"/>
        <v>1610164.3032</v>
      </c>
      <c r="P73" s="436" t="s">
        <v>389</v>
      </c>
    </row>
    <row r="74" spans="1:20" ht="14.25" x14ac:dyDescent="0.2">
      <c r="B74" s="707"/>
      <c r="C74" s="710"/>
      <c r="D74" s="419" t="s">
        <v>390</v>
      </c>
      <c r="E74" s="419" t="s">
        <v>391</v>
      </c>
      <c r="F74" s="419"/>
      <c r="G74" s="419" t="s">
        <v>392</v>
      </c>
      <c r="H74" s="422"/>
      <c r="I74" s="421">
        <v>2</v>
      </c>
      <c r="J74" s="421" t="s">
        <v>270</v>
      </c>
      <c r="K74" s="459">
        <v>20000</v>
      </c>
      <c r="L74" s="459">
        <f t="shared" si="46"/>
        <v>40000</v>
      </c>
      <c r="M74" s="459">
        <f t="shared" si="47"/>
        <v>2528.0000000000005</v>
      </c>
      <c r="N74" s="459">
        <f t="shared" si="49"/>
        <v>42528</v>
      </c>
      <c r="O74" s="459">
        <f t="shared" si="48"/>
        <v>42528</v>
      </c>
      <c r="P74" s="436"/>
    </row>
    <row r="75" spans="1:20" ht="28.5" x14ac:dyDescent="0.2">
      <c r="B75" s="707"/>
      <c r="C75" s="251"/>
      <c r="D75" s="419" t="s">
        <v>393</v>
      </c>
      <c r="E75" s="419"/>
      <c r="F75" s="419"/>
      <c r="G75" s="419" t="s">
        <v>394</v>
      </c>
      <c r="H75" s="419"/>
      <c r="I75" s="421">
        <v>185</v>
      </c>
      <c r="J75" s="421" t="s">
        <v>289</v>
      </c>
      <c r="K75" s="459">
        <v>1000</v>
      </c>
      <c r="L75" s="459">
        <f t="shared" ref="L75" si="50">I75*K75</f>
        <v>185000</v>
      </c>
      <c r="M75" s="459">
        <f t="shared" ref="M75" si="51">L75*$M$3</f>
        <v>11692.000000000002</v>
      </c>
      <c r="N75" s="459">
        <f t="shared" si="49"/>
        <v>196692</v>
      </c>
      <c r="O75" s="459">
        <f t="shared" ref="O75" si="52">N75</f>
        <v>196692</v>
      </c>
      <c r="P75" s="436"/>
    </row>
    <row r="76" spans="1:20" ht="14.25" x14ac:dyDescent="0.2">
      <c r="B76" s="707"/>
      <c r="C76" s="419" t="s">
        <v>395</v>
      </c>
      <c r="D76" s="419" t="s">
        <v>396</v>
      </c>
      <c r="E76" s="419"/>
      <c r="F76" s="419"/>
      <c r="G76" s="419"/>
      <c r="H76" s="419"/>
      <c r="I76" s="421">
        <v>1</v>
      </c>
      <c r="J76" s="421" t="s">
        <v>270</v>
      </c>
      <c r="K76" s="459">
        <v>10000</v>
      </c>
      <c r="L76" s="459">
        <f t="shared" si="46"/>
        <v>10000</v>
      </c>
      <c r="M76" s="459">
        <f t="shared" si="47"/>
        <v>632.00000000000011</v>
      </c>
      <c r="N76" s="459">
        <f t="shared" si="49"/>
        <v>10632</v>
      </c>
      <c r="O76" s="459">
        <f t="shared" si="48"/>
        <v>10632</v>
      </c>
      <c r="P76" s="436"/>
    </row>
    <row r="77" spans="1:20" ht="14.25" x14ac:dyDescent="0.2">
      <c r="B77" s="707"/>
      <c r="C77" s="419"/>
      <c r="D77" s="419" t="s">
        <v>330</v>
      </c>
      <c r="E77" s="419"/>
      <c r="F77" s="419"/>
      <c r="G77" s="419"/>
      <c r="H77" s="419"/>
      <c r="I77" s="421"/>
      <c r="J77" s="421"/>
      <c r="K77" s="459"/>
      <c r="L77" s="459">
        <f>SUM(L68:L74)</f>
        <v>2144262</v>
      </c>
      <c r="M77" s="459">
        <f>SUM(M68:M74)</f>
        <v>135517.35840000003</v>
      </c>
      <c r="N77" s="459">
        <f>SUM(N68:N76)</f>
        <v>2487103.3583999998</v>
      </c>
      <c r="O77" s="459">
        <f>SUM(O67:O76)</f>
        <v>2806063.3583999998</v>
      </c>
      <c r="P77" s="436"/>
    </row>
    <row r="78" spans="1:20" ht="14.25" x14ac:dyDescent="0.2">
      <c r="B78" s="707"/>
      <c r="C78" s="419"/>
      <c r="D78" s="419" t="s">
        <v>331</v>
      </c>
      <c r="E78" s="419"/>
      <c r="F78" s="419"/>
      <c r="G78" s="419"/>
      <c r="H78" s="419"/>
      <c r="I78" s="421"/>
      <c r="J78" s="421"/>
      <c r="K78" s="459"/>
      <c r="L78" s="459"/>
      <c r="M78" s="460"/>
      <c r="N78" s="459"/>
      <c r="O78" s="459">
        <v>100000</v>
      </c>
      <c r="P78" s="436"/>
    </row>
    <row r="79" spans="1:20" ht="28.5" x14ac:dyDescent="0.2">
      <c r="B79" s="707"/>
      <c r="C79" s="419"/>
      <c r="D79" s="419" t="s">
        <v>333</v>
      </c>
      <c r="E79" s="419"/>
      <c r="F79" s="419"/>
      <c r="G79" s="419"/>
      <c r="H79" s="419"/>
      <c r="I79" s="421"/>
      <c r="J79" s="421"/>
      <c r="K79" s="459"/>
      <c r="L79" s="459"/>
      <c r="M79" s="460"/>
      <c r="N79" s="459"/>
      <c r="O79" s="459">
        <v>200000</v>
      </c>
      <c r="P79" s="436" t="s">
        <v>397</v>
      </c>
    </row>
    <row r="80" spans="1:20" ht="14.25" x14ac:dyDescent="0.2">
      <c r="B80" s="707"/>
      <c r="C80" s="419"/>
      <c r="D80" s="419" t="s">
        <v>335</v>
      </c>
      <c r="E80" s="419"/>
      <c r="F80" s="419"/>
      <c r="G80" s="419"/>
      <c r="H80" s="419"/>
      <c r="I80" s="421"/>
      <c r="J80" s="421"/>
      <c r="K80" s="459"/>
      <c r="L80" s="459"/>
      <c r="M80" s="460"/>
      <c r="N80" s="459"/>
      <c r="O80" s="459">
        <v>150000</v>
      </c>
      <c r="P80" s="436" t="s">
        <v>398</v>
      </c>
    </row>
    <row r="81" spans="1:17" ht="15" thickBot="1" x14ac:dyDescent="0.25">
      <c r="B81" s="707"/>
      <c r="C81" s="441"/>
      <c r="D81" s="441" t="s">
        <v>337</v>
      </c>
      <c r="E81" s="441"/>
      <c r="F81" s="441"/>
      <c r="G81" s="441"/>
      <c r="H81" s="441"/>
      <c r="I81" s="442"/>
      <c r="J81" s="442"/>
      <c r="K81" s="461"/>
      <c r="L81" s="461"/>
      <c r="M81" s="462"/>
      <c r="N81" s="461"/>
      <c r="O81" s="461">
        <v>250000</v>
      </c>
      <c r="P81" s="446"/>
    </row>
    <row r="82" spans="1:17" s="75" customFormat="1" ht="15" thickBot="1" x14ac:dyDescent="0.25">
      <c r="A82" s="74"/>
      <c r="B82" s="708"/>
      <c r="C82" s="720" t="s">
        <v>29</v>
      </c>
      <c r="D82" s="721"/>
      <c r="E82" s="721"/>
      <c r="F82" s="721"/>
      <c r="G82" s="721"/>
      <c r="H82" s="721"/>
      <c r="I82" s="721"/>
      <c r="J82" s="721"/>
      <c r="K82" s="721"/>
      <c r="L82" s="721"/>
      <c r="M82" s="721"/>
      <c r="N82" s="722"/>
      <c r="O82" s="465">
        <f>SUM(O77:O81)</f>
        <v>3506063.3583999998</v>
      </c>
      <c r="P82" s="448"/>
      <c r="Q82" s="74"/>
    </row>
    <row r="83" spans="1:17" ht="28.5" x14ac:dyDescent="0.2">
      <c r="B83" s="711" t="s">
        <v>196</v>
      </c>
      <c r="C83" s="430" t="s">
        <v>399</v>
      </c>
      <c r="D83" s="430" t="s">
        <v>400</v>
      </c>
      <c r="E83" s="430"/>
      <c r="F83" s="430" t="s">
        <v>401</v>
      </c>
      <c r="G83" s="430" t="s">
        <v>402</v>
      </c>
      <c r="H83" s="430" t="s">
        <v>403</v>
      </c>
      <c r="I83" s="432">
        <v>16</v>
      </c>
      <c r="J83" s="432" t="s">
        <v>270</v>
      </c>
      <c r="K83" s="433">
        <v>70000</v>
      </c>
      <c r="L83" s="458">
        <f>I83*K83</f>
        <v>1120000</v>
      </c>
      <c r="M83" s="458">
        <f>L83*$M$3</f>
        <v>70784</v>
      </c>
      <c r="N83" s="458">
        <f>L83+M83</f>
        <v>1190784</v>
      </c>
      <c r="O83" s="458">
        <f>N83</f>
        <v>1190784</v>
      </c>
      <c r="P83" s="439" t="s">
        <v>404</v>
      </c>
    </row>
    <row r="84" spans="1:17" ht="14.25" x14ac:dyDescent="0.2">
      <c r="B84" s="712"/>
      <c r="C84" s="419"/>
      <c r="D84" s="419" t="s">
        <v>330</v>
      </c>
      <c r="E84" s="419"/>
      <c r="F84" s="419"/>
      <c r="G84" s="419"/>
      <c r="H84" s="419"/>
      <c r="I84" s="421"/>
      <c r="J84" s="421"/>
      <c r="K84" s="426"/>
      <c r="L84" s="459">
        <f>SUM(L83:L83)</f>
        <v>1120000</v>
      </c>
      <c r="M84" s="459">
        <f>SUM(M83:M83)</f>
        <v>70784</v>
      </c>
      <c r="N84" s="459">
        <f>SUM(N83:N83)</f>
        <v>1190784</v>
      </c>
      <c r="O84" s="459">
        <f>SUM(O83:O83)</f>
        <v>1190784</v>
      </c>
      <c r="P84" s="436"/>
    </row>
    <row r="85" spans="1:17" ht="14.25" x14ac:dyDescent="0.2">
      <c r="B85" s="712"/>
      <c r="C85" s="419"/>
      <c r="D85" s="419" t="s">
        <v>331</v>
      </c>
      <c r="E85" s="419"/>
      <c r="F85" s="419"/>
      <c r="G85" s="419"/>
      <c r="H85" s="419"/>
      <c r="I85" s="421"/>
      <c r="J85" s="421"/>
      <c r="K85" s="426"/>
      <c r="L85" s="459"/>
      <c r="M85" s="460"/>
      <c r="N85" s="459"/>
      <c r="O85" s="459">
        <f>15000*2</f>
        <v>30000</v>
      </c>
      <c r="P85" s="436" t="s">
        <v>405</v>
      </c>
    </row>
    <row r="86" spans="1:17" ht="28.5" x14ac:dyDescent="0.2">
      <c r="B86" s="712"/>
      <c r="C86" s="419"/>
      <c r="D86" s="419" t="s">
        <v>333</v>
      </c>
      <c r="E86" s="419"/>
      <c r="F86" s="419"/>
      <c r="G86" s="419"/>
      <c r="H86" s="419"/>
      <c r="I86" s="421"/>
      <c r="J86" s="421"/>
      <c r="K86" s="426"/>
      <c r="L86" s="459"/>
      <c r="M86" s="460"/>
      <c r="N86" s="459"/>
      <c r="O86" s="459">
        <v>250000</v>
      </c>
      <c r="P86" s="436" t="s">
        <v>406</v>
      </c>
    </row>
    <row r="87" spans="1:17" ht="29.25" thickBot="1" x14ac:dyDescent="0.25">
      <c r="B87" s="712"/>
      <c r="C87" s="441"/>
      <c r="D87" s="441" t="s">
        <v>337</v>
      </c>
      <c r="E87" s="441"/>
      <c r="F87" s="441"/>
      <c r="G87" s="441"/>
      <c r="H87" s="441"/>
      <c r="I87" s="442"/>
      <c r="J87" s="442"/>
      <c r="K87" s="443"/>
      <c r="L87" s="461"/>
      <c r="M87" s="462"/>
      <c r="N87" s="461"/>
      <c r="O87" s="461">
        <v>150000</v>
      </c>
      <c r="P87" s="446" t="s">
        <v>407</v>
      </c>
    </row>
    <row r="88" spans="1:17" s="75" customFormat="1" ht="15" thickBot="1" x14ac:dyDescent="0.25">
      <c r="A88" s="74"/>
      <c r="B88" s="713"/>
      <c r="C88" s="717" t="s">
        <v>29</v>
      </c>
      <c r="D88" s="718"/>
      <c r="E88" s="718"/>
      <c r="F88" s="718"/>
      <c r="G88" s="718"/>
      <c r="H88" s="718"/>
      <c r="I88" s="718"/>
      <c r="J88" s="718"/>
      <c r="K88" s="718"/>
      <c r="L88" s="718"/>
      <c r="M88" s="718"/>
      <c r="N88" s="719"/>
      <c r="O88" s="463">
        <f>SUM(O84:O87)</f>
        <v>1620784</v>
      </c>
      <c r="P88" s="447"/>
      <c r="Q88" s="74"/>
    </row>
    <row r="89" spans="1:17" ht="13.5" thickTop="1" x14ac:dyDescent="0.2">
      <c r="B89"/>
    </row>
    <row r="90" spans="1:17" hidden="1" x14ac:dyDescent="0.2">
      <c r="N90" t="s">
        <v>29</v>
      </c>
      <c r="O90" s="77">
        <f>O45+O66+O82+O88+O4</f>
        <v>11744899.758400001</v>
      </c>
      <c r="P90" s="52">
        <v>6166479.5199999996</v>
      </c>
      <c r="Q90" s="77">
        <f>O90-P90</f>
        <v>5578420.2384000011</v>
      </c>
    </row>
    <row r="95" spans="1:17" x14ac:dyDescent="0.2">
      <c r="C95" s="52"/>
      <c r="D95" s="52"/>
      <c r="E95" s="52"/>
      <c r="F95" s="52"/>
    </row>
    <row r="96" spans="1:17" x14ac:dyDescent="0.2">
      <c r="C96" s="52"/>
      <c r="D96" s="52"/>
      <c r="E96" s="52"/>
      <c r="F96" s="52"/>
    </row>
    <row r="97" spans="3:6" x14ac:dyDescent="0.2">
      <c r="C97" s="52"/>
      <c r="D97" s="52"/>
      <c r="E97" s="52"/>
      <c r="F97" s="52"/>
    </row>
    <row r="98" spans="3:6" x14ac:dyDescent="0.2">
      <c r="C98" s="52"/>
      <c r="D98" s="52"/>
      <c r="E98" s="52"/>
      <c r="F98" s="52"/>
    </row>
    <row r="99" spans="3:6" x14ac:dyDescent="0.2">
      <c r="C99" s="52"/>
      <c r="D99" s="52"/>
      <c r="E99" s="52"/>
      <c r="F99" s="52"/>
    </row>
    <row r="100" spans="3:6" x14ac:dyDescent="0.2">
      <c r="C100" s="52"/>
      <c r="D100" s="52"/>
      <c r="E100" s="52"/>
      <c r="F100" s="52"/>
    </row>
    <row r="101" spans="3:6" x14ac:dyDescent="0.2">
      <c r="C101" s="52"/>
      <c r="D101" s="62"/>
      <c r="E101" s="62"/>
      <c r="F101" s="63"/>
    </row>
  </sheetData>
  <mergeCells count="23">
    <mergeCell ref="B67:B82"/>
    <mergeCell ref="C67:C74"/>
    <mergeCell ref="B83:B88"/>
    <mergeCell ref="B46:B66"/>
    <mergeCell ref="C46:C50"/>
    <mergeCell ref="C51:C53"/>
    <mergeCell ref="C54:C57"/>
    <mergeCell ref="C58:C60"/>
    <mergeCell ref="C88:N88"/>
    <mergeCell ref="C82:N82"/>
    <mergeCell ref="C66:N66"/>
    <mergeCell ref="C28:C31"/>
    <mergeCell ref="B5:B45"/>
    <mergeCell ref="C5:C7"/>
    <mergeCell ref="C14:C17"/>
    <mergeCell ref="C19:C22"/>
    <mergeCell ref="C37:C39"/>
    <mergeCell ref="C32:C36"/>
    <mergeCell ref="C23:C24"/>
    <mergeCell ref="C25:C27"/>
    <mergeCell ref="C10:C13"/>
    <mergeCell ref="C8:C9"/>
    <mergeCell ref="C45:N4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AB01-C438-4827-A8C0-3894B9202316}">
  <dimension ref="A1:L96"/>
  <sheetViews>
    <sheetView topLeftCell="B1" zoomScale="110" zoomScaleNormal="110" workbookViewId="0">
      <selection activeCell="L18" sqref="L18"/>
    </sheetView>
  </sheetViews>
  <sheetFormatPr defaultRowHeight="12.75" x14ac:dyDescent="0.2"/>
  <cols>
    <col min="1" max="1" width="3" style="52" customWidth="1"/>
    <col min="2" max="2" width="32.5" style="78" customWidth="1"/>
    <col min="3" max="3" width="15.33203125" style="79" customWidth="1"/>
    <col min="4" max="4" width="26.83203125" style="80" customWidth="1"/>
    <col min="5" max="5" width="12.1640625" style="80" bestFit="1" customWidth="1"/>
    <col min="6" max="6" width="21.1640625" style="81" customWidth="1"/>
    <col min="7" max="8" width="28.33203125" style="81" customWidth="1"/>
    <col min="9" max="9" width="27.6640625" style="81" customWidth="1"/>
    <col min="10" max="10" width="28.5" style="81" customWidth="1"/>
  </cols>
  <sheetData>
    <row r="1" spans="1:12" ht="13.5" thickBot="1" x14ac:dyDescent="0.25"/>
    <row r="2" spans="1:12" ht="43.5" thickTop="1" x14ac:dyDescent="0.2">
      <c r="B2" s="403" t="s">
        <v>245</v>
      </c>
      <c r="C2" s="281" t="s">
        <v>1</v>
      </c>
      <c r="D2" s="281" t="s">
        <v>246</v>
      </c>
      <c r="E2" s="281" t="s">
        <v>408</v>
      </c>
      <c r="F2" s="281" t="s">
        <v>233</v>
      </c>
      <c r="G2" s="281" t="s">
        <v>409</v>
      </c>
      <c r="H2" s="281" t="s">
        <v>410</v>
      </c>
      <c r="I2" s="281" t="s">
        <v>411</v>
      </c>
      <c r="J2" s="282" t="s">
        <v>412</v>
      </c>
    </row>
    <row r="3" spans="1:12" ht="14.25" x14ac:dyDescent="0.15">
      <c r="A3" s="55"/>
      <c r="B3" s="457"/>
      <c r="C3" s="246"/>
      <c r="D3" s="246"/>
      <c r="E3" s="246"/>
      <c r="F3" s="246"/>
      <c r="G3" s="246" t="s">
        <v>259</v>
      </c>
      <c r="H3" s="246" t="s">
        <v>259</v>
      </c>
      <c r="I3" s="246" t="s">
        <v>259</v>
      </c>
      <c r="J3" s="249" t="s">
        <v>259</v>
      </c>
    </row>
    <row r="4" spans="1:12" ht="29.25" thickBot="1" x14ac:dyDescent="0.25">
      <c r="B4" s="487" t="s">
        <v>260</v>
      </c>
      <c r="C4" s="441" t="s">
        <v>261</v>
      </c>
      <c r="D4" s="488" t="s">
        <v>262</v>
      </c>
      <c r="E4" s="441">
        <v>50</v>
      </c>
      <c r="F4" s="489">
        <f>'Table 10 Capital Costs'!O4</f>
        <v>531600</v>
      </c>
      <c r="G4" s="461">
        <f>F4/E4</f>
        <v>10632</v>
      </c>
      <c r="H4" s="461">
        <f>G4</f>
        <v>10632</v>
      </c>
      <c r="I4" s="490">
        <v>0</v>
      </c>
      <c r="J4" s="491">
        <v>0</v>
      </c>
    </row>
    <row r="5" spans="1:12" ht="14.25" x14ac:dyDescent="0.2">
      <c r="B5" s="699" t="s">
        <v>413</v>
      </c>
      <c r="C5" s="702" t="s">
        <v>267</v>
      </c>
      <c r="D5" s="416" t="s">
        <v>268</v>
      </c>
      <c r="E5" s="415">
        <v>50</v>
      </c>
      <c r="F5" s="464">
        <f>'Table 10 Capital Costs'!N5</f>
        <v>21264</v>
      </c>
      <c r="G5" s="464">
        <f t="shared" ref="G5:G39" si="0">F5/E5</f>
        <v>425.28</v>
      </c>
      <c r="H5" s="464">
        <f t="shared" ref="H5:H39" si="1">G5</f>
        <v>425.28</v>
      </c>
      <c r="I5" s="464">
        <f t="shared" ref="I5:I39" si="2">G5</f>
        <v>425.28</v>
      </c>
      <c r="J5" s="484">
        <f t="shared" ref="J5:J39" si="3">G5</f>
        <v>425.28</v>
      </c>
    </row>
    <row r="6" spans="1:12" ht="14.25" x14ac:dyDescent="0.2">
      <c r="B6" s="700"/>
      <c r="C6" s="698"/>
      <c r="D6" s="420" t="s">
        <v>272</v>
      </c>
      <c r="E6" s="419">
        <v>10</v>
      </c>
      <c r="F6" s="459">
        <f>'Table 10 Capital Costs'!N6</f>
        <v>21264</v>
      </c>
      <c r="G6" s="459">
        <f t="shared" si="0"/>
        <v>2126.4</v>
      </c>
      <c r="H6" s="459">
        <f t="shared" si="1"/>
        <v>2126.4</v>
      </c>
      <c r="I6" s="459">
        <f t="shared" si="2"/>
        <v>2126.4</v>
      </c>
      <c r="J6" s="482">
        <f t="shared" si="3"/>
        <v>2126.4</v>
      </c>
    </row>
    <row r="7" spans="1:12" ht="14.25" x14ac:dyDescent="0.2">
      <c r="B7" s="700"/>
      <c r="C7" s="698"/>
      <c r="D7" s="420" t="s">
        <v>276</v>
      </c>
      <c r="E7" s="419">
        <v>50</v>
      </c>
      <c r="F7" s="459">
        <f>'Table 10 Capital Costs'!N7</f>
        <v>22327.200000000001</v>
      </c>
      <c r="G7" s="459">
        <f t="shared" si="0"/>
        <v>446.54400000000004</v>
      </c>
      <c r="H7" s="459">
        <f t="shared" si="1"/>
        <v>446.54400000000004</v>
      </c>
      <c r="I7" s="459">
        <f t="shared" si="2"/>
        <v>446.54400000000004</v>
      </c>
      <c r="J7" s="482">
        <f t="shared" si="3"/>
        <v>446.54400000000004</v>
      </c>
    </row>
    <row r="8" spans="1:12" ht="14.25" x14ac:dyDescent="0.2">
      <c r="B8" s="700"/>
      <c r="C8" s="698" t="s">
        <v>281</v>
      </c>
      <c r="D8" s="420" t="s">
        <v>282</v>
      </c>
      <c r="E8" s="419">
        <v>50</v>
      </c>
      <c r="F8" s="459">
        <f>'Table 10 Capital Costs'!N8</f>
        <v>132900</v>
      </c>
      <c r="G8" s="459">
        <f t="shared" si="0"/>
        <v>2658</v>
      </c>
      <c r="H8" s="459">
        <f t="shared" ref="H8:H9" si="4">G8</f>
        <v>2658</v>
      </c>
      <c r="I8" s="459">
        <f t="shared" ref="I8:I9" si="5">G8</f>
        <v>2658</v>
      </c>
      <c r="J8" s="482">
        <f t="shared" ref="J8:J9" si="6">G8</f>
        <v>2658</v>
      </c>
    </row>
    <row r="9" spans="1:12" ht="14.25" x14ac:dyDescent="0.2">
      <c r="B9" s="700"/>
      <c r="C9" s="698"/>
      <c r="D9" s="420" t="s">
        <v>276</v>
      </c>
      <c r="E9" s="419">
        <v>50</v>
      </c>
      <c r="F9" s="459">
        <f>'Table 10 Capital Costs'!N9</f>
        <v>44654.400000000001</v>
      </c>
      <c r="G9" s="459">
        <f t="shared" si="0"/>
        <v>893.08800000000008</v>
      </c>
      <c r="H9" s="459">
        <f t="shared" si="4"/>
        <v>893.08800000000008</v>
      </c>
      <c r="I9" s="459">
        <f t="shared" si="5"/>
        <v>893.08800000000008</v>
      </c>
      <c r="J9" s="482">
        <f t="shared" si="6"/>
        <v>893.08800000000008</v>
      </c>
    </row>
    <row r="10" spans="1:12" ht="14.25" x14ac:dyDescent="0.2">
      <c r="B10" s="700"/>
      <c r="C10" s="698" t="s">
        <v>286</v>
      </c>
      <c r="D10" s="420" t="s">
        <v>282</v>
      </c>
      <c r="E10" s="419">
        <v>50</v>
      </c>
      <c r="F10" s="459">
        <f>'Table 10 Capital Costs'!N10</f>
        <v>132900</v>
      </c>
      <c r="G10" s="459">
        <f t="shared" ref="G10:G13" si="7">F10/E10</f>
        <v>2658</v>
      </c>
      <c r="H10" s="459">
        <f t="shared" ref="H10:H13" si="8">G10</f>
        <v>2658</v>
      </c>
      <c r="I10" s="459">
        <f t="shared" ref="I10:I13" si="9">G10</f>
        <v>2658</v>
      </c>
      <c r="J10" s="482">
        <f t="shared" ref="J10:J13" si="10">G10</f>
        <v>2658</v>
      </c>
    </row>
    <row r="11" spans="1:12" ht="14.25" x14ac:dyDescent="0.2">
      <c r="B11" s="700"/>
      <c r="C11" s="698"/>
      <c r="D11" s="420" t="s">
        <v>287</v>
      </c>
      <c r="E11" s="419">
        <v>50</v>
      </c>
      <c r="F11" s="459">
        <f>'Table 10 Capital Costs'!N11</f>
        <v>1966.92</v>
      </c>
      <c r="G11" s="459">
        <f t="shared" si="7"/>
        <v>39.3384</v>
      </c>
      <c r="H11" s="459">
        <f t="shared" si="8"/>
        <v>39.3384</v>
      </c>
      <c r="I11" s="459">
        <f t="shared" si="9"/>
        <v>39.3384</v>
      </c>
      <c r="J11" s="482">
        <f t="shared" si="10"/>
        <v>39.3384</v>
      </c>
    </row>
    <row r="12" spans="1:12" ht="14.25" x14ac:dyDescent="0.2">
      <c r="B12" s="700"/>
      <c r="C12" s="698"/>
      <c r="D12" s="420" t="s">
        <v>272</v>
      </c>
      <c r="E12" s="419">
        <v>10</v>
      </c>
      <c r="F12" s="459">
        <f>'Table 10 Capital Costs'!N12</f>
        <v>21264</v>
      </c>
      <c r="G12" s="459">
        <f t="shared" si="7"/>
        <v>2126.4</v>
      </c>
      <c r="H12" s="459">
        <f t="shared" si="8"/>
        <v>2126.4</v>
      </c>
      <c r="I12" s="459">
        <f t="shared" si="9"/>
        <v>2126.4</v>
      </c>
      <c r="J12" s="482">
        <f t="shared" si="10"/>
        <v>2126.4</v>
      </c>
    </row>
    <row r="13" spans="1:12" ht="14.25" x14ac:dyDescent="0.2">
      <c r="B13" s="700"/>
      <c r="C13" s="698"/>
      <c r="D13" s="420" t="s">
        <v>276</v>
      </c>
      <c r="E13" s="419">
        <v>50</v>
      </c>
      <c r="F13" s="459">
        <f>'Table 10 Capital Costs'!N13</f>
        <v>6379.2</v>
      </c>
      <c r="G13" s="459">
        <f t="shared" si="7"/>
        <v>127.584</v>
      </c>
      <c r="H13" s="459">
        <f t="shared" si="8"/>
        <v>127.584</v>
      </c>
      <c r="I13" s="459">
        <f t="shared" si="9"/>
        <v>127.584</v>
      </c>
      <c r="J13" s="482">
        <f t="shared" si="10"/>
        <v>127.584</v>
      </c>
    </row>
    <row r="14" spans="1:12" ht="14.25" x14ac:dyDescent="0.2">
      <c r="B14" s="700"/>
      <c r="C14" s="698" t="s">
        <v>414</v>
      </c>
      <c r="D14" s="420" t="s">
        <v>282</v>
      </c>
      <c r="E14" s="419">
        <v>50</v>
      </c>
      <c r="F14" s="459">
        <f>'Table 10 Capital Costs'!N14</f>
        <v>212640</v>
      </c>
      <c r="G14" s="459">
        <f t="shared" si="0"/>
        <v>4252.8</v>
      </c>
      <c r="H14" s="459">
        <f t="shared" si="1"/>
        <v>4252.8</v>
      </c>
      <c r="I14" s="459">
        <f t="shared" si="2"/>
        <v>4252.8</v>
      </c>
      <c r="J14" s="482">
        <f t="shared" si="3"/>
        <v>4252.8</v>
      </c>
    </row>
    <row r="15" spans="1:12" ht="14.25" x14ac:dyDescent="0.2">
      <c r="B15" s="700"/>
      <c r="C15" s="698"/>
      <c r="D15" s="420" t="s">
        <v>287</v>
      </c>
      <c r="E15" s="419">
        <v>50</v>
      </c>
      <c r="F15" s="459">
        <f>'Table 10 Capital Costs'!N15</f>
        <v>1966.92</v>
      </c>
      <c r="G15" s="459">
        <f t="shared" si="0"/>
        <v>39.3384</v>
      </c>
      <c r="H15" s="459">
        <f t="shared" si="1"/>
        <v>39.3384</v>
      </c>
      <c r="I15" s="459">
        <f t="shared" si="2"/>
        <v>39.3384</v>
      </c>
      <c r="J15" s="482">
        <f t="shared" si="3"/>
        <v>39.3384</v>
      </c>
      <c r="L15" s="28"/>
    </row>
    <row r="16" spans="1:12" ht="14.25" x14ac:dyDescent="0.2">
      <c r="B16" s="700"/>
      <c r="C16" s="698"/>
      <c r="D16" s="420" t="s">
        <v>272</v>
      </c>
      <c r="E16" s="419">
        <v>10</v>
      </c>
      <c r="F16" s="459">
        <f>'Table 10 Capital Costs'!N16</f>
        <v>42528</v>
      </c>
      <c r="G16" s="459">
        <f t="shared" si="0"/>
        <v>4252.8</v>
      </c>
      <c r="H16" s="459">
        <f t="shared" si="1"/>
        <v>4252.8</v>
      </c>
      <c r="I16" s="459">
        <f t="shared" si="2"/>
        <v>4252.8</v>
      </c>
      <c r="J16" s="482">
        <f t="shared" si="3"/>
        <v>4252.8</v>
      </c>
      <c r="L16" s="28"/>
    </row>
    <row r="17" spans="2:10" ht="14.25" x14ac:dyDescent="0.2">
      <c r="B17" s="700"/>
      <c r="C17" s="698"/>
      <c r="D17" s="420" t="s">
        <v>276</v>
      </c>
      <c r="E17" s="419">
        <v>50</v>
      </c>
      <c r="F17" s="459">
        <f>'Table 10 Capital Costs'!N17</f>
        <v>322787.52</v>
      </c>
      <c r="G17" s="459">
        <f t="shared" si="0"/>
        <v>6455.7504000000008</v>
      </c>
      <c r="H17" s="459">
        <f t="shared" si="1"/>
        <v>6455.7504000000008</v>
      </c>
      <c r="I17" s="459">
        <f t="shared" si="2"/>
        <v>6455.7504000000008</v>
      </c>
      <c r="J17" s="482">
        <f t="shared" si="3"/>
        <v>6455.7504000000008</v>
      </c>
    </row>
    <row r="18" spans="2:10" ht="57" x14ac:dyDescent="0.2">
      <c r="B18" s="700"/>
      <c r="C18" s="419" t="s">
        <v>298</v>
      </c>
      <c r="D18" s="420" t="s">
        <v>299</v>
      </c>
      <c r="E18" s="419">
        <v>50</v>
      </c>
      <c r="F18" s="459">
        <f>'Table 10 Capital Costs'!N18</f>
        <v>32533.920000000002</v>
      </c>
      <c r="G18" s="459">
        <f t="shared" si="0"/>
        <v>650.67840000000001</v>
      </c>
      <c r="H18" s="459">
        <f t="shared" ref="H18" si="11">G18</f>
        <v>650.67840000000001</v>
      </c>
      <c r="I18" s="459">
        <f t="shared" ref="I18" si="12">G18</f>
        <v>650.67840000000001</v>
      </c>
      <c r="J18" s="482">
        <f t="shared" ref="J18" si="13">G18</f>
        <v>650.67840000000001</v>
      </c>
    </row>
    <row r="19" spans="2:10" ht="14.25" x14ac:dyDescent="0.2">
      <c r="B19" s="700"/>
      <c r="C19" s="698" t="s">
        <v>415</v>
      </c>
      <c r="D19" s="420" t="s">
        <v>282</v>
      </c>
      <c r="E19" s="419">
        <v>50</v>
      </c>
      <c r="F19" s="459">
        <f>'Table 10 Capital Costs'!N19</f>
        <v>212640</v>
      </c>
      <c r="G19" s="459">
        <f t="shared" si="0"/>
        <v>4252.8</v>
      </c>
      <c r="H19" s="459">
        <f t="shared" si="1"/>
        <v>4252.8</v>
      </c>
      <c r="I19" s="459">
        <f t="shared" si="2"/>
        <v>4252.8</v>
      </c>
      <c r="J19" s="482">
        <f t="shared" si="3"/>
        <v>4252.8</v>
      </c>
    </row>
    <row r="20" spans="2:10" ht="14.25" x14ac:dyDescent="0.2">
      <c r="B20" s="700"/>
      <c r="C20" s="698"/>
      <c r="D20" s="420" t="s">
        <v>287</v>
      </c>
      <c r="E20" s="419">
        <v>50</v>
      </c>
      <c r="F20" s="459">
        <f>'Table 10 Capital Costs'!N20</f>
        <v>1966.92</v>
      </c>
      <c r="G20" s="459">
        <f t="shared" si="0"/>
        <v>39.3384</v>
      </c>
      <c r="H20" s="459">
        <f t="shared" si="1"/>
        <v>39.3384</v>
      </c>
      <c r="I20" s="459">
        <f t="shared" si="2"/>
        <v>39.3384</v>
      </c>
      <c r="J20" s="482">
        <f t="shared" si="3"/>
        <v>39.3384</v>
      </c>
    </row>
    <row r="21" spans="2:10" ht="14.25" x14ac:dyDescent="0.2">
      <c r="B21" s="700"/>
      <c r="C21" s="698"/>
      <c r="D21" s="420" t="s">
        <v>272</v>
      </c>
      <c r="E21" s="419">
        <v>10</v>
      </c>
      <c r="F21" s="459">
        <f>'Table 10 Capital Costs'!N21</f>
        <v>31896</v>
      </c>
      <c r="G21" s="459">
        <f t="shared" si="0"/>
        <v>3189.6</v>
      </c>
      <c r="H21" s="459">
        <f t="shared" si="1"/>
        <v>3189.6</v>
      </c>
      <c r="I21" s="459">
        <f t="shared" si="2"/>
        <v>3189.6</v>
      </c>
      <c r="J21" s="482">
        <f t="shared" si="3"/>
        <v>3189.6</v>
      </c>
    </row>
    <row r="22" spans="2:10" ht="28.5" x14ac:dyDescent="0.2">
      <c r="B22" s="700"/>
      <c r="C22" s="698"/>
      <c r="D22" s="420" t="s">
        <v>307</v>
      </c>
      <c r="E22" s="419">
        <v>50</v>
      </c>
      <c r="F22" s="459">
        <f>'Table 10 Capital Costs'!N22</f>
        <v>38275.199999999997</v>
      </c>
      <c r="G22" s="459">
        <f t="shared" si="0"/>
        <v>765.50399999999991</v>
      </c>
      <c r="H22" s="459">
        <f t="shared" si="1"/>
        <v>765.50399999999991</v>
      </c>
      <c r="I22" s="459">
        <f t="shared" si="2"/>
        <v>765.50399999999991</v>
      </c>
      <c r="J22" s="482">
        <f t="shared" si="3"/>
        <v>765.50399999999991</v>
      </c>
    </row>
    <row r="23" spans="2:10" ht="14.25" x14ac:dyDescent="0.2">
      <c r="B23" s="700"/>
      <c r="C23" s="698" t="s">
        <v>310</v>
      </c>
      <c r="D23" s="420" t="s">
        <v>311</v>
      </c>
      <c r="E23" s="419">
        <v>50</v>
      </c>
      <c r="F23" s="459">
        <f>'Table 10 Capital Costs'!N23</f>
        <v>21264</v>
      </c>
      <c r="G23" s="459">
        <f t="shared" si="0"/>
        <v>425.28</v>
      </c>
      <c r="H23" s="459">
        <f t="shared" si="1"/>
        <v>425.28</v>
      </c>
      <c r="I23" s="459">
        <f t="shared" si="2"/>
        <v>425.28</v>
      </c>
      <c r="J23" s="482">
        <f t="shared" si="3"/>
        <v>425.28</v>
      </c>
    </row>
    <row r="24" spans="2:10" ht="14.25" x14ac:dyDescent="0.2">
      <c r="B24" s="700"/>
      <c r="C24" s="683"/>
      <c r="D24" s="420" t="s">
        <v>276</v>
      </c>
      <c r="E24" s="419">
        <v>50</v>
      </c>
      <c r="F24" s="459">
        <f>'Table 10 Capital Costs'!N24</f>
        <v>9568.7999999999993</v>
      </c>
      <c r="G24" s="459">
        <f t="shared" si="0"/>
        <v>191.37599999999998</v>
      </c>
      <c r="H24" s="459">
        <f t="shared" si="1"/>
        <v>191.37599999999998</v>
      </c>
      <c r="I24" s="459">
        <f t="shared" si="2"/>
        <v>191.37599999999998</v>
      </c>
      <c r="J24" s="482">
        <f t="shared" si="3"/>
        <v>191.37599999999998</v>
      </c>
    </row>
    <row r="25" spans="2:10" ht="14.25" x14ac:dyDescent="0.2">
      <c r="B25" s="700"/>
      <c r="C25" s="698" t="s">
        <v>315</v>
      </c>
      <c r="D25" s="420" t="s">
        <v>311</v>
      </c>
      <c r="E25" s="419">
        <v>50</v>
      </c>
      <c r="F25" s="459">
        <f>'Table 10 Capital Costs'!N25</f>
        <v>21264</v>
      </c>
      <c r="G25" s="459">
        <f t="shared" si="0"/>
        <v>425.28</v>
      </c>
      <c r="H25" s="459">
        <f t="shared" si="1"/>
        <v>425.28</v>
      </c>
      <c r="I25" s="459">
        <f t="shared" ref="I25:I27" si="14">G25</f>
        <v>425.28</v>
      </c>
      <c r="J25" s="482">
        <f t="shared" ref="J25:J27" si="15">G25</f>
        <v>425.28</v>
      </c>
    </row>
    <row r="26" spans="2:10" ht="14.25" x14ac:dyDescent="0.2">
      <c r="B26" s="700"/>
      <c r="C26" s="683"/>
      <c r="D26" s="420" t="s">
        <v>272</v>
      </c>
      <c r="E26" s="419">
        <v>10</v>
      </c>
      <c r="F26" s="459">
        <f>'Table 10 Capital Costs'!N26</f>
        <v>21264</v>
      </c>
      <c r="G26" s="459">
        <f t="shared" si="0"/>
        <v>2126.4</v>
      </c>
      <c r="H26" s="459">
        <f t="shared" si="1"/>
        <v>2126.4</v>
      </c>
      <c r="I26" s="459">
        <f t="shared" si="14"/>
        <v>2126.4</v>
      </c>
      <c r="J26" s="482">
        <f t="shared" si="15"/>
        <v>2126.4</v>
      </c>
    </row>
    <row r="27" spans="2:10" ht="28.5" x14ac:dyDescent="0.2">
      <c r="B27" s="700"/>
      <c r="C27" s="683"/>
      <c r="D27" s="420" t="s">
        <v>307</v>
      </c>
      <c r="E27" s="419">
        <v>50</v>
      </c>
      <c r="F27" s="459">
        <f>'Table 10 Capital Costs'!N27</f>
        <v>22327.200000000001</v>
      </c>
      <c r="G27" s="459">
        <f t="shared" si="0"/>
        <v>446.54400000000004</v>
      </c>
      <c r="H27" s="459">
        <f t="shared" si="1"/>
        <v>446.54400000000004</v>
      </c>
      <c r="I27" s="459">
        <f t="shared" si="14"/>
        <v>446.54400000000004</v>
      </c>
      <c r="J27" s="482">
        <f t="shared" si="15"/>
        <v>446.54400000000004</v>
      </c>
    </row>
    <row r="28" spans="2:10" ht="12.75" customHeight="1" x14ac:dyDescent="0.2">
      <c r="B28" s="700"/>
      <c r="C28" s="698" t="s">
        <v>416</v>
      </c>
      <c r="D28" s="420" t="s">
        <v>282</v>
      </c>
      <c r="E28" s="419">
        <v>50</v>
      </c>
      <c r="F28" s="459">
        <f>'Table 10 Capital Costs'!N28</f>
        <v>212640</v>
      </c>
      <c r="G28" s="459">
        <f t="shared" si="0"/>
        <v>4252.8</v>
      </c>
      <c r="H28" s="459">
        <f t="shared" si="1"/>
        <v>4252.8</v>
      </c>
      <c r="I28" s="459">
        <f t="shared" si="2"/>
        <v>4252.8</v>
      </c>
      <c r="J28" s="482">
        <f t="shared" si="3"/>
        <v>4252.8</v>
      </c>
    </row>
    <row r="29" spans="2:10" ht="14.25" x14ac:dyDescent="0.2">
      <c r="B29" s="700"/>
      <c r="C29" s="698"/>
      <c r="D29" s="420" t="s">
        <v>287</v>
      </c>
      <c r="E29" s="419">
        <v>50</v>
      </c>
      <c r="F29" s="459">
        <f>'Table 10 Capital Costs'!N29</f>
        <v>1966.92</v>
      </c>
      <c r="G29" s="459">
        <f t="shared" si="0"/>
        <v>39.3384</v>
      </c>
      <c r="H29" s="459">
        <f t="shared" si="1"/>
        <v>39.3384</v>
      </c>
      <c r="I29" s="459">
        <f t="shared" si="2"/>
        <v>39.3384</v>
      </c>
      <c r="J29" s="482">
        <f t="shared" si="3"/>
        <v>39.3384</v>
      </c>
    </row>
    <row r="30" spans="2:10" ht="14.25" x14ac:dyDescent="0.2">
      <c r="B30" s="700"/>
      <c r="C30" s="698"/>
      <c r="D30" s="420" t="s">
        <v>272</v>
      </c>
      <c r="E30" s="419">
        <v>10</v>
      </c>
      <c r="F30" s="459">
        <f>'Table 10 Capital Costs'!N30</f>
        <v>37212</v>
      </c>
      <c r="G30" s="459">
        <f t="shared" si="0"/>
        <v>3721.2</v>
      </c>
      <c r="H30" s="459">
        <f t="shared" si="1"/>
        <v>3721.2</v>
      </c>
      <c r="I30" s="459">
        <f t="shared" si="2"/>
        <v>3721.2</v>
      </c>
      <c r="J30" s="482">
        <f t="shared" si="3"/>
        <v>3721.2</v>
      </c>
    </row>
    <row r="31" spans="2:10" ht="28.5" x14ac:dyDescent="0.2">
      <c r="B31" s="700"/>
      <c r="C31" s="698"/>
      <c r="D31" s="420" t="s">
        <v>307</v>
      </c>
      <c r="E31" s="419">
        <v>50</v>
      </c>
      <c r="F31" s="459">
        <f>'Table 10 Capital Costs'!N31</f>
        <v>128647.2</v>
      </c>
      <c r="G31" s="459">
        <f t="shared" si="0"/>
        <v>2572.944</v>
      </c>
      <c r="H31" s="459">
        <f t="shared" si="1"/>
        <v>2572.944</v>
      </c>
      <c r="I31" s="459">
        <f t="shared" si="2"/>
        <v>2572.944</v>
      </c>
      <c r="J31" s="482">
        <f t="shared" si="3"/>
        <v>2572.944</v>
      </c>
    </row>
    <row r="32" spans="2:10" ht="12.75" customHeight="1" x14ac:dyDescent="0.2">
      <c r="B32" s="700"/>
      <c r="C32" s="698" t="s">
        <v>322</v>
      </c>
      <c r="D32" s="420" t="s">
        <v>282</v>
      </c>
      <c r="E32" s="419">
        <v>50</v>
      </c>
      <c r="F32" s="459">
        <f>'Table 10 Capital Costs'!N32</f>
        <v>265800</v>
      </c>
      <c r="G32" s="459">
        <f t="shared" ref="G32:G36" si="16">F32/E32</f>
        <v>5316</v>
      </c>
      <c r="H32" s="459">
        <f t="shared" ref="H32:H36" si="17">G32</f>
        <v>5316</v>
      </c>
      <c r="I32" s="459">
        <f t="shared" ref="I32:I36" si="18">G32</f>
        <v>5316</v>
      </c>
      <c r="J32" s="482">
        <f t="shared" ref="J32:J36" si="19">G32</f>
        <v>5316</v>
      </c>
    </row>
    <row r="33" spans="2:10" ht="14.25" x14ac:dyDescent="0.2">
      <c r="B33" s="700"/>
      <c r="C33" s="698"/>
      <c r="D33" s="420" t="s">
        <v>287</v>
      </c>
      <c r="E33" s="419">
        <v>50</v>
      </c>
      <c r="F33" s="459">
        <f>'Table 10 Capital Costs'!N33</f>
        <v>4252.8</v>
      </c>
      <c r="G33" s="459">
        <f t="shared" si="16"/>
        <v>85.055999999999997</v>
      </c>
      <c r="H33" s="459">
        <f t="shared" si="17"/>
        <v>85.055999999999997</v>
      </c>
      <c r="I33" s="459">
        <f t="shared" si="18"/>
        <v>85.055999999999997</v>
      </c>
      <c r="J33" s="482">
        <f t="shared" si="19"/>
        <v>85.055999999999997</v>
      </c>
    </row>
    <row r="34" spans="2:10" ht="14.25" x14ac:dyDescent="0.2">
      <c r="B34" s="700"/>
      <c r="C34" s="698"/>
      <c r="D34" s="420" t="s">
        <v>272</v>
      </c>
      <c r="E34" s="419">
        <v>10</v>
      </c>
      <c r="F34" s="459">
        <f>'Table 10 Capital Costs'!N34</f>
        <v>42528</v>
      </c>
      <c r="G34" s="459">
        <f t="shared" ref="G34" si="20">F34/E34</f>
        <v>4252.8</v>
      </c>
      <c r="H34" s="459">
        <f t="shared" ref="H34" si="21">G34</f>
        <v>4252.8</v>
      </c>
      <c r="I34" s="459">
        <f t="shared" ref="I34" si="22">G34</f>
        <v>4252.8</v>
      </c>
      <c r="J34" s="482">
        <f t="shared" ref="J34" si="23">G34</f>
        <v>4252.8</v>
      </c>
    </row>
    <row r="35" spans="2:10" ht="14.25" x14ac:dyDescent="0.2">
      <c r="B35" s="700"/>
      <c r="C35" s="698"/>
      <c r="D35" s="420" t="s">
        <v>272</v>
      </c>
      <c r="E35" s="419">
        <v>10</v>
      </c>
      <c r="F35" s="459">
        <f>'Table 10 Capital Costs'!N35</f>
        <v>42528</v>
      </c>
      <c r="G35" s="459">
        <f t="shared" si="16"/>
        <v>4252.8</v>
      </c>
      <c r="H35" s="459">
        <f t="shared" si="17"/>
        <v>4252.8</v>
      </c>
      <c r="I35" s="459">
        <f t="shared" si="18"/>
        <v>4252.8</v>
      </c>
      <c r="J35" s="482">
        <f t="shared" si="19"/>
        <v>4252.8</v>
      </c>
    </row>
    <row r="36" spans="2:10" ht="28.5" x14ac:dyDescent="0.2">
      <c r="B36" s="700"/>
      <c r="C36" s="698"/>
      <c r="D36" s="420" t="s">
        <v>307</v>
      </c>
      <c r="E36" s="419">
        <v>50</v>
      </c>
      <c r="F36" s="459">
        <f>'Table 10 Capital Costs'!N36</f>
        <v>128647.2</v>
      </c>
      <c r="G36" s="459">
        <f t="shared" si="16"/>
        <v>2572.944</v>
      </c>
      <c r="H36" s="459">
        <f t="shared" si="17"/>
        <v>2572.944</v>
      </c>
      <c r="I36" s="459">
        <f t="shared" si="18"/>
        <v>2572.944</v>
      </c>
      <c r="J36" s="482">
        <f t="shared" si="19"/>
        <v>2572.944</v>
      </c>
    </row>
    <row r="37" spans="2:10" ht="14.25" x14ac:dyDescent="0.2">
      <c r="B37" s="700"/>
      <c r="C37" s="698" t="s">
        <v>326</v>
      </c>
      <c r="D37" s="420" t="s">
        <v>327</v>
      </c>
      <c r="E37" s="419">
        <v>50</v>
      </c>
      <c r="F37" s="459">
        <f>'Table 10 Capital Costs'!N37</f>
        <v>159480</v>
      </c>
      <c r="G37" s="459">
        <f t="shared" si="0"/>
        <v>3189.6</v>
      </c>
      <c r="H37" s="459">
        <f t="shared" si="1"/>
        <v>3189.6</v>
      </c>
      <c r="I37" s="459">
        <f t="shared" si="2"/>
        <v>3189.6</v>
      </c>
      <c r="J37" s="482">
        <f t="shared" si="3"/>
        <v>3189.6</v>
      </c>
    </row>
    <row r="38" spans="2:10" ht="14.25" x14ac:dyDescent="0.2">
      <c r="B38" s="700"/>
      <c r="C38" s="698"/>
      <c r="D38" s="420" t="s">
        <v>272</v>
      </c>
      <c r="E38" s="419">
        <v>10</v>
      </c>
      <c r="F38" s="459">
        <f>'Table 10 Capital Costs'!N38</f>
        <v>127584</v>
      </c>
      <c r="G38" s="459">
        <f t="shared" si="0"/>
        <v>12758.4</v>
      </c>
      <c r="H38" s="459">
        <f t="shared" si="1"/>
        <v>12758.4</v>
      </c>
      <c r="I38" s="459">
        <f t="shared" si="2"/>
        <v>12758.4</v>
      </c>
      <c r="J38" s="482">
        <f t="shared" si="3"/>
        <v>12758.4</v>
      </c>
    </row>
    <row r="39" spans="2:10" ht="29.25" thickBot="1" x14ac:dyDescent="0.25">
      <c r="B39" s="700"/>
      <c r="C39" s="698"/>
      <c r="D39" s="420" t="s">
        <v>307</v>
      </c>
      <c r="E39" s="419">
        <v>50</v>
      </c>
      <c r="F39" s="459">
        <f>'Table 10 Capital Costs'!N39</f>
        <v>105256.8</v>
      </c>
      <c r="G39" s="459">
        <f t="shared" si="0"/>
        <v>2105.136</v>
      </c>
      <c r="H39" s="459">
        <f t="shared" si="1"/>
        <v>2105.136</v>
      </c>
      <c r="I39" s="459">
        <f t="shared" si="2"/>
        <v>2105.136</v>
      </c>
      <c r="J39" s="482">
        <f t="shared" si="3"/>
        <v>2105.136</v>
      </c>
    </row>
    <row r="40" spans="2:10" ht="14.25" hidden="1" x14ac:dyDescent="0.2">
      <c r="B40" s="700"/>
      <c r="C40" s="419" t="s">
        <v>330</v>
      </c>
      <c r="D40" s="420"/>
      <c r="E40" s="419"/>
      <c r="F40" s="459"/>
      <c r="G40" s="459">
        <f>SUM(G5:G39)</f>
        <v>84133.142400000012</v>
      </c>
      <c r="H40" s="459">
        <f>SUM(H5:H39)</f>
        <v>84133.142400000012</v>
      </c>
      <c r="I40" s="459">
        <f>SUM(I5:I39)</f>
        <v>84133.142400000012</v>
      </c>
      <c r="J40" s="482">
        <f>SUM(J5:J39)</f>
        <v>84133.142400000012</v>
      </c>
    </row>
    <row r="41" spans="2:10" ht="14.25" hidden="1" x14ac:dyDescent="0.2">
      <c r="B41" s="700"/>
      <c r="C41" s="419" t="s">
        <v>331</v>
      </c>
      <c r="D41" s="420"/>
      <c r="E41" s="419"/>
      <c r="F41" s="459"/>
      <c r="G41" s="459"/>
      <c r="H41" s="459"/>
      <c r="I41" s="459"/>
      <c r="J41" s="482"/>
    </row>
    <row r="42" spans="2:10" ht="14.25" hidden="1" x14ac:dyDescent="0.2">
      <c r="B42" s="700"/>
      <c r="C42" s="419" t="s">
        <v>333</v>
      </c>
      <c r="D42" s="420"/>
      <c r="E42" s="419"/>
      <c r="F42" s="459"/>
      <c r="G42" s="459"/>
      <c r="H42" s="459"/>
      <c r="I42" s="459"/>
      <c r="J42" s="482"/>
    </row>
    <row r="43" spans="2:10" ht="14.25" hidden="1" x14ac:dyDescent="0.2">
      <c r="B43" s="700"/>
      <c r="C43" s="419" t="s">
        <v>335</v>
      </c>
      <c r="D43" s="420"/>
      <c r="E43" s="419"/>
      <c r="F43" s="459"/>
      <c r="G43" s="459"/>
      <c r="H43" s="459"/>
      <c r="I43" s="459"/>
      <c r="J43" s="482"/>
    </row>
    <row r="44" spans="2:10" ht="14.25" hidden="1" x14ac:dyDescent="0.2">
      <c r="B44" s="700"/>
      <c r="C44" s="441" t="s">
        <v>337</v>
      </c>
      <c r="D44" s="488"/>
      <c r="E44" s="441"/>
      <c r="F44" s="461"/>
      <c r="G44" s="461"/>
      <c r="H44" s="461"/>
      <c r="I44" s="461"/>
      <c r="J44" s="491"/>
    </row>
    <row r="45" spans="2:10" ht="15" thickBot="1" x14ac:dyDescent="0.25">
      <c r="B45" s="714"/>
      <c r="C45" s="703" t="s">
        <v>29</v>
      </c>
      <c r="D45" s="704"/>
      <c r="E45" s="704"/>
      <c r="F45" s="705"/>
      <c r="G45" s="465">
        <f>G40</f>
        <v>84133.142400000012</v>
      </c>
      <c r="H45" s="465">
        <f>H40</f>
        <v>84133.142400000012</v>
      </c>
      <c r="I45" s="465">
        <f>I40</f>
        <v>84133.142400000012</v>
      </c>
      <c r="J45" s="493">
        <f>J40</f>
        <v>84133.142400000012</v>
      </c>
    </row>
    <row r="46" spans="2:10" ht="27" customHeight="1" x14ac:dyDescent="0.2">
      <c r="B46" s="699" t="s">
        <v>339</v>
      </c>
      <c r="C46" s="702" t="s">
        <v>340</v>
      </c>
      <c r="D46" s="416" t="s">
        <v>417</v>
      </c>
      <c r="E46" s="415">
        <v>50</v>
      </c>
      <c r="F46" s="464">
        <f>'Table 10 Capital Costs'!N46+'Table 10 Capital Costs'!N47</f>
        <v>1701120</v>
      </c>
      <c r="G46" s="464">
        <f>F46/E46</f>
        <v>34022.400000000001</v>
      </c>
      <c r="H46" s="464"/>
      <c r="I46" s="464">
        <f>G46</f>
        <v>34022.400000000001</v>
      </c>
      <c r="J46" s="484">
        <f>G46</f>
        <v>34022.400000000001</v>
      </c>
    </row>
    <row r="47" spans="2:10" ht="14.25" x14ac:dyDescent="0.2">
      <c r="B47" s="700"/>
      <c r="C47" s="698"/>
      <c r="D47" s="420" t="s">
        <v>272</v>
      </c>
      <c r="E47" s="419">
        <v>10</v>
      </c>
      <c r="F47" s="459">
        <f>'Table 10 Capital Costs'!N48</f>
        <v>212640</v>
      </c>
      <c r="G47" s="459">
        <f>F47/E47</f>
        <v>21264</v>
      </c>
      <c r="H47" s="459"/>
      <c r="I47" s="459">
        <f>G47</f>
        <v>21264</v>
      </c>
      <c r="J47" s="482">
        <f t="shared" ref="J47" si="24">G47</f>
        <v>21264</v>
      </c>
    </row>
    <row r="48" spans="2:10" ht="14.25" x14ac:dyDescent="0.2">
      <c r="B48" s="700"/>
      <c r="C48" s="683"/>
      <c r="D48" s="420" t="s">
        <v>272</v>
      </c>
      <c r="E48" s="419">
        <v>10</v>
      </c>
      <c r="F48" s="459">
        <f>'Table 10 Capital Costs'!N49</f>
        <v>85056</v>
      </c>
      <c r="G48" s="459">
        <f>F48/E48</f>
        <v>8505.6</v>
      </c>
      <c r="H48" s="459"/>
      <c r="I48" s="459">
        <f t="shared" ref="I48:I59" si="25">G48</f>
        <v>8505.6</v>
      </c>
      <c r="J48" s="482">
        <f t="shared" ref="J48:J59" si="26">G48</f>
        <v>8505.6</v>
      </c>
    </row>
    <row r="49" spans="2:10" ht="14.25" x14ac:dyDescent="0.2">
      <c r="B49" s="712"/>
      <c r="C49" s="683"/>
      <c r="D49" s="420" t="s">
        <v>299</v>
      </c>
      <c r="E49" s="419">
        <v>50</v>
      </c>
      <c r="F49" s="459">
        <f>'Table 10 Capital Costs'!N50</f>
        <v>345540</v>
      </c>
      <c r="G49" s="459">
        <f t="shared" ref="G49:G59" si="27">F49/E49</f>
        <v>6910.8</v>
      </c>
      <c r="H49" s="459"/>
      <c r="I49" s="459">
        <f t="shared" si="25"/>
        <v>6910.8</v>
      </c>
      <c r="J49" s="482">
        <f t="shared" si="26"/>
        <v>6910.8</v>
      </c>
    </row>
    <row r="50" spans="2:10" ht="18" customHeight="1" x14ac:dyDescent="0.2">
      <c r="B50" s="712"/>
      <c r="C50" s="698" t="s">
        <v>352</v>
      </c>
      <c r="D50" s="420" t="s">
        <v>353</v>
      </c>
      <c r="E50" s="419">
        <v>50</v>
      </c>
      <c r="F50" s="459">
        <f>'Table 10 Capital Costs'!N51</f>
        <v>1063200</v>
      </c>
      <c r="G50" s="459">
        <f t="shared" si="27"/>
        <v>21264</v>
      </c>
      <c r="H50" s="459">
        <f>G50</f>
        <v>21264</v>
      </c>
      <c r="I50" s="459">
        <f t="shared" si="25"/>
        <v>21264</v>
      </c>
      <c r="J50" s="482">
        <f t="shared" si="26"/>
        <v>21264</v>
      </c>
    </row>
    <row r="51" spans="2:10" ht="14.25" x14ac:dyDescent="0.2">
      <c r="B51" s="712"/>
      <c r="C51" s="683"/>
      <c r="D51" s="420" t="s">
        <v>272</v>
      </c>
      <c r="E51" s="419">
        <v>10</v>
      </c>
      <c r="F51" s="459">
        <f>'Table 10 Capital Costs'!N52</f>
        <v>318960</v>
      </c>
      <c r="G51" s="459">
        <f t="shared" si="27"/>
        <v>31896</v>
      </c>
      <c r="H51" s="459">
        <f>G51</f>
        <v>31896</v>
      </c>
      <c r="I51" s="459">
        <f t="shared" si="25"/>
        <v>31896</v>
      </c>
      <c r="J51" s="482">
        <f t="shared" si="26"/>
        <v>31896</v>
      </c>
    </row>
    <row r="52" spans="2:10" ht="14.25" x14ac:dyDescent="0.2">
      <c r="B52" s="712"/>
      <c r="C52" s="683"/>
      <c r="D52" s="420" t="s">
        <v>276</v>
      </c>
      <c r="E52" s="419">
        <v>50</v>
      </c>
      <c r="F52" s="459">
        <f>'Table 10 Capital Costs'!N53</f>
        <v>363614.4</v>
      </c>
      <c r="G52" s="459">
        <f t="shared" si="27"/>
        <v>7272.2880000000005</v>
      </c>
      <c r="H52" s="459">
        <f>G52</f>
        <v>7272.2880000000005</v>
      </c>
      <c r="I52" s="459">
        <f t="shared" si="25"/>
        <v>7272.2880000000005</v>
      </c>
      <c r="J52" s="482">
        <f t="shared" si="26"/>
        <v>7272.2880000000005</v>
      </c>
    </row>
    <row r="53" spans="2:10" ht="14.25" x14ac:dyDescent="0.2">
      <c r="B53" s="712"/>
      <c r="C53" s="698" t="s">
        <v>133</v>
      </c>
      <c r="D53" s="420" t="s">
        <v>282</v>
      </c>
      <c r="E53" s="419">
        <v>50</v>
      </c>
      <c r="F53" s="459">
        <f>'Table 10 Capital Costs'!N54</f>
        <v>212640</v>
      </c>
      <c r="G53" s="459">
        <f t="shared" si="27"/>
        <v>4252.8</v>
      </c>
      <c r="H53" s="459"/>
      <c r="I53" s="459">
        <f t="shared" si="25"/>
        <v>4252.8</v>
      </c>
      <c r="J53" s="482">
        <f t="shared" si="26"/>
        <v>4252.8</v>
      </c>
    </row>
    <row r="54" spans="2:10" ht="14.25" x14ac:dyDescent="0.2">
      <c r="B54" s="712"/>
      <c r="C54" s="683"/>
      <c r="D54" s="420" t="s">
        <v>287</v>
      </c>
      <c r="E54" s="419">
        <v>50</v>
      </c>
      <c r="F54" s="459">
        <f>'Table 10 Capital Costs'!N55</f>
        <v>1966.92</v>
      </c>
      <c r="G54" s="459">
        <f t="shared" si="27"/>
        <v>39.3384</v>
      </c>
      <c r="H54" s="459"/>
      <c r="I54" s="459">
        <f t="shared" si="25"/>
        <v>39.3384</v>
      </c>
      <c r="J54" s="482">
        <f t="shared" si="26"/>
        <v>39.3384</v>
      </c>
    </row>
    <row r="55" spans="2:10" ht="14.25" x14ac:dyDescent="0.2">
      <c r="B55" s="712"/>
      <c r="C55" s="683"/>
      <c r="D55" s="420" t="s">
        <v>272</v>
      </c>
      <c r="E55" s="419">
        <v>10</v>
      </c>
      <c r="F55" s="459">
        <f>'Table 10 Capital Costs'!N56</f>
        <v>59539.199999999997</v>
      </c>
      <c r="G55" s="459">
        <f t="shared" si="27"/>
        <v>5953.92</v>
      </c>
      <c r="H55" s="459"/>
      <c r="I55" s="459">
        <f t="shared" si="25"/>
        <v>5953.92</v>
      </c>
      <c r="J55" s="482">
        <f t="shared" si="26"/>
        <v>5953.92</v>
      </c>
    </row>
    <row r="56" spans="2:10" ht="14.25" x14ac:dyDescent="0.2">
      <c r="B56" s="712"/>
      <c r="C56" s="683"/>
      <c r="D56" s="420" t="s">
        <v>276</v>
      </c>
      <c r="E56" s="419">
        <v>50</v>
      </c>
      <c r="F56" s="459">
        <f>'Table 10 Capital Costs'!N57</f>
        <v>733608</v>
      </c>
      <c r="G56" s="459">
        <f t="shared" si="27"/>
        <v>14672.16</v>
      </c>
      <c r="H56" s="459"/>
      <c r="I56" s="459">
        <f t="shared" si="25"/>
        <v>14672.16</v>
      </c>
      <c r="J56" s="482">
        <f t="shared" si="26"/>
        <v>14672.16</v>
      </c>
    </row>
    <row r="57" spans="2:10" ht="14.25" x14ac:dyDescent="0.2">
      <c r="B57" s="712"/>
      <c r="C57" s="698" t="s">
        <v>362</v>
      </c>
      <c r="D57" s="420" t="s">
        <v>363</v>
      </c>
      <c r="E57" s="419">
        <v>25</v>
      </c>
      <c r="F57" s="459">
        <f>'Table 10 Capital Costs'!N58</f>
        <v>318960</v>
      </c>
      <c r="G57" s="459">
        <f t="shared" si="27"/>
        <v>12758.4</v>
      </c>
      <c r="H57" s="459"/>
      <c r="I57" s="459">
        <f t="shared" si="25"/>
        <v>12758.4</v>
      </c>
      <c r="J57" s="482">
        <f t="shared" si="26"/>
        <v>12758.4</v>
      </c>
    </row>
    <row r="58" spans="2:10" ht="14.25" x14ac:dyDescent="0.2">
      <c r="B58" s="712"/>
      <c r="C58" s="683"/>
      <c r="D58" s="420" t="s">
        <v>272</v>
      </c>
      <c r="E58" s="419">
        <v>10</v>
      </c>
      <c r="F58" s="459">
        <f>'Table 10 Capital Costs'!N59</f>
        <v>59539.199999999997</v>
      </c>
      <c r="G58" s="459">
        <f t="shared" si="27"/>
        <v>5953.92</v>
      </c>
      <c r="H58" s="459"/>
      <c r="I58" s="459">
        <f t="shared" si="25"/>
        <v>5953.92</v>
      </c>
      <c r="J58" s="482">
        <f t="shared" si="26"/>
        <v>5953.92</v>
      </c>
    </row>
    <row r="59" spans="2:10" ht="15" thickBot="1" x14ac:dyDescent="0.25">
      <c r="B59" s="712"/>
      <c r="C59" s="683"/>
      <c r="D59" s="420" t="s">
        <v>276</v>
      </c>
      <c r="E59" s="419">
        <v>50</v>
      </c>
      <c r="F59" s="459">
        <f>'Table 10 Capital Costs'!N60</f>
        <v>978144</v>
      </c>
      <c r="G59" s="459">
        <f t="shared" si="27"/>
        <v>19562.88</v>
      </c>
      <c r="H59" s="459"/>
      <c r="I59" s="459">
        <f t="shared" si="25"/>
        <v>19562.88</v>
      </c>
      <c r="J59" s="482">
        <f t="shared" si="26"/>
        <v>19562.88</v>
      </c>
    </row>
    <row r="60" spans="2:10" ht="14.25" x14ac:dyDescent="0.2">
      <c r="B60" s="712"/>
      <c r="C60" s="419" t="s">
        <v>330</v>
      </c>
      <c r="D60" s="420"/>
      <c r="E60" s="419"/>
      <c r="F60" s="459">
        <f>SUM(F46:F59)</f>
        <v>6454527.7200000007</v>
      </c>
      <c r="G60" s="459">
        <f>SUM(G46:G59)</f>
        <v>194328.50640000001</v>
      </c>
      <c r="H60" s="459">
        <f>SUM(H46:H59)</f>
        <v>60432.288</v>
      </c>
      <c r="I60" s="459">
        <f>SUM(I46:I59)</f>
        <v>194328.50640000001</v>
      </c>
      <c r="J60" s="482">
        <f>SUM(J46:J59)</f>
        <v>194328.50640000001</v>
      </c>
    </row>
    <row r="61" spans="2:10" ht="14.25" x14ac:dyDescent="0.2">
      <c r="B61" s="712"/>
      <c r="C61" s="419" t="s">
        <v>331</v>
      </c>
      <c r="D61" s="420"/>
      <c r="E61" s="419"/>
      <c r="F61" s="459"/>
      <c r="G61" s="459"/>
      <c r="H61" s="459"/>
      <c r="I61" s="459"/>
      <c r="J61" s="482"/>
    </row>
    <row r="62" spans="2:10" ht="14.25" x14ac:dyDescent="0.2">
      <c r="B62" s="712"/>
      <c r="C62" s="419" t="s">
        <v>333</v>
      </c>
      <c r="D62" s="420"/>
      <c r="E62" s="419"/>
      <c r="F62" s="459"/>
      <c r="G62" s="459"/>
      <c r="H62" s="459"/>
      <c r="I62" s="459"/>
      <c r="J62" s="482"/>
    </row>
    <row r="63" spans="2:10" ht="14.25" x14ac:dyDescent="0.2">
      <c r="B63" s="712"/>
      <c r="C63" s="419" t="s">
        <v>335</v>
      </c>
      <c r="D63" s="420"/>
      <c r="E63" s="419"/>
      <c r="F63" s="459"/>
      <c r="G63" s="459"/>
      <c r="H63" s="459"/>
      <c r="I63" s="459"/>
      <c r="J63" s="482"/>
    </row>
    <row r="64" spans="2:10" ht="14.25" x14ac:dyDescent="0.2">
      <c r="B64" s="712"/>
      <c r="C64" s="441" t="s">
        <v>337</v>
      </c>
      <c r="D64" s="488"/>
      <c r="E64" s="441"/>
      <c r="F64" s="461"/>
      <c r="G64" s="461"/>
      <c r="H64" s="461"/>
      <c r="I64" s="461"/>
      <c r="J64" s="491"/>
    </row>
    <row r="65" spans="2:10" ht="15" thickBot="1" x14ac:dyDescent="0.25">
      <c r="B65" s="714"/>
      <c r="C65" s="720" t="s">
        <v>29</v>
      </c>
      <c r="D65" s="721"/>
      <c r="E65" s="721"/>
      <c r="F65" s="722"/>
      <c r="G65" s="465">
        <f>G60</f>
        <v>194328.50640000001</v>
      </c>
      <c r="H65" s="465">
        <f>H60</f>
        <v>60432.288</v>
      </c>
      <c r="I65" s="465">
        <f>I60</f>
        <v>194328.50640000001</v>
      </c>
      <c r="J65" s="493">
        <f>J60</f>
        <v>194328.50640000001</v>
      </c>
    </row>
    <row r="66" spans="2:10" ht="14.25" x14ac:dyDescent="0.2">
      <c r="B66" s="706" t="s">
        <v>371</v>
      </c>
      <c r="C66" s="727" t="s">
        <v>372</v>
      </c>
      <c r="D66" s="416" t="s">
        <v>363</v>
      </c>
      <c r="E66" s="415">
        <v>50</v>
      </c>
      <c r="F66" s="464">
        <f>'Table 10 Capital Costs'!N67</f>
        <v>318960</v>
      </c>
      <c r="G66" s="464">
        <f t="shared" ref="G66:G74" si="28">F66/E66</f>
        <v>6379.2</v>
      </c>
      <c r="H66" s="464"/>
      <c r="I66" s="464">
        <f t="shared" ref="I66:I74" si="29">G66</f>
        <v>6379.2</v>
      </c>
      <c r="J66" s="484">
        <f t="shared" ref="J66:J71" si="30">G66</f>
        <v>6379.2</v>
      </c>
    </row>
    <row r="67" spans="2:10" ht="28.5" x14ac:dyDescent="0.2">
      <c r="B67" s="724"/>
      <c r="C67" s="728"/>
      <c r="D67" s="425" t="s">
        <v>373</v>
      </c>
      <c r="E67" s="419">
        <v>50</v>
      </c>
      <c r="F67" s="459">
        <f>'Table 10 Capital Costs'!N68</f>
        <v>122268</v>
      </c>
      <c r="G67" s="459">
        <f t="shared" si="28"/>
        <v>2445.36</v>
      </c>
      <c r="H67" s="459"/>
      <c r="I67" s="459">
        <f t="shared" si="29"/>
        <v>2445.36</v>
      </c>
      <c r="J67" s="482">
        <f t="shared" si="30"/>
        <v>2445.36</v>
      </c>
    </row>
    <row r="68" spans="2:10" ht="14.25" x14ac:dyDescent="0.2">
      <c r="B68" s="724"/>
      <c r="C68" s="728"/>
      <c r="D68" s="429" t="s">
        <v>374</v>
      </c>
      <c r="E68" s="419">
        <v>10</v>
      </c>
      <c r="F68" s="459">
        <f>'Table 10 Capital Costs'!N69</f>
        <v>63792</v>
      </c>
      <c r="G68" s="459">
        <f t="shared" si="28"/>
        <v>6379.2</v>
      </c>
      <c r="H68" s="459"/>
      <c r="I68" s="459">
        <f t="shared" si="29"/>
        <v>6379.2</v>
      </c>
      <c r="J68" s="482">
        <f t="shared" si="30"/>
        <v>6379.2</v>
      </c>
    </row>
    <row r="69" spans="2:10" ht="14.25" x14ac:dyDescent="0.2">
      <c r="B69" s="724"/>
      <c r="C69" s="728"/>
      <c r="D69" s="425" t="s">
        <v>377</v>
      </c>
      <c r="E69" s="419">
        <v>20</v>
      </c>
      <c r="F69" s="459">
        <f>'Table 10 Capital Costs'!N70</f>
        <v>53160</v>
      </c>
      <c r="G69" s="459">
        <f t="shared" si="28"/>
        <v>2658</v>
      </c>
      <c r="H69" s="459"/>
      <c r="I69" s="459">
        <f t="shared" si="29"/>
        <v>2658</v>
      </c>
      <c r="J69" s="482">
        <f t="shared" si="30"/>
        <v>2658</v>
      </c>
    </row>
    <row r="70" spans="2:10" ht="14.25" x14ac:dyDescent="0.2">
      <c r="B70" s="724"/>
      <c r="C70" s="728"/>
      <c r="D70" s="429" t="s">
        <v>382</v>
      </c>
      <c r="E70" s="419">
        <v>20</v>
      </c>
      <c r="F70" s="459">
        <f>'Table 10 Capital Costs'!N71</f>
        <v>339373.44</v>
      </c>
      <c r="G70" s="459">
        <f t="shared" si="28"/>
        <v>16968.671999999999</v>
      </c>
      <c r="H70" s="459"/>
      <c r="I70" s="459">
        <f t="shared" si="29"/>
        <v>16968.671999999999</v>
      </c>
      <c r="J70" s="482">
        <f t="shared" si="30"/>
        <v>16968.671999999999</v>
      </c>
    </row>
    <row r="71" spans="2:10" ht="14.25" x14ac:dyDescent="0.2">
      <c r="B71" s="724"/>
      <c r="C71" s="728"/>
      <c r="D71" s="429" t="s">
        <v>384</v>
      </c>
      <c r="E71" s="419">
        <v>30</v>
      </c>
      <c r="F71" s="459">
        <f>'Table 10 Capital Costs'!N72</f>
        <v>48493.6152</v>
      </c>
      <c r="G71" s="459">
        <f t="shared" si="28"/>
        <v>1616.4538399999999</v>
      </c>
      <c r="H71" s="459"/>
      <c r="I71" s="459">
        <f t="shared" si="29"/>
        <v>1616.4538399999999</v>
      </c>
      <c r="J71" s="482">
        <f t="shared" si="30"/>
        <v>1616.4538399999999</v>
      </c>
    </row>
    <row r="72" spans="2:10" ht="14.25" x14ac:dyDescent="0.2">
      <c r="B72" s="724"/>
      <c r="C72" s="728"/>
      <c r="D72" s="429" t="s">
        <v>386</v>
      </c>
      <c r="E72" s="419">
        <v>30</v>
      </c>
      <c r="F72" s="459">
        <f>'Table 10 Capital Costs'!N73</f>
        <v>1610164.3032</v>
      </c>
      <c r="G72" s="459">
        <f t="shared" si="28"/>
        <v>53672.14344</v>
      </c>
      <c r="H72" s="459"/>
      <c r="I72" s="459">
        <f t="shared" si="29"/>
        <v>53672.14344</v>
      </c>
      <c r="J72" s="482">
        <f>I72</f>
        <v>53672.14344</v>
      </c>
    </row>
    <row r="73" spans="2:10" ht="14.25" x14ac:dyDescent="0.2">
      <c r="B73" s="724"/>
      <c r="C73" s="728"/>
      <c r="D73" s="420" t="s">
        <v>390</v>
      </c>
      <c r="E73" s="419">
        <v>50</v>
      </c>
      <c r="F73" s="459">
        <f>'Table 10 Capital Costs'!N74</f>
        <v>42528</v>
      </c>
      <c r="G73" s="459">
        <f t="shared" si="28"/>
        <v>850.56</v>
      </c>
      <c r="H73" s="459"/>
      <c r="I73" s="459">
        <f t="shared" si="29"/>
        <v>850.56</v>
      </c>
      <c r="J73" s="482">
        <f>G73</f>
        <v>850.56</v>
      </c>
    </row>
    <row r="74" spans="2:10" ht="28.5" x14ac:dyDescent="0.2">
      <c r="B74" s="724"/>
      <c r="C74" s="419" t="s">
        <v>395</v>
      </c>
      <c r="D74" s="420" t="s">
        <v>396</v>
      </c>
      <c r="E74" s="419">
        <v>50</v>
      </c>
      <c r="F74" s="459">
        <f>'Table 10 Capital Costs'!N76</f>
        <v>10632</v>
      </c>
      <c r="G74" s="459">
        <f t="shared" si="28"/>
        <v>212.64</v>
      </c>
      <c r="H74" s="459"/>
      <c r="I74" s="459">
        <f t="shared" si="29"/>
        <v>212.64</v>
      </c>
      <c r="J74" s="482">
        <f>G74</f>
        <v>212.64</v>
      </c>
    </row>
    <row r="75" spans="2:10" ht="14.25" hidden="1" x14ac:dyDescent="0.2">
      <c r="B75" s="724"/>
      <c r="C75" s="419" t="s">
        <v>330</v>
      </c>
      <c r="D75" s="420"/>
      <c r="E75" s="449"/>
      <c r="F75" s="459"/>
      <c r="G75" s="459">
        <f>SUM(G66:G74)</f>
        <v>91182.22928</v>
      </c>
      <c r="H75" s="459">
        <f>SUM(H66:H74)</f>
        <v>0</v>
      </c>
      <c r="I75" s="459">
        <f>SUM(I66:I74)</f>
        <v>91182.22928</v>
      </c>
      <c r="J75" s="482">
        <f>SUM(J66:J74)</f>
        <v>91182.22928</v>
      </c>
    </row>
    <row r="76" spans="2:10" ht="14.25" hidden="1" x14ac:dyDescent="0.2">
      <c r="B76" s="724"/>
      <c r="C76" s="419" t="s">
        <v>331</v>
      </c>
      <c r="D76" s="420"/>
      <c r="E76" s="449"/>
      <c r="F76" s="459"/>
      <c r="G76" s="459"/>
      <c r="H76" s="459"/>
      <c r="I76" s="459"/>
      <c r="J76" s="482"/>
    </row>
    <row r="77" spans="2:10" ht="14.25" hidden="1" x14ac:dyDescent="0.2">
      <c r="B77" s="724"/>
      <c r="C77" s="419" t="s">
        <v>333</v>
      </c>
      <c r="D77" s="420"/>
      <c r="E77" s="449"/>
      <c r="F77" s="459"/>
      <c r="G77" s="459"/>
      <c r="H77" s="459"/>
      <c r="I77" s="459"/>
      <c r="J77" s="482"/>
    </row>
    <row r="78" spans="2:10" ht="14.25" hidden="1" x14ac:dyDescent="0.2">
      <c r="B78" s="724"/>
      <c r="C78" s="419" t="s">
        <v>335</v>
      </c>
      <c r="D78" s="420"/>
      <c r="E78" s="449"/>
      <c r="F78" s="459"/>
      <c r="G78" s="459"/>
      <c r="H78" s="459"/>
      <c r="I78" s="459"/>
      <c r="J78" s="482"/>
    </row>
    <row r="79" spans="2:10" ht="14.25" hidden="1" x14ac:dyDescent="0.2">
      <c r="B79" s="724"/>
      <c r="C79" s="419" t="s">
        <v>337</v>
      </c>
      <c r="D79" s="420"/>
      <c r="E79" s="449"/>
      <c r="F79" s="459"/>
      <c r="G79" s="459"/>
      <c r="H79" s="459"/>
      <c r="I79" s="459"/>
      <c r="J79" s="482"/>
    </row>
    <row r="80" spans="2:10" ht="15" thickBot="1" x14ac:dyDescent="0.25">
      <c r="B80" s="726"/>
      <c r="C80" s="729" t="s">
        <v>29</v>
      </c>
      <c r="D80" s="730"/>
      <c r="E80" s="730"/>
      <c r="F80" s="731"/>
      <c r="G80" s="485">
        <f>G75</f>
        <v>91182.22928</v>
      </c>
      <c r="H80" s="485">
        <f>H75</f>
        <v>0</v>
      </c>
      <c r="I80" s="485">
        <f>I75</f>
        <v>91182.22928</v>
      </c>
      <c r="J80" s="486">
        <f>J75</f>
        <v>91182.22928</v>
      </c>
    </row>
    <row r="81" spans="2:10" ht="15" thickBot="1" x14ac:dyDescent="0.25">
      <c r="B81" s="723" t="s">
        <v>196</v>
      </c>
      <c r="C81" s="430" t="s">
        <v>399</v>
      </c>
      <c r="D81" s="431" t="s">
        <v>400</v>
      </c>
      <c r="E81" s="430">
        <v>10</v>
      </c>
      <c r="F81" s="458">
        <f>'Table 10 Capital Costs'!N83</f>
        <v>1190784</v>
      </c>
      <c r="G81" s="458">
        <f>F81/E81</f>
        <v>119078.39999999999</v>
      </c>
      <c r="H81" s="458"/>
      <c r="I81" s="458">
        <f>G81*(8/16)</f>
        <v>59539.199999999997</v>
      </c>
      <c r="J81" s="483">
        <f>G81*(6/16)</f>
        <v>44654.399999999994</v>
      </c>
    </row>
    <row r="82" spans="2:10" ht="14.25" hidden="1" x14ac:dyDescent="0.2">
      <c r="B82" s="724"/>
      <c r="C82" s="419" t="s">
        <v>330</v>
      </c>
      <c r="D82" s="420"/>
      <c r="E82" s="449"/>
      <c r="F82" s="459">
        <f>SUM(F81:F81)</f>
        <v>1190784</v>
      </c>
      <c r="G82" s="459">
        <f>SUM(G81:G81)</f>
        <v>119078.39999999999</v>
      </c>
      <c r="H82" s="459">
        <f>SUM(H81:H81)</f>
        <v>0</v>
      </c>
      <c r="I82" s="459">
        <f>SUM(I81:I81)</f>
        <v>59539.199999999997</v>
      </c>
      <c r="J82" s="482">
        <f>SUM(J81:J81)</f>
        <v>44654.399999999994</v>
      </c>
    </row>
    <row r="83" spans="2:10" ht="14.25" hidden="1" x14ac:dyDescent="0.2">
      <c r="B83" s="724"/>
      <c r="C83" s="419" t="s">
        <v>331</v>
      </c>
      <c r="D83" s="420"/>
      <c r="E83" s="449"/>
      <c r="F83" s="459"/>
      <c r="G83" s="459"/>
      <c r="H83" s="459"/>
      <c r="I83" s="459"/>
      <c r="J83" s="482"/>
    </row>
    <row r="84" spans="2:10" ht="14.25" hidden="1" x14ac:dyDescent="0.2">
      <c r="B84" s="724"/>
      <c r="C84" s="419" t="s">
        <v>333</v>
      </c>
      <c r="D84" s="420"/>
      <c r="E84" s="449"/>
      <c r="F84" s="459"/>
      <c r="G84" s="459"/>
      <c r="H84" s="459"/>
      <c r="I84" s="459"/>
      <c r="J84" s="482"/>
    </row>
    <row r="85" spans="2:10" ht="14.25" hidden="1" x14ac:dyDescent="0.2">
      <c r="B85" s="724"/>
      <c r="C85" s="419" t="s">
        <v>335</v>
      </c>
      <c r="D85" s="420"/>
      <c r="E85" s="449"/>
      <c r="F85" s="459"/>
      <c r="G85" s="459"/>
      <c r="H85" s="459"/>
      <c r="I85" s="459"/>
      <c r="J85" s="482"/>
    </row>
    <row r="86" spans="2:10" ht="14.25" hidden="1" x14ac:dyDescent="0.2">
      <c r="B86" s="724"/>
      <c r="C86" s="441" t="s">
        <v>337</v>
      </c>
      <c r="D86" s="488"/>
      <c r="E86" s="492"/>
      <c r="F86" s="461"/>
      <c r="G86" s="461"/>
      <c r="H86" s="461"/>
      <c r="I86" s="461"/>
      <c r="J86" s="491"/>
    </row>
    <row r="87" spans="2:10" ht="15" thickBot="1" x14ac:dyDescent="0.25">
      <c r="B87" s="725"/>
      <c r="C87" s="717" t="s">
        <v>29</v>
      </c>
      <c r="D87" s="718"/>
      <c r="E87" s="718"/>
      <c r="F87" s="719"/>
      <c r="G87" s="463">
        <f>G82</f>
        <v>119078.39999999999</v>
      </c>
      <c r="H87" s="463">
        <f>H82</f>
        <v>0</v>
      </c>
      <c r="I87" s="463">
        <f>I82</f>
        <v>59539.199999999997</v>
      </c>
      <c r="J87" s="494">
        <f>J82</f>
        <v>44654.399999999994</v>
      </c>
    </row>
    <row r="88" spans="2:10" ht="15" thickTop="1" x14ac:dyDescent="0.2">
      <c r="B88" s="456"/>
      <c r="C88" s="241"/>
      <c r="D88" s="450"/>
      <c r="E88" s="450"/>
      <c r="F88" s="240"/>
      <c r="G88" s="240"/>
      <c r="H88" s="240"/>
      <c r="I88" s="240"/>
      <c r="J88" s="240"/>
    </row>
    <row r="89" spans="2:10" ht="14.25" x14ac:dyDescent="0.25">
      <c r="B89" s="456"/>
      <c r="C89" s="451"/>
      <c r="D89" s="452"/>
      <c r="E89" s="450"/>
      <c r="F89" s="240"/>
      <c r="G89" s="240"/>
      <c r="H89" s="240"/>
      <c r="I89" s="240"/>
      <c r="J89" s="240"/>
    </row>
    <row r="90" spans="2:10" x14ac:dyDescent="0.2">
      <c r="C90" s="82"/>
      <c r="D90" s="83"/>
    </row>
    <row r="91" spans="2:10" x14ac:dyDescent="0.2">
      <c r="C91" s="82"/>
      <c r="D91" s="83"/>
    </row>
    <row r="92" spans="2:10" x14ac:dyDescent="0.2">
      <c r="C92" s="82"/>
      <c r="D92" s="83"/>
    </row>
    <row r="93" spans="2:10" x14ac:dyDescent="0.2">
      <c r="C93" s="82"/>
      <c r="D93" s="83"/>
    </row>
    <row r="94" spans="2:10" x14ac:dyDescent="0.2">
      <c r="C94" s="82"/>
      <c r="D94" s="83"/>
    </row>
    <row r="95" spans="2:10" x14ac:dyDescent="0.2">
      <c r="C95" s="82"/>
      <c r="D95" s="83"/>
    </row>
    <row r="96" spans="2:10" x14ac:dyDescent="0.2">
      <c r="C96" s="82"/>
      <c r="D96" s="84"/>
    </row>
  </sheetData>
  <mergeCells count="23">
    <mergeCell ref="B81:B87"/>
    <mergeCell ref="B46:B65"/>
    <mergeCell ref="B66:B80"/>
    <mergeCell ref="C66:C73"/>
    <mergeCell ref="C46:C49"/>
    <mergeCell ref="C50:C52"/>
    <mergeCell ref="C53:C56"/>
    <mergeCell ref="C57:C59"/>
    <mergeCell ref="C65:F65"/>
    <mergeCell ref="C80:F80"/>
    <mergeCell ref="C87:F87"/>
    <mergeCell ref="B5:B45"/>
    <mergeCell ref="C5:C7"/>
    <mergeCell ref="C19:C22"/>
    <mergeCell ref="C28:C31"/>
    <mergeCell ref="C37:C39"/>
    <mergeCell ref="C14:C17"/>
    <mergeCell ref="C32:C36"/>
    <mergeCell ref="C23:C24"/>
    <mergeCell ref="C25:C27"/>
    <mergeCell ref="C10:C13"/>
    <mergeCell ref="C8:C9"/>
    <mergeCell ref="C45:F4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B2A56-4790-4C00-B261-802643A3A7CD}">
  <dimension ref="A1:L47"/>
  <sheetViews>
    <sheetView workbookViewId="0">
      <selection activeCell="C41" activeCellId="17" sqref="C4 C6 C9 C11 C13 C16 C17 C19 C20 C25 C27 C30 C32 C34 C37 C38 C40 C41"/>
    </sheetView>
  </sheetViews>
  <sheetFormatPr defaultRowHeight="12.75" x14ac:dyDescent="0.2"/>
  <cols>
    <col min="1" max="1" width="3" style="52" customWidth="1"/>
    <col min="2" max="2" width="30.33203125" style="37" customWidth="1"/>
    <col min="3" max="3" width="21.33203125" style="37" customWidth="1"/>
    <col min="4" max="4" width="39.5" style="37" customWidth="1"/>
    <col min="5" max="6" width="8.83203125" style="52"/>
    <col min="7" max="7" width="40.6640625" style="52" customWidth="1"/>
    <col min="8" max="8" width="55.6640625" style="52" bestFit="1" customWidth="1"/>
    <col min="9" max="9" width="12.1640625" style="52" customWidth="1"/>
    <col min="10" max="10" width="11.6640625" style="52" customWidth="1"/>
    <col min="11" max="11" width="25.5" style="52" customWidth="1"/>
    <col min="12" max="12" width="18.83203125" customWidth="1"/>
  </cols>
  <sheetData>
    <row r="1" spans="2:12" ht="13.5" thickBot="1" x14ac:dyDescent="0.25"/>
    <row r="2" spans="2:12" ht="58.5" thickTop="1" thickBot="1" x14ac:dyDescent="0.25">
      <c r="B2" s="732" t="s">
        <v>413</v>
      </c>
      <c r="C2" s="733"/>
      <c r="D2" s="521" t="s">
        <v>418</v>
      </c>
      <c r="G2" s="504" t="s">
        <v>419</v>
      </c>
      <c r="H2" s="505" t="s">
        <v>420</v>
      </c>
      <c r="I2" s="505" t="s">
        <v>421</v>
      </c>
      <c r="J2" s="505" t="s">
        <v>422</v>
      </c>
      <c r="K2" s="505" t="s">
        <v>423</v>
      </c>
      <c r="L2" s="506" t="s">
        <v>424</v>
      </c>
    </row>
    <row r="3" spans="2:12" ht="14.25" x14ac:dyDescent="0.25">
      <c r="B3" s="496" t="s">
        <v>425</v>
      </c>
      <c r="C3" s="497">
        <v>2</v>
      </c>
      <c r="D3" s="439" t="s">
        <v>426</v>
      </c>
      <c r="G3" s="507" t="s">
        <v>427</v>
      </c>
      <c r="H3" s="508" t="s">
        <v>428</v>
      </c>
      <c r="I3" s="509">
        <v>1</v>
      </c>
      <c r="J3" s="509">
        <v>26</v>
      </c>
      <c r="K3" s="510">
        <v>139.36499318181819</v>
      </c>
      <c r="L3" s="511">
        <f>I3*J3*K3</f>
        <v>3623.4898227272729</v>
      </c>
    </row>
    <row r="4" spans="2:12" ht="14.25" x14ac:dyDescent="0.25">
      <c r="B4" s="495" t="s">
        <v>429</v>
      </c>
      <c r="C4" s="481">
        <v>23</v>
      </c>
      <c r="D4" s="500" t="s">
        <v>430</v>
      </c>
      <c r="G4" s="512" t="s">
        <v>431</v>
      </c>
      <c r="H4" s="513" t="s">
        <v>432</v>
      </c>
      <c r="I4" s="513">
        <v>10</v>
      </c>
      <c r="J4" s="513">
        <v>26</v>
      </c>
      <c r="K4" s="514">
        <v>107.63676363636364</v>
      </c>
      <c r="L4" s="515">
        <f t="shared" ref="L4:L9" si="0">I4*J4*K4</f>
        <v>27985.558545454547</v>
      </c>
    </row>
    <row r="5" spans="2:12" ht="14.25" x14ac:dyDescent="0.25">
      <c r="B5" s="495" t="s">
        <v>433</v>
      </c>
      <c r="C5" s="421">
        <f>52*40</f>
        <v>2080</v>
      </c>
      <c r="D5" s="436" t="s">
        <v>434</v>
      </c>
      <c r="G5" s="512" t="s">
        <v>435</v>
      </c>
      <c r="H5" s="513" t="s">
        <v>436</v>
      </c>
      <c r="I5" s="513">
        <v>1</v>
      </c>
      <c r="J5" s="513">
        <v>26</v>
      </c>
      <c r="K5" s="514">
        <v>152.16988409090911</v>
      </c>
      <c r="L5" s="515">
        <f t="shared" si="0"/>
        <v>3956.4169863636366</v>
      </c>
    </row>
    <row r="6" spans="2:12" ht="14.25" x14ac:dyDescent="0.25">
      <c r="B6" s="522" t="s">
        <v>437</v>
      </c>
      <c r="C6" s="638">
        <f>C4*C5*C3</f>
        <v>95680</v>
      </c>
      <c r="D6" s="501" t="s">
        <v>438</v>
      </c>
      <c r="G6" s="512" t="s">
        <v>439</v>
      </c>
      <c r="H6" s="513" t="s">
        <v>428</v>
      </c>
      <c r="I6" s="513">
        <v>1</v>
      </c>
      <c r="J6" s="513">
        <v>2</v>
      </c>
      <c r="K6" s="514">
        <v>139.36499318181819</v>
      </c>
      <c r="L6" s="515">
        <f t="shared" si="0"/>
        <v>278.72998636363639</v>
      </c>
    </row>
    <row r="7" spans="2:12" ht="14.25" x14ac:dyDescent="0.25">
      <c r="B7" s="495" t="s">
        <v>440</v>
      </c>
      <c r="C7" s="499">
        <v>0.15</v>
      </c>
      <c r="D7" s="436" t="s">
        <v>441</v>
      </c>
      <c r="G7" s="512" t="s">
        <v>442</v>
      </c>
      <c r="H7" s="513" t="s">
        <v>432</v>
      </c>
      <c r="I7" s="513">
        <v>3</v>
      </c>
      <c r="J7" s="513">
        <v>2</v>
      </c>
      <c r="K7" s="514">
        <v>107.63676363636364</v>
      </c>
      <c r="L7" s="515">
        <f t="shared" si="0"/>
        <v>645.82058181818184</v>
      </c>
    </row>
    <row r="8" spans="2:12" ht="14.25" x14ac:dyDescent="0.25">
      <c r="B8" s="495" t="s">
        <v>443</v>
      </c>
      <c r="C8" s="421">
        <f>C5*C7</f>
        <v>312</v>
      </c>
      <c r="D8" s="500" t="s">
        <v>444</v>
      </c>
      <c r="G8" s="512" t="s">
        <v>445</v>
      </c>
      <c r="H8" s="513" t="s">
        <v>436</v>
      </c>
      <c r="I8" s="513">
        <v>1</v>
      </c>
      <c r="J8" s="513">
        <v>2</v>
      </c>
      <c r="K8" s="514">
        <v>152.16988409090911</v>
      </c>
      <c r="L8" s="515">
        <f t="shared" si="0"/>
        <v>304.33976818181821</v>
      </c>
    </row>
    <row r="9" spans="2:12" ht="15" thickBot="1" x14ac:dyDescent="0.3">
      <c r="B9" s="522" t="s">
        <v>446</v>
      </c>
      <c r="C9" s="638">
        <f>C3*C4*C8*1.5</f>
        <v>21528</v>
      </c>
      <c r="D9" s="501" t="s">
        <v>438</v>
      </c>
      <c r="G9" s="516" t="s">
        <v>447</v>
      </c>
      <c r="H9" s="517" t="s">
        <v>448</v>
      </c>
      <c r="I9" s="517">
        <v>1</v>
      </c>
      <c r="J9" s="517">
        <v>28</v>
      </c>
      <c r="K9" s="518">
        <v>294.80917954545453</v>
      </c>
      <c r="L9" s="519">
        <f t="shared" si="0"/>
        <v>8254.6570272727258</v>
      </c>
    </row>
    <row r="10" spans="2:12" ht="14.25" x14ac:dyDescent="0.25">
      <c r="B10" s="495" t="s">
        <v>449</v>
      </c>
      <c r="C10" s="498">
        <v>1</v>
      </c>
      <c r="D10" s="436" t="s">
        <v>450</v>
      </c>
      <c r="G10" s="734" t="s">
        <v>451</v>
      </c>
      <c r="H10" s="735"/>
      <c r="I10" s="735"/>
      <c r="J10" s="735"/>
      <c r="K10" s="735"/>
      <c r="L10" s="511">
        <f>SUM(L3:L9)</f>
        <v>45049.012718181817</v>
      </c>
    </row>
    <row r="11" spans="2:12" ht="15" thickBot="1" x14ac:dyDescent="0.3">
      <c r="B11" s="495" t="s">
        <v>452</v>
      </c>
      <c r="C11" s="481">
        <v>42.19</v>
      </c>
      <c r="D11" s="500" t="s">
        <v>453</v>
      </c>
      <c r="G11" s="736" t="s">
        <v>454</v>
      </c>
      <c r="H11" s="737"/>
      <c r="I11" s="737"/>
      <c r="J11" s="737"/>
      <c r="K11" s="737"/>
      <c r="L11" s="519">
        <f>L10*0.3</f>
        <v>13514.703815454544</v>
      </c>
    </row>
    <row r="12" spans="2:12" ht="15" thickBot="1" x14ac:dyDescent="0.3">
      <c r="B12" s="495" t="s">
        <v>455</v>
      </c>
      <c r="C12" s="421">
        <f>52*40</f>
        <v>2080</v>
      </c>
      <c r="D12" s="436" t="s">
        <v>456</v>
      </c>
      <c r="G12" s="738" t="s">
        <v>457</v>
      </c>
      <c r="H12" s="739"/>
      <c r="I12" s="739"/>
      <c r="J12" s="739"/>
      <c r="K12" s="739"/>
      <c r="L12" s="520">
        <f>L10+L11</f>
        <v>58563.716533636361</v>
      </c>
    </row>
    <row r="13" spans="2:12" ht="15" thickTop="1" x14ac:dyDescent="0.2">
      <c r="B13" s="522" t="s">
        <v>458</v>
      </c>
      <c r="C13" s="638">
        <f>C11*C12*C10</f>
        <v>87755.199999999997</v>
      </c>
      <c r="D13" s="501" t="s">
        <v>438</v>
      </c>
      <c r="G13" s="740" t="s">
        <v>459</v>
      </c>
      <c r="H13" s="740"/>
      <c r="I13" s="740"/>
      <c r="J13" s="740"/>
      <c r="K13" s="740"/>
      <c r="L13" s="740"/>
    </row>
    <row r="14" spans="2:12" ht="14.25" x14ac:dyDescent="0.2">
      <c r="B14" s="495" t="s">
        <v>460</v>
      </c>
      <c r="C14" s="499">
        <v>0.1</v>
      </c>
      <c r="D14" s="436" t="s">
        <v>441</v>
      </c>
      <c r="G14" s="741" t="s">
        <v>461</v>
      </c>
      <c r="H14" s="741"/>
      <c r="I14" s="741"/>
      <c r="J14" s="741"/>
      <c r="K14" s="741"/>
      <c r="L14" s="741"/>
    </row>
    <row r="15" spans="2:12" ht="14.25" x14ac:dyDescent="0.2">
      <c r="B15" s="495" t="s">
        <v>462</v>
      </c>
      <c r="C15" s="421">
        <f>C12*C14</f>
        <v>208</v>
      </c>
      <c r="D15" s="500" t="s">
        <v>463</v>
      </c>
    </row>
    <row r="16" spans="2:12" ht="14.25" x14ac:dyDescent="0.2">
      <c r="B16" s="522" t="s">
        <v>464</v>
      </c>
      <c r="C16" s="638">
        <f>C10*C11*C15*1.5</f>
        <v>13163.28</v>
      </c>
      <c r="D16" s="501" t="s">
        <v>438</v>
      </c>
    </row>
    <row r="17" spans="2:5" ht="14.25" x14ac:dyDescent="0.2">
      <c r="B17" s="495" t="s">
        <v>465</v>
      </c>
      <c r="C17" s="481">
        <v>6.79</v>
      </c>
      <c r="D17" s="500" t="s">
        <v>430</v>
      </c>
    </row>
    <row r="18" spans="2:5" ht="14.25" x14ac:dyDescent="0.2">
      <c r="B18" s="495" t="s">
        <v>466</v>
      </c>
      <c r="C18" s="421">
        <f>C10+C3</f>
        <v>3</v>
      </c>
      <c r="D18" s="436"/>
    </row>
    <row r="19" spans="2:5" ht="14.25" x14ac:dyDescent="0.2">
      <c r="B19" s="522" t="s">
        <v>467</v>
      </c>
      <c r="C19" s="638">
        <f>C18*C12*C17</f>
        <v>42369.599999999999</v>
      </c>
      <c r="D19" s="501" t="s">
        <v>438</v>
      </c>
    </row>
    <row r="20" spans="2:5" ht="15" thickBot="1" x14ac:dyDescent="0.25">
      <c r="B20" s="523" t="s">
        <v>468</v>
      </c>
      <c r="C20" s="639">
        <f>C6+C9+C13+C16+C19</f>
        <v>260496.08000000002</v>
      </c>
      <c r="D20" s="440" t="s">
        <v>438</v>
      </c>
    </row>
    <row r="21" spans="2:5" ht="13.5" thickTop="1" x14ac:dyDescent="0.2">
      <c r="C21" s="58"/>
      <c r="D21" s="59"/>
    </row>
    <row r="22" spans="2:5" ht="13.5" thickBot="1" x14ac:dyDescent="0.25"/>
    <row r="23" spans="2:5" ht="15.75" thickTop="1" thickBot="1" x14ac:dyDescent="0.25">
      <c r="B23" s="732" t="s">
        <v>469</v>
      </c>
      <c r="C23" s="733"/>
      <c r="D23" s="521" t="s">
        <v>418</v>
      </c>
    </row>
    <row r="24" spans="2:5" ht="14.25" x14ac:dyDescent="0.2">
      <c r="B24" s="496" t="s">
        <v>425</v>
      </c>
      <c r="C24" s="497">
        <v>4</v>
      </c>
      <c r="D24" s="439" t="s">
        <v>426</v>
      </c>
    </row>
    <row r="25" spans="2:5" ht="14.25" x14ac:dyDescent="0.2">
      <c r="B25" s="495" t="s">
        <v>429</v>
      </c>
      <c r="C25" s="481">
        <f>C4</f>
        <v>23</v>
      </c>
      <c r="D25" s="500" t="s">
        <v>430</v>
      </c>
    </row>
    <row r="26" spans="2:5" ht="14.25" x14ac:dyDescent="0.2">
      <c r="B26" s="495" t="s">
        <v>433</v>
      </c>
      <c r="C26" s="421">
        <f>52*40</f>
        <v>2080</v>
      </c>
      <c r="D26" s="436" t="s">
        <v>434</v>
      </c>
      <c r="E26" s="60"/>
    </row>
    <row r="27" spans="2:5" ht="14.25" x14ac:dyDescent="0.2">
      <c r="B27" s="522" t="s">
        <v>437</v>
      </c>
      <c r="C27" s="638">
        <f>C25*C26*C24</f>
        <v>191360</v>
      </c>
      <c r="D27" s="501" t="s">
        <v>438</v>
      </c>
    </row>
    <row r="28" spans="2:5" ht="14.25" x14ac:dyDescent="0.2">
      <c r="B28" s="495" t="s">
        <v>440</v>
      </c>
      <c r="C28" s="499">
        <v>0.15</v>
      </c>
      <c r="D28" s="436" t="s">
        <v>441</v>
      </c>
    </row>
    <row r="29" spans="2:5" ht="14.25" x14ac:dyDescent="0.2">
      <c r="B29" s="495" t="s">
        <v>443</v>
      </c>
      <c r="C29" s="421">
        <f>C26*C28</f>
        <v>312</v>
      </c>
      <c r="D29" s="500" t="s">
        <v>444</v>
      </c>
    </row>
    <row r="30" spans="2:5" ht="14.25" x14ac:dyDescent="0.2">
      <c r="B30" s="522" t="s">
        <v>446</v>
      </c>
      <c r="C30" s="638">
        <f>C24*C25*C29*1.5</f>
        <v>43056</v>
      </c>
      <c r="D30" s="501" t="s">
        <v>438</v>
      </c>
    </row>
    <row r="31" spans="2:5" ht="14.25" x14ac:dyDescent="0.2">
      <c r="B31" s="495" t="s">
        <v>449</v>
      </c>
      <c r="C31" s="498">
        <v>1</v>
      </c>
      <c r="D31" s="436" t="s">
        <v>450</v>
      </c>
    </row>
    <row r="32" spans="2:5" ht="14.25" x14ac:dyDescent="0.2">
      <c r="B32" s="495" t="s">
        <v>452</v>
      </c>
      <c r="C32" s="481">
        <f>C11</f>
        <v>42.19</v>
      </c>
      <c r="D32" s="500" t="s">
        <v>453</v>
      </c>
    </row>
    <row r="33" spans="2:4" ht="14.25" x14ac:dyDescent="0.2">
      <c r="B33" s="495" t="s">
        <v>455</v>
      </c>
      <c r="C33" s="421">
        <f>52*40</f>
        <v>2080</v>
      </c>
      <c r="D33" s="436" t="s">
        <v>456</v>
      </c>
    </row>
    <row r="34" spans="2:4" ht="14.25" x14ac:dyDescent="0.2">
      <c r="B34" s="522" t="s">
        <v>458</v>
      </c>
      <c r="C34" s="638">
        <f>C32*C33*C31</f>
        <v>87755.199999999997</v>
      </c>
      <c r="D34" s="501" t="s">
        <v>438</v>
      </c>
    </row>
    <row r="35" spans="2:4" ht="14.25" x14ac:dyDescent="0.2">
      <c r="B35" s="495" t="s">
        <v>460</v>
      </c>
      <c r="C35" s="499">
        <v>0.1</v>
      </c>
      <c r="D35" s="436" t="s">
        <v>441</v>
      </c>
    </row>
    <row r="36" spans="2:4" ht="14.25" x14ac:dyDescent="0.2">
      <c r="B36" s="495" t="s">
        <v>462</v>
      </c>
      <c r="C36" s="421">
        <f>C33*C35</f>
        <v>208</v>
      </c>
      <c r="D36" s="500" t="s">
        <v>463</v>
      </c>
    </row>
    <row r="37" spans="2:4" ht="14.25" x14ac:dyDescent="0.2">
      <c r="B37" s="522" t="s">
        <v>464</v>
      </c>
      <c r="C37" s="638">
        <f>C31*C32*C36*1.5</f>
        <v>13163.28</v>
      </c>
      <c r="D37" s="501" t="s">
        <v>438</v>
      </c>
    </row>
    <row r="38" spans="2:4" ht="14.25" x14ac:dyDescent="0.2">
      <c r="B38" s="495" t="s">
        <v>465</v>
      </c>
      <c r="C38" s="481">
        <v>6.79</v>
      </c>
      <c r="D38" s="500" t="s">
        <v>430</v>
      </c>
    </row>
    <row r="39" spans="2:4" ht="14.25" x14ac:dyDescent="0.2">
      <c r="B39" s="495" t="s">
        <v>466</v>
      </c>
      <c r="C39" s="421">
        <f>C31+C24</f>
        <v>5</v>
      </c>
      <c r="D39" s="436"/>
    </row>
    <row r="40" spans="2:4" ht="14.25" x14ac:dyDescent="0.2">
      <c r="B40" s="522" t="s">
        <v>467</v>
      </c>
      <c r="C40" s="638">
        <f>C39*C33*C38</f>
        <v>70616</v>
      </c>
      <c r="D40" s="501" t="s">
        <v>438</v>
      </c>
    </row>
    <row r="41" spans="2:4" ht="15" thickBot="1" x14ac:dyDescent="0.25">
      <c r="B41" s="523" t="s">
        <v>468</v>
      </c>
      <c r="C41" s="639">
        <f>C27+C30+C34+C37+C40</f>
        <v>405950.48000000004</v>
      </c>
      <c r="D41" s="440" t="s">
        <v>438</v>
      </c>
    </row>
    <row r="42" spans="2:4" ht="13.5" thickTop="1" x14ac:dyDescent="0.2"/>
    <row r="43" spans="2:4" x14ac:dyDescent="0.2">
      <c r="B43" s="502" t="s">
        <v>470</v>
      </c>
    </row>
    <row r="44" spans="2:4" x14ac:dyDescent="0.2">
      <c r="B44" s="502" t="s">
        <v>471</v>
      </c>
    </row>
    <row r="45" spans="2:4" x14ac:dyDescent="0.2">
      <c r="B45" s="503" t="s">
        <v>472</v>
      </c>
    </row>
    <row r="46" spans="2:4" x14ac:dyDescent="0.2">
      <c r="B46" s="502" t="s">
        <v>473</v>
      </c>
    </row>
    <row r="47" spans="2:4" x14ac:dyDescent="0.2">
      <c r="B47" s="503" t="s">
        <v>472</v>
      </c>
    </row>
  </sheetData>
  <mergeCells count="7">
    <mergeCell ref="B2:C2"/>
    <mergeCell ref="B23:C23"/>
    <mergeCell ref="G10:K10"/>
    <mergeCell ref="G11:K11"/>
    <mergeCell ref="G12:K12"/>
    <mergeCell ref="G13:L13"/>
    <mergeCell ref="G14:L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5E6E-D9FE-41DD-B454-4F6D66899D33}">
  <dimension ref="A1:AH120"/>
  <sheetViews>
    <sheetView topLeftCell="A70" workbookViewId="0">
      <selection activeCell="L1" sqref="L1:AH1048576"/>
    </sheetView>
  </sheetViews>
  <sheetFormatPr defaultRowHeight="12.75" x14ac:dyDescent="0.2"/>
  <cols>
    <col min="1" max="1" width="2.6640625" style="52" customWidth="1"/>
    <col min="2" max="2" width="32.83203125" style="87" customWidth="1"/>
    <col min="3" max="3" width="27.33203125" style="56" customWidth="1"/>
    <col min="4" max="4" width="22.83203125" style="37" customWidth="1"/>
    <col min="5" max="5" width="11.5" style="37" customWidth="1"/>
    <col min="6" max="6" width="16.6640625" style="56" customWidth="1"/>
    <col min="7" max="7" width="11.5" style="37" customWidth="1"/>
    <col min="8" max="8" width="16.33203125" style="56" customWidth="1"/>
    <col min="9" max="9" width="28.33203125" style="37" customWidth="1"/>
    <col min="10" max="10" width="7.1640625" style="37" customWidth="1"/>
    <col min="11" max="11" width="12.5" style="37" customWidth="1"/>
    <col min="12" max="12" width="27.5" style="37" hidden="1" customWidth="1"/>
    <col min="13" max="13" width="35.6640625" style="88" hidden="1" customWidth="1"/>
    <col min="14" max="34" width="19.6640625" style="88" hidden="1" customWidth="1"/>
  </cols>
  <sheetData>
    <row r="1" spans="1:34" ht="13.5" thickBot="1" x14ac:dyDescent="0.25">
      <c r="S1" s="89"/>
      <c r="T1" s="89"/>
      <c r="U1" s="89"/>
      <c r="V1" s="89"/>
      <c r="W1" s="89"/>
      <c r="X1" s="89"/>
      <c r="Y1" s="89"/>
      <c r="Z1" s="89"/>
    </row>
    <row r="2" spans="1:34" ht="36.75" customHeight="1" thickTop="1" thickBot="1" x14ac:dyDescent="0.25">
      <c r="B2" s="744" t="s">
        <v>474</v>
      </c>
      <c r="C2" s="686"/>
      <c r="D2" s="686"/>
      <c r="E2" s="686"/>
      <c r="F2" s="686"/>
      <c r="G2" s="686"/>
      <c r="H2" s="686"/>
      <c r="I2" s="745"/>
      <c r="Q2" s="133" t="s">
        <v>475</v>
      </c>
      <c r="R2" s="88" t="s">
        <v>476</v>
      </c>
      <c r="S2" s="89"/>
      <c r="T2" s="89" t="s">
        <v>477</v>
      </c>
      <c r="U2" s="89" t="s">
        <v>478</v>
      </c>
      <c r="V2" s="89" t="s">
        <v>479</v>
      </c>
      <c r="W2" s="89"/>
      <c r="X2" s="89" t="s">
        <v>480</v>
      </c>
      <c r="Y2" s="89"/>
      <c r="Z2" s="89"/>
      <c r="AA2" s="88" t="s">
        <v>481</v>
      </c>
    </row>
    <row r="3" spans="1:34" ht="72.75" thickTop="1" thickBot="1" x14ac:dyDescent="0.2">
      <c r="A3" s="55"/>
      <c r="B3" s="404" t="s">
        <v>245</v>
      </c>
      <c r="C3" s="378" t="s">
        <v>1</v>
      </c>
      <c r="D3" s="378" t="s">
        <v>482</v>
      </c>
      <c r="E3" s="378" t="s">
        <v>483</v>
      </c>
      <c r="F3" s="378" t="s">
        <v>484</v>
      </c>
      <c r="G3" s="378" t="s">
        <v>485</v>
      </c>
      <c r="H3" s="378" t="s">
        <v>486</v>
      </c>
      <c r="I3" s="379" t="s">
        <v>487</v>
      </c>
      <c r="L3" s="90">
        <v>4.4999999999999998E-2</v>
      </c>
      <c r="M3" s="576"/>
      <c r="N3" s="579"/>
      <c r="O3" s="579"/>
      <c r="P3" s="579"/>
      <c r="Q3" s="580" t="s">
        <v>488</v>
      </c>
      <c r="R3" s="580" t="s">
        <v>488</v>
      </c>
      <c r="S3" s="581" t="s">
        <v>489</v>
      </c>
      <c r="T3" s="582"/>
      <c r="U3" s="582"/>
      <c r="V3" s="582"/>
      <c r="W3" s="582"/>
      <c r="X3" s="582"/>
      <c r="Y3" s="582"/>
      <c r="Z3" s="582"/>
      <c r="AA3" s="583" t="s">
        <v>490</v>
      </c>
      <c r="AB3" s="583" t="s">
        <v>491</v>
      </c>
      <c r="AC3" s="582"/>
      <c r="AD3" s="582"/>
      <c r="AE3" s="582"/>
      <c r="AF3" s="582"/>
      <c r="AG3" s="582"/>
      <c r="AH3" s="584"/>
    </row>
    <row r="4" spans="1:34" ht="29.25" thickBot="1" x14ac:dyDescent="0.25">
      <c r="B4" s="411"/>
      <c r="C4" s="453"/>
      <c r="D4" s="453" t="s">
        <v>68</v>
      </c>
      <c r="E4" s="453" t="s">
        <v>492</v>
      </c>
      <c r="F4" s="453" t="s">
        <v>493</v>
      </c>
      <c r="G4" s="453" t="s">
        <v>494</v>
      </c>
      <c r="H4" s="453" t="s">
        <v>495</v>
      </c>
      <c r="I4" s="454" t="s">
        <v>243</v>
      </c>
      <c r="L4" s="41"/>
      <c r="M4" s="572"/>
      <c r="N4" s="577" t="s">
        <v>496</v>
      </c>
      <c r="O4" s="577" t="s">
        <v>497</v>
      </c>
      <c r="P4" s="577" t="s">
        <v>29</v>
      </c>
      <c r="Q4" s="578" t="s">
        <v>498</v>
      </c>
      <c r="R4" s="578" t="s">
        <v>498</v>
      </c>
      <c r="S4" s="539" t="s">
        <v>499</v>
      </c>
      <c r="T4" s="539" t="s">
        <v>267</v>
      </c>
      <c r="U4" s="539" t="s">
        <v>286</v>
      </c>
      <c r="V4" s="539" t="s">
        <v>21</v>
      </c>
      <c r="W4" s="539" t="s">
        <v>20</v>
      </c>
      <c r="X4" s="539" t="s">
        <v>315</v>
      </c>
      <c r="Y4" s="539" t="s">
        <v>317</v>
      </c>
      <c r="Z4" s="539" t="s">
        <v>500</v>
      </c>
      <c r="AA4" s="539" t="s">
        <v>326</v>
      </c>
      <c r="AB4" s="539" t="s">
        <v>326</v>
      </c>
      <c r="AC4" s="539" t="s">
        <v>352</v>
      </c>
      <c r="AD4" s="539" t="s">
        <v>133</v>
      </c>
      <c r="AE4" s="539" t="s">
        <v>362</v>
      </c>
      <c r="AF4" s="539" t="s">
        <v>374</v>
      </c>
      <c r="AG4" s="539" t="s">
        <v>501</v>
      </c>
      <c r="AH4" s="540" t="s">
        <v>502</v>
      </c>
    </row>
    <row r="5" spans="1:34" ht="14.25" x14ac:dyDescent="0.2">
      <c r="B5" s="699" t="s">
        <v>413</v>
      </c>
      <c r="C5" s="427" t="s">
        <v>503</v>
      </c>
      <c r="D5" s="535">
        <f>S11</f>
        <v>3421.0232265696341</v>
      </c>
      <c r="E5" s="427">
        <f>S5</f>
        <v>1000</v>
      </c>
      <c r="F5" s="530">
        <f>S16</f>
        <v>1080.8598089588243</v>
      </c>
      <c r="G5" s="427">
        <v>24</v>
      </c>
      <c r="H5" s="417">
        <f t="shared" ref="H5:H13" si="0">(F5*0.7457)*G5*365</f>
        <v>7060535.1175756147</v>
      </c>
      <c r="I5" s="632">
        <f>H5*L3</f>
        <v>317724.08029090264</v>
      </c>
      <c r="L5" s="91"/>
      <c r="M5" s="573" t="s">
        <v>504</v>
      </c>
      <c r="N5" s="541"/>
      <c r="O5" s="541"/>
      <c r="P5" s="541"/>
      <c r="Q5" s="542">
        <v>1500</v>
      </c>
      <c r="R5" s="542">
        <v>1300</v>
      </c>
      <c r="S5" s="542">
        <v>1000</v>
      </c>
      <c r="T5" s="542">
        <v>100</v>
      </c>
      <c r="U5" s="542">
        <v>100</v>
      </c>
      <c r="V5" s="542">
        <v>800</v>
      </c>
      <c r="W5" s="542">
        <v>370</v>
      </c>
      <c r="X5" s="542">
        <v>150</v>
      </c>
      <c r="Y5" s="542">
        <v>150</v>
      </c>
      <c r="Z5" s="542">
        <v>450</v>
      </c>
      <c r="AA5" s="543">
        <v>1000</v>
      </c>
      <c r="AB5" s="543">
        <v>1000</v>
      </c>
      <c r="AC5" s="541">
        <v>580</v>
      </c>
      <c r="AD5" s="541">
        <v>350</v>
      </c>
      <c r="AE5" s="541">
        <v>700</v>
      </c>
      <c r="AF5" s="541">
        <v>231</v>
      </c>
      <c r="AG5" s="541">
        <v>1155</v>
      </c>
      <c r="AH5" s="544"/>
    </row>
    <row r="6" spans="1:34" ht="28.5" x14ac:dyDescent="0.2">
      <c r="B6" s="742"/>
      <c r="C6" s="246" t="str">
        <f>U4</f>
        <v>Kessel Waste Rock Stockpile</v>
      </c>
      <c r="D6" s="524">
        <f>U11</f>
        <v>35.709698630136984</v>
      </c>
      <c r="E6" s="419">
        <f>U5</f>
        <v>100</v>
      </c>
      <c r="F6" s="524">
        <f>U16</f>
        <v>1.1282801766621391</v>
      </c>
      <c r="G6" s="422">
        <v>24</v>
      </c>
      <c r="H6" s="422">
        <f t="shared" si="0"/>
        <v>7370.3007029757446</v>
      </c>
      <c r="I6" s="633">
        <f>H6*L3</f>
        <v>331.66353163390852</v>
      </c>
      <c r="L6" s="91"/>
      <c r="M6" s="574" t="s">
        <v>505</v>
      </c>
      <c r="N6" s="251"/>
      <c r="O6" s="251"/>
      <c r="P6" s="251"/>
      <c r="Q6" s="545">
        <v>25000</v>
      </c>
      <c r="R6" s="545">
        <v>25000</v>
      </c>
      <c r="S6" s="545">
        <v>7000</v>
      </c>
      <c r="T6" s="545">
        <v>1000</v>
      </c>
      <c r="U6" s="545">
        <v>1000</v>
      </c>
      <c r="V6" s="545">
        <v>13200</v>
      </c>
      <c r="W6" s="545">
        <v>6000</v>
      </c>
      <c r="X6" s="545">
        <v>3500</v>
      </c>
      <c r="Y6" s="545">
        <v>11000</v>
      </c>
      <c r="Z6" s="545">
        <v>11000</v>
      </c>
      <c r="AA6" s="251">
        <v>5000</v>
      </c>
      <c r="AB6" s="251">
        <v>5000</v>
      </c>
      <c r="AC6" s="251">
        <v>18000</v>
      </c>
      <c r="AD6" s="251">
        <v>30000</v>
      </c>
      <c r="AE6" s="251">
        <v>40000</v>
      </c>
      <c r="AF6" s="251">
        <v>100</v>
      </c>
      <c r="AG6" s="251">
        <v>10</v>
      </c>
      <c r="AH6" s="546"/>
    </row>
    <row r="7" spans="1:34" ht="14.25" x14ac:dyDescent="0.2">
      <c r="B7" s="742"/>
      <c r="C7" s="246" t="str">
        <f>V4</f>
        <v>Reservoir 8</v>
      </c>
      <c r="D7" s="524">
        <f>V11</f>
        <v>155.8800896194825</v>
      </c>
      <c r="E7" s="419">
        <f>V5</f>
        <v>800</v>
      </c>
      <c r="F7" s="524">
        <f>V16</f>
        <v>39.397239451857139</v>
      </c>
      <c r="G7" s="422">
        <v>24</v>
      </c>
      <c r="H7" s="422">
        <f t="shared" si="0"/>
        <v>257355.84798302889</v>
      </c>
      <c r="I7" s="633">
        <f t="shared" ref="I7:I13" si="1">H7*$L$3</f>
        <v>11581.0131592363</v>
      </c>
      <c r="L7" s="91"/>
      <c r="M7" s="574" t="s">
        <v>506</v>
      </c>
      <c r="N7" s="251"/>
      <c r="O7" s="251"/>
      <c r="P7" s="251"/>
      <c r="Q7" s="545">
        <v>0.8</v>
      </c>
      <c r="R7" s="545">
        <v>0.8</v>
      </c>
      <c r="S7" s="545">
        <v>0.8</v>
      </c>
      <c r="T7" s="545">
        <v>0.8</v>
      </c>
      <c r="U7" s="545">
        <v>0.8</v>
      </c>
      <c r="V7" s="545">
        <v>0.8</v>
      </c>
      <c r="W7" s="545">
        <v>0.8</v>
      </c>
      <c r="X7" s="545">
        <v>0.8</v>
      </c>
      <c r="Y7" s="545">
        <v>0.8</v>
      </c>
      <c r="Z7" s="545">
        <v>0.8</v>
      </c>
      <c r="AA7" s="251">
        <v>0.8</v>
      </c>
      <c r="AB7" s="251">
        <v>0.8</v>
      </c>
      <c r="AC7" s="251">
        <v>0.8</v>
      </c>
      <c r="AD7" s="251">
        <v>0.8</v>
      </c>
      <c r="AE7" s="251">
        <v>0.8</v>
      </c>
      <c r="AF7" s="251">
        <v>0.8</v>
      </c>
      <c r="AG7" s="251">
        <v>0.8</v>
      </c>
      <c r="AH7" s="546"/>
    </row>
    <row r="8" spans="1:34" ht="14.25" x14ac:dyDescent="0.2">
      <c r="B8" s="742"/>
      <c r="C8" s="246" t="str">
        <f>W4</f>
        <v>Reservoir 7</v>
      </c>
      <c r="D8" s="524">
        <f>W11</f>
        <v>213.43191059836377</v>
      </c>
      <c r="E8" s="419">
        <f>W5</f>
        <v>370</v>
      </c>
      <c r="F8" s="524">
        <f>W16</f>
        <v>25.808721970560494</v>
      </c>
      <c r="G8" s="422">
        <v>24</v>
      </c>
      <c r="H8" s="422">
        <f t="shared" si="0"/>
        <v>168591.1404073954</v>
      </c>
      <c r="I8" s="633">
        <f t="shared" si="1"/>
        <v>7586.6013183327932</v>
      </c>
      <c r="L8" s="91"/>
      <c r="M8" s="574" t="s">
        <v>507</v>
      </c>
      <c r="N8" s="250"/>
      <c r="O8" s="250"/>
      <c r="P8" s="250"/>
      <c r="Q8" s="545">
        <v>4</v>
      </c>
      <c r="R8" s="545">
        <v>4</v>
      </c>
      <c r="S8" s="545">
        <v>16</v>
      </c>
      <c r="T8" s="545">
        <v>3</v>
      </c>
      <c r="U8" s="545">
        <v>3</v>
      </c>
      <c r="V8" s="545">
        <v>6</v>
      </c>
      <c r="W8" s="545">
        <v>3</v>
      </c>
      <c r="X8" s="545">
        <v>3</v>
      </c>
      <c r="Y8" s="545">
        <v>5</v>
      </c>
      <c r="Z8" s="545">
        <v>5</v>
      </c>
      <c r="AA8" s="250">
        <v>8</v>
      </c>
      <c r="AB8" s="250">
        <v>8</v>
      </c>
      <c r="AC8" s="250">
        <v>8</v>
      </c>
      <c r="AD8" s="250">
        <v>8</v>
      </c>
      <c r="AE8" s="250">
        <v>10</v>
      </c>
      <c r="AF8" s="250">
        <v>8</v>
      </c>
      <c r="AG8" s="250">
        <v>10</v>
      </c>
      <c r="AH8" s="546"/>
    </row>
    <row r="9" spans="1:34" ht="28.5" x14ac:dyDescent="0.2">
      <c r="B9" s="742"/>
      <c r="C9" s="246" t="str">
        <f>Y4</f>
        <v>Reservoir 4</v>
      </c>
      <c r="D9" s="524">
        <f>Y11</f>
        <v>177.02511856021687</v>
      </c>
      <c r="E9" s="419">
        <f>Y5</f>
        <v>150</v>
      </c>
      <c r="F9" s="524">
        <f>Y16</f>
        <v>8.4618456386996499</v>
      </c>
      <c r="G9" s="422">
        <v>24</v>
      </c>
      <c r="H9" s="422">
        <f t="shared" si="0"/>
        <v>55275.585044738167</v>
      </c>
      <c r="I9" s="633">
        <f t="shared" si="1"/>
        <v>2487.4013270132173</v>
      </c>
      <c r="L9" s="91"/>
      <c r="M9" s="574" t="s">
        <v>508</v>
      </c>
      <c r="N9" s="251"/>
      <c r="O9" s="251"/>
      <c r="P9" s="251"/>
      <c r="Q9" s="545">
        <v>140</v>
      </c>
      <c r="R9" s="545">
        <v>140</v>
      </c>
      <c r="S9" s="545">
        <v>140</v>
      </c>
      <c r="T9" s="545">
        <v>140</v>
      </c>
      <c r="U9" s="545">
        <v>140</v>
      </c>
      <c r="V9" s="545">
        <v>140</v>
      </c>
      <c r="W9" s="545">
        <v>140</v>
      </c>
      <c r="X9" s="545">
        <v>140</v>
      </c>
      <c r="Y9" s="545">
        <v>140</v>
      </c>
      <c r="Z9" s="545">
        <v>140</v>
      </c>
      <c r="AA9" s="251">
        <v>140</v>
      </c>
      <c r="AB9" s="251">
        <v>140</v>
      </c>
      <c r="AC9" s="251">
        <v>140</v>
      </c>
      <c r="AD9" s="251">
        <v>140</v>
      </c>
      <c r="AE9" s="251">
        <v>140</v>
      </c>
      <c r="AF9" s="251">
        <v>140</v>
      </c>
      <c r="AG9" s="251">
        <v>140</v>
      </c>
      <c r="AH9" s="547"/>
    </row>
    <row r="10" spans="1:34" ht="14.25" x14ac:dyDescent="0.2">
      <c r="B10" s="742"/>
      <c r="C10" s="246" t="str">
        <f>AA4</f>
        <v>Santa Rita Pit</v>
      </c>
      <c r="D10" s="524">
        <f>AA11</f>
        <v>448.30497461472601</v>
      </c>
      <c r="E10" s="419">
        <f>AA5</f>
        <v>1000</v>
      </c>
      <c r="F10" s="524">
        <f>AA16</f>
        <v>141.58535715755903</v>
      </c>
      <c r="G10" s="422">
        <v>24</v>
      </c>
      <c r="H10" s="422">
        <f t="shared" si="0"/>
        <v>924882.55929175194</v>
      </c>
      <c r="I10" s="633">
        <f t="shared" si="1"/>
        <v>41619.715168128838</v>
      </c>
      <c r="L10" s="91"/>
      <c r="M10" s="574" t="s">
        <v>509</v>
      </c>
      <c r="N10" s="545"/>
      <c r="O10" s="545">
        <v>2.4370113521464006E-2</v>
      </c>
      <c r="P10" s="545"/>
      <c r="Q10" s="545">
        <f t="shared" ref="Q10:AG10" si="2">(Q11*0.408709)/((Q8^2)*2)</f>
        <v>3.6272923749999997</v>
      </c>
      <c r="R10" s="545">
        <f t="shared" ref="R10" si="3">(R11*0.408709)/((R8^2)*2)</f>
        <v>0.84296231249999998</v>
      </c>
      <c r="S10" s="545">
        <f t="shared" si="2"/>
        <v>2.7308651990391573</v>
      </c>
      <c r="T10" s="545">
        <f t="shared" ref="T10" si="4">(T11*0.408709)/((T8^2)*2)</f>
        <v>0.11353027777777777</v>
      </c>
      <c r="U10" s="545">
        <f t="shared" si="2"/>
        <v>0.81082640096803649</v>
      </c>
      <c r="V10" s="545">
        <f t="shared" si="2"/>
        <v>0.88485549372623717</v>
      </c>
      <c r="W10" s="545">
        <f t="shared" si="2"/>
        <v>4.8461968193748142</v>
      </c>
      <c r="X10" s="545">
        <f t="shared" ref="X10" si="5">(X11*0.408709)/((X8^2)*2)</f>
        <v>0.8943260713025537</v>
      </c>
      <c r="Y10" s="545">
        <f t="shared" si="2"/>
        <v>1.4470351836325535</v>
      </c>
      <c r="Z10" s="545">
        <f t="shared" ref="Z10" si="6">(Z11*0.408709)/((Z8^2)*2)</f>
        <v>6.2595798154732429E-2</v>
      </c>
      <c r="AA10" s="545">
        <f t="shared" si="2"/>
        <v>1.431455295857891</v>
      </c>
      <c r="AB10" s="545">
        <f t="shared" ref="AB10" si="7">(AB11*0.408709)/((AB8^2)*2)</f>
        <v>0.31389162398289105</v>
      </c>
      <c r="AC10" s="545">
        <f t="shared" si="2"/>
        <v>4.5021850781249997</v>
      </c>
      <c r="AD10" s="545">
        <f t="shared" si="2"/>
        <v>4.5021850781249997</v>
      </c>
      <c r="AE10" s="545">
        <f t="shared" si="2"/>
        <v>3.1256584855142453</v>
      </c>
      <c r="AF10" s="545">
        <f t="shared" si="2"/>
        <v>6.0014050554910083</v>
      </c>
      <c r="AG10" s="545">
        <f t="shared" si="2"/>
        <v>3.8408992355142453</v>
      </c>
      <c r="AH10" s="546"/>
    </row>
    <row r="11" spans="1:34" ht="28.5" x14ac:dyDescent="0.2">
      <c r="B11" s="742"/>
      <c r="C11" s="246" t="str">
        <f>AC4</f>
        <v>Tailings Pond 7 Intercept Wells</v>
      </c>
      <c r="D11" s="524">
        <f>AC11</f>
        <v>1410</v>
      </c>
      <c r="E11" s="419">
        <f>AC5</f>
        <v>580</v>
      </c>
      <c r="F11" s="524">
        <f>AC16</f>
        <v>263.04218533062027</v>
      </c>
      <c r="G11" s="422">
        <v>24</v>
      </c>
      <c r="H11" s="422">
        <f t="shared" si="0"/>
        <v>1718278.8845851412</v>
      </c>
      <c r="I11" s="633">
        <f t="shared" si="1"/>
        <v>77322.549806331357</v>
      </c>
      <c r="L11" s="91"/>
      <c r="M11" s="574" t="s">
        <v>510</v>
      </c>
      <c r="N11" s="548"/>
      <c r="O11" s="548"/>
      <c r="P11" s="548"/>
      <c r="Q11" s="549">
        <f>250+34</f>
        <v>284</v>
      </c>
      <c r="R11" s="549">
        <f>350-Q11</f>
        <v>66</v>
      </c>
      <c r="S11" s="549">
        <f>'Table 5 Flows to Evap &amp; WTP'!C6</f>
        <v>3421.0232265696341</v>
      </c>
      <c r="T11" s="549">
        <v>5</v>
      </c>
      <c r="U11" s="549">
        <f>'Table 2 StormwaterGroundwater'!Y9</f>
        <v>35.709698630136984</v>
      </c>
      <c r="V11" s="549">
        <f>'Table 2 StormwaterGroundwater'!Y9+'Table 2 StormwaterGroundwater'!AE9+'Table 2 StormwaterGroundwater'!W9+T11</f>
        <v>155.8800896194825</v>
      </c>
      <c r="W11" s="549">
        <f>'Table 2 StormwaterGroundwater'!Y9+'Table 2 StormwaterGroundwater'!AE9+'Table 2 StormwaterGroundwater'!W9+'Table 2 StormwaterGroundwater'!U9+'Table 2 StormwaterGroundwater'!O9+'Table 2 StormwaterGroundwater'!S9+5</f>
        <v>213.43191059836377</v>
      </c>
      <c r="X11" s="549">
        <f>'Table 2 StormwaterGroundwater'!Q9+5</f>
        <v>39.38711719939117</v>
      </c>
      <c r="Y11" s="549">
        <f>'Table 2 StormwaterGroundwater'!AC9+'Table 2 StormwaterGroundwater'!AA9+'Table 2 StormwaterGroundwater'!Q9+'Table 2 StormwaterGroundwater'!M9+'Table 2 StormwaterGroundwater'!K9+5</f>
        <v>177.02511856021687</v>
      </c>
      <c r="Z11" s="549">
        <f>'Table 2 StormwaterGroundwater'!S9*0.3</f>
        <v>7.657746484018265</v>
      </c>
      <c r="AA11" s="549">
        <f>'Table 2 StormwaterGroundwater'!G9+'Table 2 StormwaterGroundwater'!I9+'Table 2 StormwaterGroundwater'!F9</f>
        <v>448.30497461472601</v>
      </c>
      <c r="AB11" s="549">
        <f>'Table 2 StormwaterGroundwater'!G9+'Table 2 StormwaterGroundwater'!I9</f>
        <v>98.304974614726021</v>
      </c>
      <c r="AC11" s="549">
        <f>'Table 2 StormwaterGroundwater'!E9</f>
        <v>1410</v>
      </c>
      <c r="AD11" s="549">
        <f>'Table 2 StormwaterGroundwater'!E9</f>
        <v>1410</v>
      </c>
      <c r="AE11" s="549">
        <f>'Table 2 StormwaterGroundwater'!E9+'Table 2 StormwaterGroundwater'!C9</f>
        <v>1529.527603020362</v>
      </c>
      <c r="AF11" s="549">
        <f>'Table 2 StormwaterGroundwater'!F9+'Table 2 StormwaterGroundwater'!E9+'Table 2 StormwaterGroundwater'!C9</f>
        <v>1879.527603020362</v>
      </c>
      <c r="AG11" s="549">
        <f>'Table 2 StormwaterGroundwater'!F9+'Table 2 StormwaterGroundwater'!E9+'Table 2 StormwaterGroundwater'!C9</f>
        <v>1879.527603020362</v>
      </c>
      <c r="AH11" s="550"/>
    </row>
    <row r="12" spans="1:34" ht="14.25" x14ac:dyDescent="0.2">
      <c r="B12" s="742"/>
      <c r="C12" s="246" t="s">
        <v>511</v>
      </c>
      <c r="D12" s="524">
        <v>1091</v>
      </c>
      <c r="E12" s="419">
        <f>AD5</f>
        <v>350</v>
      </c>
      <c r="F12" s="524">
        <v>124</v>
      </c>
      <c r="G12" s="422">
        <v>24</v>
      </c>
      <c r="H12" s="422">
        <f t="shared" si="0"/>
        <v>810009.16799999995</v>
      </c>
      <c r="I12" s="633">
        <f t="shared" si="1"/>
        <v>36450.412559999997</v>
      </c>
      <c r="L12" s="91"/>
      <c r="M12" s="574" t="s">
        <v>512</v>
      </c>
      <c r="N12" s="545"/>
      <c r="O12" s="545"/>
      <c r="P12" s="545"/>
      <c r="Q12" s="551">
        <f t="shared" ref="Q12:AG12" si="8">(0.2083/(100^1.852))*((100/Q9)^1.852)*((Q11^1.852/Q8^4.8655))</f>
        <v>9.084119231833912E-4</v>
      </c>
      <c r="R12" s="551">
        <f t="shared" ref="R12" si="9">(0.2083/(100^1.852))*((100/R9)^1.852)*((R11^1.852/R8^4.8655))</f>
        <v>6.0888128949696052E-5</v>
      </c>
      <c r="S12" s="551">
        <f t="shared" si="8"/>
        <v>1.0731769258938992E-4</v>
      </c>
      <c r="T12" s="551">
        <f t="shared" ref="T12" si="10">(0.2083/(100^1.852))*((100/T9)^1.852)*((T11^1.852/T8^4.8655))</f>
        <v>2.07548276383056E-6</v>
      </c>
      <c r="U12" s="551">
        <f t="shared" si="8"/>
        <v>7.91382965157869E-5</v>
      </c>
      <c r="V12" s="551">
        <f t="shared" si="8"/>
        <v>4.159235555324193E-5</v>
      </c>
      <c r="W12" s="551">
        <f t="shared" si="8"/>
        <v>2.1697765096377482E-3</v>
      </c>
      <c r="X12" s="551">
        <f t="shared" ref="X12" si="11">(0.2083/(100^1.852))*((100/X9)^1.852)*((X11^1.852/X8^4.8655))</f>
        <v>9.4890482025823873E-5</v>
      </c>
      <c r="Y12" s="551">
        <f t="shared" si="8"/>
        <v>1.2781511506030699E-4</v>
      </c>
      <c r="Z12" s="551">
        <f t="shared" ref="Z12" si="12">(0.2083/(100^1.852))*((100/Z9)^1.852)*((Z11^1.852/Z8^4.8655))</f>
        <v>3.8069451115085001E-7</v>
      </c>
      <c r="AA12" s="551">
        <f t="shared" si="8"/>
        <v>7.2575501523993439E-5</v>
      </c>
      <c r="AB12" s="551">
        <f t="shared" ref="AB12" si="13">(0.2083/(100^1.852))*((100/AB9)^1.852)*((AB11^1.852/AB8^4.8655))</f>
        <v>4.3684325414971293E-6</v>
      </c>
      <c r="AC12" s="551">
        <f t="shared" si="8"/>
        <v>6.0593998634951118E-4</v>
      </c>
      <c r="AD12" s="551">
        <f t="shared" si="8"/>
        <v>6.0593998634951118E-4</v>
      </c>
      <c r="AE12" s="551">
        <f t="shared" si="8"/>
        <v>2.3788129969676915E-4</v>
      </c>
      <c r="AF12" s="551">
        <f t="shared" si="8"/>
        <v>1.0318439539160958E-3</v>
      </c>
      <c r="AG12" s="551">
        <f t="shared" si="8"/>
        <v>3.4841621256681527E-4</v>
      </c>
      <c r="AH12" s="551"/>
    </row>
    <row r="13" spans="1:34" ht="28.5" x14ac:dyDescent="0.2">
      <c r="B13" s="742"/>
      <c r="C13" s="246" t="s">
        <v>513</v>
      </c>
      <c r="D13" s="524">
        <v>1189</v>
      </c>
      <c r="E13" s="419">
        <f>AE5</f>
        <v>700</v>
      </c>
      <c r="F13" s="524">
        <v>265</v>
      </c>
      <c r="G13" s="422">
        <v>24</v>
      </c>
      <c r="H13" s="422">
        <f t="shared" si="0"/>
        <v>1731067.98</v>
      </c>
      <c r="I13" s="633">
        <f t="shared" si="1"/>
        <v>77898.059099999999</v>
      </c>
      <c r="L13" s="91"/>
      <c r="M13" s="574" t="s">
        <v>514</v>
      </c>
      <c r="N13" s="545"/>
      <c r="O13" s="545"/>
      <c r="P13" s="545"/>
      <c r="Q13" s="552">
        <f t="shared" ref="Q13:AG13" si="14">Q12*Q6</f>
        <v>22.710298079584781</v>
      </c>
      <c r="R13" s="552">
        <f t="shared" ref="R13" si="15">R12*R6</f>
        <v>1.5222032237424012</v>
      </c>
      <c r="S13" s="552">
        <f t="shared" si="14"/>
        <v>0.7512238481257294</v>
      </c>
      <c r="T13" s="552">
        <f t="shared" ref="T13" si="16">T12*T6</f>
        <v>2.07548276383056E-3</v>
      </c>
      <c r="U13" s="552">
        <f t="shared" si="14"/>
        <v>7.9138296515786896E-2</v>
      </c>
      <c r="V13" s="552">
        <f t="shared" si="14"/>
        <v>0.54901909330279353</v>
      </c>
      <c r="W13" s="552">
        <f t="shared" si="14"/>
        <v>13.01865905782649</v>
      </c>
      <c r="X13" s="552">
        <f t="shared" ref="X13" si="17">X12*X6</f>
        <v>0.33211668709038356</v>
      </c>
      <c r="Y13" s="552">
        <f t="shared" si="14"/>
        <v>1.4059662656633769</v>
      </c>
      <c r="Z13" s="552">
        <f t="shared" ref="Z13" si="18">Z12*Z6</f>
        <v>4.1876396226593502E-3</v>
      </c>
      <c r="AA13" s="552">
        <f t="shared" si="14"/>
        <v>0.36287750761996718</v>
      </c>
      <c r="AB13" s="552">
        <f t="shared" ref="AB13" si="19">AB12*AB6</f>
        <v>2.1842162707485648E-2</v>
      </c>
      <c r="AC13" s="552">
        <f t="shared" si="14"/>
        <v>10.9069197542912</v>
      </c>
      <c r="AD13" s="552">
        <f t="shared" si="14"/>
        <v>18.178199590485335</v>
      </c>
      <c r="AE13" s="552">
        <f t="shared" si="14"/>
        <v>9.5152519878707658</v>
      </c>
      <c r="AF13" s="552">
        <f t="shared" si="14"/>
        <v>0.10318439539160958</v>
      </c>
      <c r="AG13" s="552">
        <f t="shared" si="14"/>
        <v>3.4841621256681528E-3</v>
      </c>
      <c r="AH13" s="552"/>
    </row>
    <row r="14" spans="1:34" ht="15" thickBot="1" x14ac:dyDescent="0.25">
      <c r="B14" s="743"/>
      <c r="C14" s="746" t="s">
        <v>29</v>
      </c>
      <c r="D14" s="747"/>
      <c r="E14" s="747"/>
      <c r="F14" s="747"/>
      <c r="G14" s="747"/>
      <c r="H14" s="748"/>
      <c r="I14" s="634">
        <f>SUM(I5:I13)</f>
        <v>573001.49626157898</v>
      </c>
      <c r="L14" s="91"/>
      <c r="M14" s="574" t="s">
        <v>515</v>
      </c>
      <c r="N14" s="545"/>
      <c r="O14" s="545"/>
      <c r="P14" s="545"/>
      <c r="Q14" s="549">
        <f t="shared" ref="Q14:AG14" si="20">Q13+Q5</f>
        <v>1522.7102980795848</v>
      </c>
      <c r="R14" s="549">
        <f t="shared" ref="R14" si="21">R13+R5</f>
        <v>1301.5222032237425</v>
      </c>
      <c r="S14" s="549">
        <f t="shared" si="20"/>
        <v>1000.7512238481257</v>
      </c>
      <c r="T14" s="549">
        <f t="shared" ref="T14" si="22">T13+T5</f>
        <v>100.00207548276383</v>
      </c>
      <c r="U14" s="549">
        <f t="shared" si="20"/>
        <v>100.07913829651579</v>
      </c>
      <c r="V14" s="549">
        <f t="shared" si="20"/>
        <v>800.54901909330283</v>
      </c>
      <c r="W14" s="549">
        <f t="shared" si="20"/>
        <v>383.01865905782648</v>
      </c>
      <c r="X14" s="549">
        <f t="shared" ref="X14" si="23">X13+X5</f>
        <v>150.33211668709038</v>
      </c>
      <c r="Y14" s="549">
        <f t="shared" si="20"/>
        <v>151.40596626566338</v>
      </c>
      <c r="Z14" s="549">
        <f t="shared" ref="Z14" si="24">Z13+Z5</f>
        <v>450.00418763962267</v>
      </c>
      <c r="AA14" s="549">
        <f t="shared" si="20"/>
        <v>1000.3628775076199</v>
      </c>
      <c r="AB14" s="549">
        <f t="shared" ref="AB14" si="25">AB13+AB5</f>
        <v>1000.0218421627075</v>
      </c>
      <c r="AC14" s="549">
        <f t="shared" si="20"/>
        <v>590.90691975429115</v>
      </c>
      <c r="AD14" s="549">
        <f t="shared" si="20"/>
        <v>368.17819959048535</v>
      </c>
      <c r="AE14" s="549">
        <f t="shared" si="20"/>
        <v>709.51525198787078</v>
      </c>
      <c r="AF14" s="549">
        <f t="shared" si="20"/>
        <v>231.10318439539162</v>
      </c>
      <c r="AG14" s="549">
        <f t="shared" si="20"/>
        <v>1155.0034841621257</v>
      </c>
      <c r="AH14" s="549"/>
    </row>
    <row r="15" spans="1:34" ht="15" thickBot="1" x14ac:dyDescent="0.25">
      <c r="B15" s="532" t="s">
        <v>488</v>
      </c>
      <c r="C15" s="413" t="s">
        <v>516</v>
      </c>
      <c r="D15" s="533">
        <f>Q11</f>
        <v>284</v>
      </c>
      <c r="E15" s="413">
        <f>Q5</f>
        <v>1500</v>
      </c>
      <c r="F15" s="533">
        <f>Q16</f>
        <v>136.52834962853723</v>
      </c>
      <c r="G15" s="534">
        <v>24</v>
      </c>
      <c r="H15" s="534">
        <f>(F15*0.7457)*G15*365</f>
        <v>891848.50718568196</v>
      </c>
      <c r="I15" s="635">
        <f>H15*$L$3</f>
        <v>40133.182823355688</v>
      </c>
      <c r="L15" s="91"/>
      <c r="M15" s="574" t="s">
        <v>517</v>
      </c>
      <c r="N15" s="545"/>
      <c r="O15" s="545"/>
      <c r="P15" s="545"/>
      <c r="Q15" s="545">
        <v>1</v>
      </c>
      <c r="R15" s="545">
        <v>1</v>
      </c>
      <c r="S15" s="545">
        <v>1</v>
      </c>
      <c r="T15" s="545">
        <v>1</v>
      </c>
      <c r="U15" s="545">
        <v>1</v>
      </c>
      <c r="V15" s="545">
        <v>1</v>
      </c>
      <c r="W15" s="545">
        <v>1</v>
      </c>
      <c r="X15" s="545">
        <v>1</v>
      </c>
      <c r="Y15" s="545">
        <v>1</v>
      </c>
      <c r="Z15" s="545">
        <v>1</v>
      </c>
      <c r="AA15" s="545">
        <v>1</v>
      </c>
      <c r="AB15" s="545">
        <v>1</v>
      </c>
      <c r="AC15" s="545">
        <v>1</v>
      </c>
      <c r="AD15" s="545">
        <v>1</v>
      </c>
      <c r="AE15" s="545">
        <v>1</v>
      </c>
      <c r="AF15" s="545">
        <v>1</v>
      </c>
      <c r="AG15" s="545">
        <v>1</v>
      </c>
      <c r="AH15" s="546"/>
    </row>
    <row r="16" spans="1:34" ht="15" thickBot="1" x14ac:dyDescent="0.25">
      <c r="B16" s="699" t="s">
        <v>371</v>
      </c>
      <c r="C16" s="415" t="s">
        <v>518</v>
      </c>
      <c r="D16" s="530">
        <v>1539</v>
      </c>
      <c r="E16" s="415">
        <f>AF5</f>
        <v>231</v>
      </c>
      <c r="F16" s="530">
        <v>112</v>
      </c>
      <c r="G16" s="417">
        <v>24</v>
      </c>
      <c r="H16" s="417">
        <f>(F16*0.7457)*G16*365</f>
        <v>731621.18400000001</v>
      </c>
      <c r="I16" s="632">
        <f>H16*$L$3</f>
        <v>32922.953280000002</v>
      </c>
      <c r="L16" s="91"/>
      <c r="M16" s="575" t="s">
        <v>519</v>
      </c>
      <c r="N16" s="553"/>
      <c r="O16" s="554"/>
      <c r="P16" s="554"/>
      <c r="Q16" s="555">
        <f t="shared" ref="Q16:AG16" si="26">(((Q14/2.31)*Q11)/1714)/Q7</f>
        <v>136.52834962853723</v>
      </c>
      <c r="R16" s="555">
        <f t="shared" ref="R16" si="27">(((R14/2.31)*R11)/1714)/R7</f>
        <v>27.119565828132657</v>
      </c>
      <c r="S16" s="555">
        <f t="shared" si="26"/>
        <v>1080.8598089588243</v>
      </c>
      <c r="T16" s="555">
        <f t="shared" ref="T16" si="28">(((T14/2.31)*T11)/1714)/T7</f>
        <v>0.15785786817178465</v>
      </c>
      <c r="U16" s="555">
        <f t="shared" si="26"/>
        <v>1.1282801766621391</v>
      </c>
      <c r="V16" s="555">
        <f t="shared" si="26"/>
        <v>39.397239451857139</v>
      </c>
      <c r="W16" s="555">
        <f t="shared" si="26"/>
        <v>25.808721970560494</v>
      </c>
      <c r="X16" s="555">
        <f t="shared" ref="X16" si="29">(((X14/2.31)*X11)/1714)/X7</f>
        <v>1.8693610231714686</v>
      </c>
      <c r="Y16" s="555">
        <f t="shared" si="26"/>
        <v>8.4618456386996499</v>
      </c>
      <c r="Z16" s="555">
        <f t="shared" ref="Z16" si="30">(((Z14/2.31)*Z11)/1714)/Z7</f>
        <v>1.0879395258082207</v>
      </c>
      <c r="AA16" s="555">
        <f t="shared" si="26"/>
        <v>141.58535715755903</v>
      </c>
      <c r="AB16" s="555">
        <f t="shared" ref="AB16" si="31">(((AB14/2.31)*AB11)/1714)/AB7</f>
        <v>31.036461193019704</v>
      </c>
      <c r="AC16" s="555">
        <f t="shared" si="26"/>
        <v>263.04218533062027</v>
      </c>
      <c r="AD16" s="555">
        <f t="shared" si="26"/>
        <v>163.89450685675655</v>
      </c>
      <c r="AE16" s="555">
        <f t="shared" si="26"/>
        <v>342.61491898883276</v>
      </c>
      <c r="AF16" s="555">
        <f t="shared" si="26"/>
        <v>137.13296099130255</v>
      </c>
      <c r="AG16" s="555">
        <f t="shared" si="26"/>
        <v>685.36073249184403</v>
      </c>
      <c r="AH16" s="556">
        <f>30*11</f>
        <v>330</v>
      </c>
    </row>
    <row r="17" spans="2:34" ht="15" thickBot="1" x14ac:dyDescent="0.25">
      <c r="B17" s="742"/>
      <c r="C17" s="251" t="s">
        <v>520</v>
      </c>
      <c r="D17" s="524">
        <v>1539</v>
      </c>
      <c r="E17" s="419">
        <f>AG5</f>
        <v>1155</v>
      </c>
      <c r="F17" s="524">
        <v>561</v>
      </c>
      <c r="G17" s="422">
        <v>24</v>
      </c>
      <c r="H17" s="422">
        <f>(F17*0.7457)*G17*365</f>
        <v>3664638.2520000003</v>
      </c>
      <c r="I17" s="633">
        <f>H17*$L$3</f>
        <v>164908.72134000002</v>
      </c>
      <c r="L17" s="91"/>
      <c r="M17" s="557" t="s">
        <v>67</v>
      </c>
      <c r="N17" s="558" t="e">
        <f>SUM(#REF!)</f>
        <v>#REF!</v>
      </c>
      <c r="O17" s="559"/>
      <c r="P17" s="559"/>
      <c r="Q17" s="559" t="s">
        <v>521</v>
      </c>
      <c r="R17" s="559" t="s">
        <v>521</v>
      </c>
      <c r="S17" s="559" t="s">
        <v>521</v>
      </c>
      <c r="T17" s="559" t="s">
        <v>521</v>
      </c>
      <c r="U17" s="559" t="s">
        <v>521</v>
      </c>
      <c r="V17" s="559" t="s">
        <v>521</v>
      </c>
      <c r="W17" s="559" t="s">
        <v>521</v>
      </c>
      <c r="X17" s="559" t="s">
        <v>521</v>
      </c>
      <c r="Y17" s="559" t="s">
        <v>521</v>
      </c>
      <c r="Z17" s="559" t="s">
        <v>521</v>
      </c>
      <c r="AA17" s="559" t="s">
        <v>521</v>
      </c>
      <c r="AB17" s="559" t="s">
        <v>521</v>
      </c>
      <c r="AC17" s="559" t="s">
        <v>521</v>
      </c>
      <c r="AD17" s="559" t="s">
        <v>521</v>
      </c>
      <c r="AE17" s="559" t="s">
        <v>521</v>
      </c>
      <c r="AF17" s="559" t="s">
        <v>521</v>
      </c>
      <c r="AG17" s="559" t="s">
        <v>521</v>
      </c>
      <c r="AH17" s="560" t="s">
        <v>521</v>
      </c>
    </row>
    <row r="18" spans="2:34" ht="18" customHeight="1" thickBot="1" x14ac:dyDescent="0.25">
      <c r="B18" s="743"/>
      <c r="C18" s="749" t="s">
        <v>29</v>
      </c>
      <c r="D18" s="750"/>
      <c r="E18" s="750"/>
      <c r="F18" s="750"/>
      <c r="G18" s="750"/>
      <c r="H18" s="751"/>
      <c r="I18" s="636">
        <f>SUM(I16:I17)</f>
        <v>197831.67462000001</v>
      </c>
      <c r="L18" s="91"/>
      <c r="M18" s="561">
        <v>1</v>
      </c>
      <c r="N18" s="562">
        <f t="shared" ref="N18:N49" si="32">SUM(S18:AE18)</f>
        <v>1485.4873514470034</v>
      </c>
      <c r="O18" s="341">
        <f t="shared" ref="O18:O49" si="33">Q18+AF18+AG18+AH18</f>
        <v>0</v>
      </c>
      <c r="P18" s="563">
        <f t="shared" ref="P18:P49" si="34">SUM(Q18:AH18)</f>
        <v>1485.4873514470034</v>
      </c>
      <c r="Q18" s="341">
        <v>0</v>
      </c>
      <c r="R18" s="341">
        <v>0</v>
      </c>
      <c r="S18" s="564">
        <f>$S$16*('Table 5 Flows to Evap &amp; WTP'!C6/'Table 13 Power Costs'!$S$11)</f>
        <v>1080.8598089588243</v>
      </c>
      <c r="T18" s="565">
        <v>0</v>
      </c>
      <c r="U18" s="564">
        <v>0</v>
      </c>
      <c r="V18" s="564">
        <v>0</v>
      </c>
      <c r="W18" s="564">
        <v>0</v>
      </c>
      <c r="X18" s="564">
        <v>0</v>
      </c>
      <c r="Y18" s="566">
        <v>0</v>
      </c>
      <c r="Z18" s="566">
        <v>0</v>
      </c>
      <c r="AA18" s="567">
        <f>$AA$16*(('Table 2 StormwaterGroundwater'!G9+'Table 2 StormwaterGroundwater'!I9+'Table 2 StormwaterGroundwater'!F9)/$AA$11)</f>
        <v>141.58535715755903</v>
      </c>
      <c r="AB18" s="567">
        <v>0</v>
      </c>
      <c r="AC18" s="564">
        <f>$AC$16*(('Table 2 StormwaterGroundwater'!E9)/$AC$11)</f>
        <v>263.04218533062027</v>
      </c>
      <c r="AD18" s="564">
        <v>0</v>
      </c>
      <c r="AE18" s="564">
        <v>0</v>
      </c>
      <c r="AF18" s="564">
        <v>0</v>
      </c>
      <c r="AG18" s="564">
        <v>0</v>
      </c>
      <c r="AH18" s="568">
        <v>0</v>
      </c>
    </row>
    <row r="19" spans="2:34" ht="15" thickBot="1" x14ac:dyDescent="0.25">
      <c r="B19" s="526" t="s">
        <v>196</v>
      </c>
      <c r="C19" s="527" t="s">
        <v>522</v>
      </c>
      <c r="D19" s="455" t="s">
        <v>523</v>
      </c>
      <c r="E19" s="527" t="s">
        <v>523</v>
      </c>
      <c r="F19" s="528">
        <f>AH16</f>
        <v>330</v>
      </c>
      <c r="G19" s="529">
        <v>16</v>
      </c>
      <c r="H19" s="529">
        <f>(F19*0.7457)*G19*365</f>
        <v>1437113.04</v>
      </c>
      <c r="I19" s="637">
        <f>H19*$L$3</f>
        <v>64670.086799999997</v>
      </c>
      <c r="L19" s="91"/>
      <c r="M19" s="155">
        <f t="shared" ref="M19:M50" si="35">M18+1</f>
        <v>2</v>
      </c>
      <c r="N19" s="562">
        <f t="shared" si="32"/>
        <v>859.21924599159888</v>
      </c>
      <c r="O19" s="341">
        <f t="shared" si="33"/>
        <v>0</v>
      </c>
      <c r="P19" s="569">
        <f t="shared" si="34"/>
        <v>859.21924599159888</v>
      </c>
      <c r="Q19" s="570">
        <v>0</v>
      </c>
      <c r="R19" s="570">
        <v>0</v>
      </c>
      <c r="S19" s="564">
        <f>$S$16*('Table 5 Flows to Evap &amp; WTP'!C7/'Table 13 Power Costs'!$S$11)</f>
        <v>467.74381276995058</v>
      </c>
      <c r="T19" s="565">
        <v>0</v>
      </c>
      <c r="U19" s="564">
        <v>0</v>
      </c>
      <c r="V19" s="564">
        <v>0</v>
      </c>
      <c r="W19" s="564">
        <v>0</v>
      </c>
      <c r="X19" s="564">
        <v>0</v>
      </c>
      <c r="Y19" s="566">
        <v>0</v>
      </c>
      <c r="Z19" s="566">
        <v>0</v>
      </c>
      <c r="AA19" s="567">
        <f>$AA$16*(('Table 2 StormwaterGroundwater'!G10+'Table 2 StormwaterGroundwater'!I10+'Table 2 StormwaterGroundwater'!F10)/$AA$11)</f>
        <v>141.58535715755903</v>
      </c>
      <c r="AB19" s="567">
        <v>0</v>
      </c>
      <c r="AC19" s="564">
        <f>$AC$16*(('Table 2 StormwaterGroundwater'!E10)/$AC$11)</f>
        <v>249.89007606408924</v>
      </c>
      <c r="AD19" s="564">
        <v>0</v>
      </c>
      <c r="AE19" s="564">
        <v>0</v>
      </c>
      <c r="AF19" s="564">
        <v>0</v>
      </c>
      <c r="AG19" s="564">
        <v>0</v>
      </c>
      <c r="AH19" s="568">
        <v>0</v>
      </c>
    </row>
    <row r="20" spans="2:34" ht="15" thickTop="1" x14ac:dyDescent="0.2">
      <c r="B20" s="536" t="s">
        <v>524</v>
      </c>
      <c r="C20" s="241"/>
      <c r="D20" s="241"/>
      <c r="E20" s="241"/>
      <c r="F20" s="241"/>
      <c r="G20" s="241"/>
      <c r="H20" s="241"/>
      <c r="I20" s="241"/>
      <c r="L20" s="91"/>
      <c r="M20" s="155">
        <f t="shared" si="35"/>
        <v>3</v>
      </c>
      <c r="N20" s="562">
        <f t="shared" si="32"/>
        <v>621.24421806560713</v>
      </c>
      <c r="O20" s="341">
        <f t="shared" si="33"/>
        <v>0</v>
      </c>
      <c r="P20" s="569">
        <f t="shared" si="34"/>
        <v>621.24421806560713</v>
      </c>
      <c r="Q20" s="156">
        <v>0</v>
      </c>
      <c r="R20" s="156">
        <v>0</v>
      </c>
      <c r="S20" s="564">
        <f>$S$16*('Table 5 Flows to Evap &amp; WTP'!C8/'Table 13 Power Costs'!$S$11)</f>
        <v>242.26328864716331</v>
      </c>
      <c r="T20" s="565">
        <v>0</v>
      </c>
      <c r="U20" s="564">
        <v>0</v>
      </c>
      <c r="V20" s="564">
        <v>0</v>
      </c>
      <c r="W20" s="564">
        <v>0</v>
      </c>
      <c r="X20" s="564">
        <v>0</v>
      </c>
      <c r="Y20" s="566">
        <v>0</v>
      </c>
      <c r="Z20" s="566">
        <v>0</v>
      </c>
      <c r="AA20" s="567">
        <f>$AA$16*(('Table 2 StormwaterGroundwater'!G11+'Table 2 StormwaterGroundwater'!I11+'Table 2 StormwaterGroundwater'!F11)/$AA$11)</f>
        <v>141.58535715755903</v>
      </c>
      <c r="AB20" s="567">
        <v>0</v>
      </c>
      <c r="AC20" s="564">
        <f>$AC$16*(('Table 2 StormwaterGroundwater'!E11)/$AC$11)</f>
        <v>237.39557226088476</v>
      </c>
      <c r="AD20" s="564">
        <v>0</v>
      </c>
      <c r="AE20" s="564">
        <v>0</v>
      </c>
      <c r="AF20" s="564">
        <v>0</v>
      </c>
      <c r="AG20" s="564">
        <v>0</v>
      </c>
      <c r="AH20" s="568">
        <v>0</v>
      </c>
    </row>
    <row r="21" spans="2:34" ht="14.25" x14ac:dyDescent="0.2">
      <c r="L21" s="91"/>
      <c r="M21" s="155">
        <f t="shared" si="35"/>
        <v>4</v>
      </c>
      <c r="N21" s="562">
        <f t="shared" si="32"/>
        <v>601.01714388399796</v>
      </c>
      <c r="O21" s="341">
        <f t="shared" si="33"/>
        <v>0</v>
      </c>
      <c r="P21" s="569">
        <f t="shared" si="34"/>
        <v>601.01714388399796</v>
      </c>
      <c r="Q21" s="156">
        <v>0</v>
      </c>
      <c r="R21" s="156">
        <v>0</v>
      </c>
      <c r="S21" s="564">
        <f>$S$16*('Table 5 Flows to Evap &amp; WTP'!C9/'Table 13 Power Costs'!$S$11)</f>
        <v>233.90599307859839</v>
      </c>
      <c r="T21" s="565">
        <v>0</v>
      </c>
      <c r="U21" s="564">
        <v>0</v>
      </c>
      <c r="V21" s="564">
        <v>0</v>
      </c>
      <c r="W21" s="564">
        <v>0</v>
      </c>
      <c r="X21" s="564">
        <v>0</v>
      </c>
      <c r="Y21" s="566">
        <v>0</v>
      </c>
      <c r="Z21" s="566">
        <v>0</v>
      </c>
      <c r="AA21" s="567">
        <f>$AA$16*(('Table 2 StormwaterGroundwater'!G12+'Table 2 StormwaterGroundwater'!I12+'Table 2 StormwaterGroundwater'!F12)/$AA$11)</f>
        <v>141.58535715755903</v>
      </c>
      <c r="AB21" s="567">
        <v>0</v>
      </c>
      <c r="AC21" s="564">
        <f>$AC$16*(('Table 2 StormwaterGroundwater'!E12)/$AC$11)</f>
        <v>225.52579364784052</v>
      </c>
      <c r="AD21" s="564">
        <v>0</v>
      </c>
      <c r="AE21" s="564">
        <v>0</v>
      </c>
      <c r="AF21" s="564">
        <v>0</v>
      </c>
      <c r="AG21" s="564">
        <v>0</v>
      </c>
      <c r="AH21" s="568">
        <v>0</v>
      </c>
    </row>
    <row r="22" spans="2:34" ht="14.25" x14ac:dyDescent="0.2">
      <c r="L22" s="91"/>
      <c r="M22" s="155">
        <f t="shared" si="35"/>
        <v>5</v>
      </c>
      <c r="N22" s="562">
        <f t="shared" si="32"/>
        <v>581.38355863304082</v>
      </c>
      <c r="O22" s="341">
        <f t="shared" si="33"/>
        <v>0</v>
      </c>
      <c r="P22" s="569">
        <f t="shared" si="34"/>
        <v>581.38355863304082</v>
      </c>
      <c r="Q22" s="156">
        <v>0</v>
      </c>
      <c r="R22" s="156">
        <v>0</v>
      </c>
      <c r="S22" s="564">
        <f>$S$16*('Table 5 Flows to Evap &amp; WTP'!C10/'Table 13 Power Costs'!$S$11)</f>
        <v>225.54869751003341</v>
      </c>
      <c r="T22" s="565">
        <v>0</v>
      </c>
      <c r="U22" s="564">
        <v>0</v>
      </c>
      <c r="V22" s="564">
        <v>0</v>
      </c>
      <c r="W22" s="564">
        <v>0</v>
      </c>
      <c r="X22" s="564">
        <v>0</v>
      </c>
      <c r="Y22" s="566">
        <v>0</v>
      </c>
      <c r="Z22" s="566">
        <v>0</v>
      </c>
      <c r="AA22" s="567">
        <f>$AA$16*(('Table 2 StormwaterGroundwater'!G13+'Table 2 StormwaterGroundwater'!I13+'Table 2 StormwaterGroundwater'!F13)/$AA$11)</f>
        <v>141.58535715755903</v>
      </c>
      <c r="AB22" s="567">
        <v>0</v>
      </c>
      <c r="AC22" s="564">
        <f>$AC$16*(('Table 2 StormwaterGroundwater'!E13)/$AC$11)</f>
        <v>214.24950396544847</v>
      </c>
      <c r="AD22" s="564">
        <v>0</v>
      </c>
      <c r="AE22" s="564">
        <v>0</v>
      </c>
      <c r="AF22" s="564">
        <v>0</v>
      </c>
      <c r="AG22" s="564">
        <v>0</v>
      </c>
      <c r="AH22" s="568">
        <v>0</v>
      </c>
    </row>
    <row r="23" spans="2:34" ht="14.25" x14ac:dyDescent="0.2">
      <c r="L23" s="91"/>
      <c r="M23" s="155">
        <f t="shared" si="35"/>
        <v>6</v>
      </c>
      <c r="N23" s="562">
        <f t="shared" si="32"/>
        <v>660.59273123581693</v>
      </c>
      <c r="O23" s="341">
        <f t="shared" si="33"/>
        <v>1149.1303480340005</v>
      </c>
      <c r="P23" s="569">
        <f t="shared" si="34"/>
        <v>1836.84264509795</v>
      </c>
      <c r="Q23" s="156">
        <f>$Q$16*(284/$Q$11)</f>
        <v>136.52834962853723</v>
      </c>
      <c r="R23" s="156">
        <f>$R$16*(66/$R$11)</f>
        <v>27.119565828132657</v>
      </c>
      <c r="S23" s="564">
        <v>0</v>
      </c>
      <c r="T23" s="565">
        <f>$T$16*(('Table 2 StormwaterGroundwater'!H14/2)/'Table 13 Power Costs'!$T$11)</f>
        <v>0.13654705596859373</v>
      </c>
      <c r="U23" s="564">
        <f>$U$16*('Table 2 StormwaterGroundwater'!Y14/'Table 13 Power Costs'!$U$11)</f>
        <v>0.71039862975023571</v>
      </c>
      <c r="V23" s="564">
        <f>$V$16*(('Table 2 StormwaterGroundwater'!Y14+'Table 2 StormwaterGroundwater'!AE14+'Table 2 StormwaterGroundwater'!W14+5)/$V$11)</f>
        <v>9.6471981672435749</v>
      </c>
      <c r="W23" s="564">
        <f>$W$16*(('Table 2 StormwaterGroundwater'!Y14+'Table 2 StormwaterGroundwater'!AE14+'Table 2 StormwaterGroundwater'!W14+'Table 2 StormwaterGroundwater'!U14+'Table 2 StormwaterGroundwater'!O14+'Table 2 StormwaterGroundwater'!S14+5)/$W$11)</f>
        <v>11.574964076942221</v>
      </c>
      <c r="X23" s="564">
        <f>$X$16*(('Table 2 StormwaterGroundwater'!Q14+5)/'Table 13 Power Costs'!$X$11)</f>
        <v>1.8693610231714686</v>
      </c>
      <c r="Y23" s="566">
        <f>$Y$16*(('Table 2 StormwaterGroundwater'!AC14+'Table 2 StormwaterGroundwater'!AA14+'Table 2 StormwaterGroundwater'!Q14+'Table 2 StormwaterGroundwater'!M14+'Table 2 StormwaterGroundwater'!K14+5)/$Y$11)</f>
        <v>7.766428626534104</v>
      </c>
      <c r="Z23" s="566">
        <f>$Z$16*(('Table 2 StormwaterGroundwater'!S14*0.3)/$Z$11)</f>
        <v>1.0879395258082207</v>
      </c>
      <c r="AA23" s="567">
        <v>0</v>
      </c>
      <c r="AB23" s="567">
        <f>$AB$16*(('Table 2 StormwaterGroundwater'!I14+'Table 2 StormwaterGroundwater'!G14)/$AB$11)</f>
        <v>31.036461193019704</v>
      </c>
      <c r="AC23" s="564">
        <f>$AC$16*(('Table 2 StormwaterGroundwater'!E14)/$AC$11)</f>
        <v>203.53702876717603</v>
      </c>
      <c r="AD23" s="564">
        <f>$AD$16*(('Table 2 StormwaterGroundwater'!E14)/$AD$11)</f>
        <v>126.81844516672122</v>
      </c>
      <c r="AE23" s="564">
        <f>$AE$16*(('Table 2 StormwaterGroundwater'!E14+'Table 2 StormwaterGroundwater'!C14)/$AE$11)</f>
        <v>266.40795900348155</v>
      </c>
      <c r="AF23" s="564">
        <f>$AF$16*(('Table 2 StormwaterGroundwater'!F14+'Table 2 StormwaterGroundwater'!E14+'Table 2 StormwaterGroundwater'!C14)/$AF$11)</f>
        <v>112.31084324772524</v>
      </c>
      <c r="AG23" s="564">
        <f>$AG$16*(('Table 2 StormwaterGroundwater'!F14+'Table 2 StormwaterGroundwater'!E14+'Table 2 StormwaterGroundwater'!C14)/$AG$11)</f>
        <v>561.30518322228579</v>
      </c>
      <c r="AH23" s="568">
        <f>30*'Table 5 Flows to Evap &amp; WTP'!F11</f>
        <v>338.98597193545214</v>
      </c>
    </row>
    <row r="24" spans="2:34" ht="15" thickBot="1" x14ac:dyDescent="0.25">
      <c r="F24" s="86"/>
      <c r="G24" s="86"/>
      <c r="H24" s="132"/>
      <c r="I24" s="53"/>
      <c r="L24" s="91"/>
      <c r="M24" s="155">
        <f t="shared" si="35"/>
        <v>7</v>
      </c>
      <c r="N24" s="562">
        <f t="shared" si="32"/>
        <v>632.56433691753296</v>
      </c>
      <c r="O24" s="341">
        <f t="shared" si="33"/>
        <v>1106.3939594633505</v>
      </c>
      <c r="P24" s="569">
        <f t="shared" si="34"/>
        <v>1766.0778622090161</v>
      </c>
      <c r="Q24" s="156">
        <f t="shared" ref="Q24:Q87" si="36">$Q$16*(284/$Q$11)</f>
        <v>136.52834962853723</v>
      </c>
      <c r="R24" s="156">
        <f t="shared" ref="R24:R87" si="37">$R$16*(66/$R$11)</f>
        <v>27.119565828132657</v>
      </c>
      <c r="S24" s="564">
        <v>0</v>
      </c>
      <c r="T24" s="565">
        <f>$T$16*(('Table 2 StormwaterGroundwater'!H15/2)/'Table 13 Power Costs'!$T$11)</f>
        <v>0.13654705596859373</v>
      </c>
      <c r="U24" s="564">
        <f>$U$16*('Table 2 StormwaterGroundwater'!Y15/'Table 13 Power Costs'!$U$11)</f>
        <v>0.71039862975023571</v>
      </c>
      <c r="V24" s="564">
        <f>$V$16*(('Table 2 StormwaterGroundwater'!Y15+'Table 2 StormwaterGroundwater'!AE15+'Table 2 StormwaterGroundwater'!W15+5)/$V$11)</f>
        <v>12.195877309775053</v>
      </c>
      <c r="W24" s="564">
        <f>$W$16*(('Table 2 StormwaterGroundwater'!Y15+'Table 2 StormwaterGroundwater'!AE15+'Table 2 StormwaterGroundwater'!W15+'Table 2 StormwaterGroundwater'!U15+'Table 2 StormwaterGroundwater'!O15+'Table 2 StormwaterGroundwater'!S15+5)/$W$11)</f>
        <v>12.794366817135053</v>
      </c>
      <c r="X24" s="564">
        <f>$X$16*(('Table 2 StormwaterGroundwater'!Q15+5)/'Table 13 Power Costs'!$X$11)</f>
        <v>1.8693610231714686</v>
      </c>
      <c r="Y24" s="566">
        <f>$Y$16*(('Table 2 StormwaterGroundwater'!AC15+'Table 2 StormwaterGroundwater'!AA15+'Table 2 StormwaterGroundwater'!Q15+'Table 2 StormwaterGroundwater'!M15+'Table 2 StormwaterGroundwater'!K15+5)/$Y$11)</f>
        <v>6.5083560317982494</v>
      </c>
      <c r="Z24" s="566">
        <f>$Z$16*(('Table 2 StormwaterGroundwater'!S15*0.3)/$Z$11)</f>
        <v>1.0879395258082207</v>
      </c>
      <c r="AA24" s="567">
        <v>0</v>
      </c>
      <c r="AB24" s="567">
        <f>$AB$16*(('Table 2 StormwaterGroundwater'!I15+'Table 2 StormwaterGroundwater'!G15)/$AB$11)</f>
        <v>31.036461193019704</v>
      </c>
      <c r="AC24" s="564">
        <f>$AC$16*(('Table 2 StormwaterGroundwater'!E15)/$AC$11)</f>
        <v>193.36017732881723</v>
      </c>
      <c r="AD24" s="564">
        <f>$AD$16*(('Table 2 StormwaterGroundwater'!E15)/$AD$11)</f>
        <v>120.47752290838517</v>
      </c>
      <c r="AE24" s="564">
        <f>$AE$16*(('Table 2 StormwaterGroundwater'!E15+'Table 2 StormwaterGroundwater'!C15)/$AE$11)</f>
        <v>252.38732909390399</v>
      </c>
      <c r="AF24" s="564">
        <f>$AF$16*(('Table 2 StormwaterGroundwater'!F15+'Table 2 StormwaterGroundwater'!E15+'Table 2 StormwaterGroundwater'!C15)/$AF$11)</f>
        <v>107.74404611368981</v>
      </c>
      <c r="AG24" s="564">
        <f>$AG$16*(('Table 2 StormwaterGroundwater'!F15+'Table 2 StormwaterGroundwater'!E15+'Table 2 StormwaterGroundwater'!C15)/$AG$11)</f>
        <v>538.4813237628324</v>
      </c>
      <c r="AH24" s="568">
        <f>30*'Table 5 Flows to Evap &amp; WTP'!F12</f>
        <v>323.64023995829098</v>
      </c>
    </row>
    <row r="25" spans="2:34" ht="15" thickTop="1" x14ac:dyDescent="0.2">
      <c r="B25" s="687"/>
      <c r="C25" s="691" t="s">
        <v>525</v>
      </c>
      <c r="D25" s="684"/>
      <c r="E25" s="685"/>
      <c r="F25" s="86"/>
      <c r="G25" s="86"/>
      <c r="H25" s="132"/>
      <c r="I25" s="53"/>
      <c r="L25" s="91"/>
      <c r="M25" s="155">
        <f t="shared" si="35"/>
        <v>8</v>
      </c>
      <c r="N25" s="562">
        <f t="shared" si="32"/>
        <v>602.42180504173814</v>
      </c>
      <c r="O25" s="341">
        <f t="shared" si="33"/>
        <v>1059.5614039177945</v>
      </c>
      <c r="P25" s="569">
        <f t="shared" si="34"/>
        <v>1689.1027747876656</v>
      </c>
      <c r="Q25" s="156">
        <f t="shared" si="36"/>
        <v>136.52834962853723</v>
      </c>
      <c r="R25" s="156">
        <f t="shared" si="37"/>
        <v>27.119565828132657</v>
      </c>
      <c r="S25" s="564">
        <v>0</v>
      </c>
      <c r="T25" s="565">
        <f>$T$16*(('Table 2 StormwaterGroundwater'!H16/2)/'Table 13 Power Costs'!$T$11)</f>
        <v>0.13654705596859373</v>
      </c>
      <c r="U25" s="564">
        <f>$U$16*('Table 2 StormwaterGroundwater'!Y16/'Table 13 Power Costs'!$U$11)</f>
        <v>0.71039862975023571</v>
      </c>
      <c r="V25" s="564">
        <f>$V$16*(('Table 2 StormwaterGroundwater'!Y16+'Table 2 StormwaterGroundwater'!AE16+'Table 2 StormwaterGroundwater'!W16+5)/$V$11)</f>
        <v>12.195877309775053</v>
      </c>
      <c r="W25" s="564">
        <f>$W$16*(('Table 2 StormwaterGroundwater'!Y16+'Table 2 StormwaterGroundwater'!AE16+'Table 2 StormwaterGroundwater'!W16+'Table 2 StormwaterGroundwater'!U16+'Table 2 StormwaterGroundwater'!O16+'Table 2 StormwaterGroundwater'!S16+5)/$W$11)</f>
        <v>12.794366817135053</v>
      </c>
      <c r="X25" s="564">
        <f>$X$16*(('Table 2 StormwaterGroundwater'!Q16+5)/'Table 13 Power Costs'!$X$11)</f>
        <v>1.8693610231714686</v>
      </c>
      <c r="Y25" s="566">
        <f>$Y$16*(('Table 2 StormwaterGroundwater'!AC16+'Table 2 StormwaterGroundwater'!AA16+'Table 2 StormwaterGroundwater'!Q16+'Table 2 StormwaterGroundwater'!M16+'Table 2 StormwaterGroundwater'!K16+5)/$Y$11)</f>
        <v>5.2439614642245287</v>
      </c>
      <c r="Z25" s="566">
        <f>$Z$16*(('Table 2 StormwaterGroundwater'!S16*0.3)/$Z$11)</f>
        <v>1.0879395258082207</v>
      </c>
      <c r="AA25" s="567">
        <v>0</v>
      </c>
      <c r="AB25" s="567">
        <f>$AB$16*(('Table 2 StormwaterGroundwater'!I16+'Table 2 StormwaterGroundwater'!G16)/$AB$11)</f>
        <v>31.036461193019704</v>
      </c>
      <c r="AC25" s="564">
        <f>$AC$16*(('Table 2 StormwaterGroundwater'!E16)/$AC$11)</f>
        <v>183.69216846237637</v>
      </c>
      <c r="AD25" s="564">
        <f>$AD$16*(('Table 2 StormwaterGroundwater'!E16)/$AD$11)</f>
        <v>114.45364676296589</v>
      </c>
      <c r="AE25" s="564">
        <f>$AE$16*(('Table 2 StormwaterGroundwater'!E16+'Table 2 StormwaterGroundwater'!C16)/$AE$11)</f>
        <v>239.20107679754301</v>
      </c>
      <c r="AF25" s="564">
        <f>$AF$16*(('Table 2 StormwaterGroundwater'!F16+'Table 2 StormwaterGroundwater'!E16+'Table 2 StormwaterGroundwater'!C16)/$AF$11)</f>
        <v>103.44902231061846</v>
      </c>
      <c r="AG25" s="564">
        <f>$AG$16*(('Table 2 StormwaterGroundwater'!F16+'Table 2 StormwaterGroundwater'!E16+'Table 2 StormwaterGroundwater'!C16)/$AG$11)</f>
        <v>517.01572834022954</v>
      </c>
      <c r="AH25" s="568">
        <f>30*'Table 5 Flows to Evap &amp; WTP'!F13</f>
        <v>302.56830363840936</v>
      </c>
    </row>
    <row r="26" spans="2:34" ht="43.5" thickBot="1" x14ac:dyDescent="0.25">
      <c r="B26" s="688"/>
      <c r="C26" s="537" t="s">
        <v>526</v>
      </c>
      <c r="D26" s="402" t="s">
        <v>527</v>
      </c>
      <c r="E26" s="538" t="s">
        <v>29</v>
      </c>
      <c r="F26" s="86"/>
      <c r="G26" s="86"/>
      <c r="H26" s="123"/>
      <c r="I26" s="53"/>
      <c r="L26" s="91"/>
      <c r="M26" s="155">
        <f t="shared" si="35"/>
        <v>9</v>
      </c>
      <c r="N26" s="562">
        <f t="shared" si="32"/>
        <v>573.86169327648008</v>
      </c>
      <c r="O26" s="341">
        <f t="shared" si="33"/>
        <v>1014.4699107872088</v>
      </c>
      <c r="P26" s="569">
        <f t="shared" si="34"/>
        <v>1615.4511698918216</v>
      </c>
      <c r="Q26" s="156">
        <f t="shared" si="36"/>
        <v>136.52834962853723</v>
      </c>
      <c r="R26" s="156">
        <f t="shared" si="37"/>
        <v>27.119565828132657</v>
      </c>
      <c r="S26" s="564">
        <v>0</v>
      </c>
      <c r="T26" s="565">
        <f>$T$16*(('Table 2 StormwaterGroundwater'!H17/2)/'Table 13 Power Costs'!$T$11)</f>
        <v>0.13654705596859373</v>
      </c>
      <c r="U26" s="564">
        <f>$U$16*('Table 2 StormwaterGroundwater'!Y17/'Table 13 Power Costs'!$U$11)</f>
        <v>0.71039862975023571</v>
      </c>
      <c r="V26" s="564">
        <f>$V$16*(('Table 2 StormwaterGroundwater'!Y17+'Table 2 StormwaterGroundwater'!AE17+'Table 2 StormwaterGroundwater'!W17+5)/$V$11)</f>
        <v>12.195877309775053</v>
      </c>
      <c r="W26" s="564">
        <f>$W$16*(('Table 2 StormwaterGroundwater'!Y17+'Table 2 StormwaterGroundwater'!AE17+'Table 2 StormwaterGroundwater'!W17+'Table 2 StormwaterGroundwater'!U17+'Table 2 StormwaterGroundwater'!O17+'Table 2 StormwaterGroundwater'!S17+5)/$W$11)</f>
        <v>12.794366817135053</v>
      </c>
      <c r="X26" s="564">
        <f>$X$16*(('Table 2 StormwaterGroundwater'!Q17+5)/'Table 13 Power Costs'!$X$11)</f>
        <v>1.8693610231714686</v>
      </c>
      <c r="Y26" s="566">
        <f>$Y$16*(('Table 2 StormwaterGroundwater'!AC17+'Table 2 StormwaterGroundwater'!AA17+'Table 2 StormwaterGroundwater'!Q17+'Table 2 StormwaterGroundwater'!M17+'Table 2 StormwaterGroundwater'!K17+5)/$Y$11)</f>
        <v>3.9795668966508071</v>
      </c>
      <c r="Z26" s="566">
        <f>$Z$16*(('Table 2 StormwaterGroundwater'!S17*0.3)/$Z$11)</f>
        <v>1.0879395258082207</v>
      </c>
      <c r="AA26" s="567">
        <v>0</v>
      </c>
      <c r="AB26" s="567">
        <f>$AB$16*(('Table 2 StormwaterGroundwater'!I17+'Table 2 StormwaterGroundwater'!G17)/$AB$11)</f>
        <v>31.036461193019704</v>
      </c>
      <c r="AC26" s="564">
        <f>$AC$16*(('Table 2 StormwaterGroundwater'!E17)/$AC$11)</f>
        <v>174.50756003925753</v>
      </c>
      <c r="AD26" s="564">
        <f>$AD$16*(('Table 2 StormwaterGroundwater'!E17)/$AD$11)</f>
        <v>108.73096442481759</v>
      </c>
      <c r="AE26" s="564">
        <f>$AE$16*(('Table 2 StormwaterGroundwater'!E17+'Table 2 StormwaterGroundwater'!C17)/$AE$11)</f>
        <v>226.81265036112589</v>
      </c>
      <c r="AF26" s="564">
        <f>$AF$16*(('Table 2 StormwaterGroundwater'!F17+'Table 2 StormwaterGroundwater'!E17+'Table 2 StormwaterGroundwater'!C17)/$AF$11)</f>
        <v>99.413866207796602</v>
      </c>
      <c r="AG26" s="564">
        <f>$AG$16*(('Table 2 StormwaterGroundwater'!F17+'Table 2 StormwaterGroundwater'!E17+'Table 2 StormwaterGroundwater'!C17)/$AG$11)</f>
        <v>496.84889519991464</v>
      </c>
      <c r="AH26" s="568">
        <f>30*'Table 5 Flows to Evap &amp; WTP'!F14</f>
        <v>281.67879975096031</v>
      </c>
    </row>
    <row r="27" spans="2:34" ht="15" thickBot="1" x14ac:dyDescent="0.25">
      <c r="B27" s="357" t="s">
        <v>67</v>
      </c>
      <c r="C27" s="358" t="s">
        <v>243</v>
      </c>
      <c r="D27" s="358" t="s">
        <v>243</v>
      </c>
      <c r="E27" s="359" t="s">
        <v>243</v>
      </c>
      <c r="F27" s="124"/>
      <c r="G27" s="124"/>
      <c r="H27" s="125"/>
      <c r="I27" s="53"/>
      <c r="L27" s="91"/>
      <c r="M27" s="155">
        <f t="shared" si="35"/>
        <v>10</v>
      </c>
      <c r="N27" s="562">
        <f t="shared" si="32"/>
        <v>540.55800390431443</v>
      </c>
      <c r="O27" s="341">
        <f t="shared" si="33"/>
        <v>978.26266530698535</v>
      </c>
      <c r="P27" s="569">
        <f t="shared" si="34"/>
        <v>1545.9402350394325</v>
      </c>
      <c r="Q27" s="156">
        <f t="shared" si="36"/>
        <v>136.52834962853723</v>
      </c>
      <c r="R27" s="156">
        <f t="shared" si="37"/>
        <v>27.119565828132657</v>
      </c>
      <c r="S27" s="564">
        <v>0</v>
      </c>
      <c r="T27" s="565">
        <f>$T$16*(('Table 2 StormwaterGroundwater'!H18/2)/'Table 13 Power Costs'!$T$11)</f>
        <v>0.13654705596859373</v>
      </c>
      <c r="U27" s="571">
        <f>$U$16*('Table 2 StormwaterGroundwater'!Y18/'Table 13 Power Costs'!$U$11)</f>
        <v>0.11018361100216202</v>
      </c>
      <c r="V27" s="564">
        <f>$V$16*(('Table 2 StormwaterGroundwater'!Y18+'Table 2 StormwaterGroundwater'!AE18+'Table 2 StormwaterGroundwater'!W18+5)/$V$11)</f>
        <v>7.3946614651681335</v>
      </c>
      <c r="W27" s="564">
        <f>$W$16*(('Table 2 StormwaterGroundwater'!Y18+'Table 2 StormwaterGroundwater'!AE18+'Table 2 StormwaterGroundwater'!W18+'Table 2 StormwaterGroundwater'!U18+'Table 2 StormwaterGroundwater'!O18+'Table 2 StormwaterGroundwater'!S18+5)/$W$11)</f>
        <v>10.497249200613178</v>
      </c>
      <c r="X27" s="564">
        <f>$X$16*(('Table 2 StormwaterGroundwater'!Q18+5)/'Table 13 Power Costs'!$X$11)</f>
        <v>1.8693610231714686</v>
      </c>
      <c r="Y27" s="566">
        <f>$Y$16*(('Table 2 StormwaterGroundwater'!AC18+'Table 2 StormwaterGroundwater'!AA18+'Table 2 StormwaterGroundwater'!Q18+'Table 2 StormwaterGroundwater'!M18+'Table 2 StormwaterGroundwater'!K18+5)/$Y$11)</f>
        <v>4.1782398321221077</v>
      </c>
      <c r="Z27" s="566">
        <f>$Z$16*(('Table 2 StormwaterGroundwater'!S18*0.3)/$Z$11)</f>
        <v>1.0879395258082207</v>
      </c>
      <c r="AA27" s="567">
        <v>0</v>
      </c>
      <c r="AB27" s="567">
        <f>$AB$16*(('Table 2 StormwaterGroundwater'!I18+'Table 2 StormwaterGroundwater'!G18)/$AB$11)</f>
        <v>31.036461193019704</v>
      </c>
      <c r="AC27" s="564">
        <f>$AC$16*(('Table 2 StormwaterGroundwater'!E18)/$AC$11)</f>
        <v>165.78218203729466</v>
      </c>
      <c r="AD27" s="564">
        <f>$AD$16*(('Table 2 StormwaterGroundwater'!E18)/$AD$11)</f>
        <v>103.29441620357672</v>
      </c>
      <c r="AE27" s="564">
        <f>$AE$16*(('Table 2 StormwaterGroundwater'!E18+'Table 2 StormwaterGroundwater'!C18)/$AE$11)</f>
        <v>215.17076275656953</v>
      </c>
      <c r="AF27" s="564">
        <f>$AF$16*(('Table 2 StormwaterGroundwater'!F18+'Table 2 StormwaterGroundwater'!E18+'Table 2 StormwaterGroundwater'!C18)/$AF$11)</f>
        <v>95.621872603362846</v>
      </c>
      <c r="AG27" s="564">
        <f>$AG$16*(('Table 2 StormwaterGroundwater'!F18+'Table 2 StormwaterGroundwater'!E18+'Table 2 StormwaterGroundwater'!C18)/$AG$11)</f>
        <v>477.89733537394443</v>
      </c>
      <c r="AH27" s="568">
        <f>30*'Table 5 Flows to Evap &amp; WTP'!F15</f>
        <v>268.21510770114077</v>
      </c>
    </row>
    <row r="28" spans="2:34" ht="14.25" x14ac:dyDescent="0.2">
      <c r="B28" s="340">
        <v>1</v>
      </c>
      <c r="C28" s="626">
        <f t="shared" ref="C28:C59" si="38">$I$14*(N18/($S$18+$U$18+$V$18+$W$18+$Y$18+$AA$18+$AC$18+$AD$23+$AE$23))</f>
        <v>453068.74052090297</v>
      </c>
      <c r="D28" s="626">
        <f t="shared" ref="D28:D59" si="39">($I$15+$I$18+$I$19)*(O18/($Q$23+$AF$23+$AG$23+$AH$23))</f>
        <v>0</v>
      </c>
      <c r="E28" s="627">
        <f t="shared" ref="E28:E59" si="40">C28+D28</f>
        <v>453068.74052090297</v>
      </c>
      <c r="F28" s="126"/>
      <c r="G28" s="126"/>
      <c r="H28" s="127"/>
      <c r="I28" s="53"/>
      <c r="L28" s="91"/>
      <c r="M28" s="155">
        <f t="shared" si="35"/>
        <v>11</v>
      </c>
      <c r="N28" s="562">
        <f t="shared" si="32"/>
        <v>510.7059718478277</v>
      </c>
      <c r="O28" s="341">
        <f t="shared" si="33"/>
        <v>939.0952478982116</v>
      </c>
      <c r="P28" s="569">
        <f t="shared" si="34"/>
        <v>1476.920785574172</v>
      </c>
      <c r="Q28" s="156">
        <f t="shared" si="36"/>
        <v>136.52834962853723</v>
      </c>
      <c r="R28" s="156">
        <f t="shared" si="37"/>
        <v>27.119565828132657</v>
      </c>
      <c r="S28" s="564">
        <v>0</v>
      </c>
      <c r="T28" s="565">
        <f>$T$16*(('Table 2 StormwaterGroundwater'!H19/2)/'Table 13 Power Costs'!$T$11)</f>
        <v>0.13654705596859373</v>
      </c>
      <c r="U28" s="571">
        <f>$U$16*('Table 2 StormwaterGroundwater'!Y19/'Table 13 Power Costs'!$U$11)</f>
        <v>0.11018361100216202</v>
      </c>
      <c r="V28" s="564">
        <f>$V$16*(('Table 2 StormwaterGroundwater'!Y19+'Table 2 StormwaterGroundwater'!AE19+'Table 2 StormwaterGroundwater'!W19+5)/$V$11)</f>
        <v>4.9876815185726731</v>
      </c>
      <c r="W28" s="564">
        <f>$W$16*(('Table 2 StormwaterGroundwater'!Y19+'Table 2 StormwaterGroundwater'!AE19+'Table 2 StormwaterGroundwater'!W19+'Table 2 StormwaterGroundwater'!U19+'Table 2 StormwaterGroundwater'!O19+'Table 2 StormwaterGroundwater'!S19+5)/$W$11)</f>
        <v>7.5767737029540481</v>
      </c>
      <c r="X28" s="564">
        <f>$X$16*(('Table 2 StormwaterGroundwater'!Q19+5)/'Table 13 Power Costs'!$X$11)</f>
        <v>1.8693610231714686</v>
      </c>
      <c r="Y28" s="566">
        <f>$Y$16*(('Table 2 StormwaterGroundwater'!AC19+'Table 2 StormwaterGroundwater'!AA19+'Table 2 StormwaterGroundwater'!Q19+'Table 2 StormwaterGroundwater'!M19+'Table 2 StormwaterGroundwater'!K19+5)/$Y$11)</f>
        <v>4.1782398321221077</v>
      </c>
      <c r="Z28" s="566">
        <f>$Z$16*(('Table 2 StormwaterGroundwater'!S19*0.3)/$Z$11)</f>
        <v>0.96956268621250741</v>
      </c>
      <c r="AA28" s="567">
        <v>0</v>
      </c>
      <c r="AB28" s="567">
        <f>$AB$16*(('Table 2 StormwaterGroundwater'!I19+'Table 2 StormwaterGroundwater'!G19)/$AB$11)</f>
        <v>31.036461193019704</v>
      </c>
      <c r="AC28" s="564">
        <f>$AC$16*(('Table 2 StormwaterGroundwater'!E19)/$AC$11)</f>
        <v>157.49307293542989</v>
      </c>
      <c r="AD28" s="564">
        <f>$AD$16*(('Table 2 StormwaterGroundwater'!E19)/$AD$11)</f>
        <v>98.129695393397867</v>
      </c>
      <c r="AE28" s="564">
        <f>$AE$16*(('Table 2 StormwaterGroundwater'!E19+'Table 2 StormwaterGroundwater'!C19)/$AE$11)</f>
        <v>204.21839289597671</v>
      </c>
      <c r="AF28" s="564">
        <f>$AF$16*(('Table 2 StormwaterGroundwater'!F19+'Table 2 StormwaterGroundwater'!E19+'Table 2 StormwaterGroundwater'!C19)/$AF$11)</f>
        <v>92.054468598491098</v>
      </c>
      <c r="AG28" s="564">
        <f>$AG$16*(('Table 2 StormwaterGroundwater'!F19+'Table 2 StormwaterGroundwater'!E19+'Table 2 StormwaterGroundwater'!C19)/$AG$11)</f>
        <v>460.06822555089968</v>
      </c>
      <c r="AH28" s="568">
        <f>30*'Table 5 Flows to Evap &amp; WTP'!F16</f>
        <v>250.44420412028362</v>
      </c>
    </row>
    <row r="29" spans="2:34" ht="14.25" x14ac:dyDescent="0.2">
      <c r="B29" s="345">
        <f t="shared" ref="B29:B60" si="41">B28+1</f>
        <v>2</v>
      </c>
      <c r="C29" s="628">
        <f t="shared" si="38"/>
        <v>262059.03485716876</v>
      </c>
      <c r="D29" s="628">
        <f t="shared" si="39"/>
        <v>0</v>
      </c>
      <c r="E29" s="629">
        <f t="shared" si="40"/>
        <v>262059.03485716876</v>
      </c>
      <c r="F29" s="126"/>
      <c r="G29" s="126"/>
      <c r="H29" s="127"/>
      <c r="I29" s="53"/>
      <c r="L29" s="91"/>
      <c r="M29" s="155">
        <f t="shared" si="35"/>
        <v>12</v>
      </c>
      <c r="N29" s="562">
        <f t="shared" si="32"/>
        <v>483.94300579194055</v>
      </c>
      <c r="O29" s="341">
        <f t="shared" si="33"/>
        <v>908.97106368538971</v>
      </c>
      <c r="P29" s="569">
        <f t="shared" si="34"/>
        <v>1420.0336353054627</v>
      </c>
      <c r="Q29" s="156">
        <f t="shared" si="36"/>
        <v>136.52834962853723</v>
      </c>
      <c r="R29" s="156">
        <f t="shared" si="37"/>
        <v>27.119565828132657</v>
      </c>
      <c r="S29" s="564">
        <v>0</v>
      </c>
      <c r="T29" s="565">
        <f>$T$16*(('Table 2 StormwaterGroundwater'!H20/2)/'Table 13 Power Costs'!$T$11)</f>
        <v>0.13654705596859373</v>
      </c>
      <c r="U29" s="571">
        <f>$U$16*('Table 2 StormwaterGroundwater'!Y20/'Table 13 Power Costs'!$U$11)</f>
        <v>0.11018361100216202</v>
      </c>
      <c r="V29" s="564">
        <f>$V$16*(('Table 2 StormwaterGroundwater'!Y20+'Table 2 StormwaterGroundwater'!AE20+'Table 2 StormwaterGroundwater'!W20+5)/$V$11)</f>
        <v>4.9876815185726731</v>
      </c>
      <c r="W29" s="564">
        <f>$W$16*(('Table 2 StormwaterGroundwater'!Y20+'Table 2 StormwaterGroundwater'!AE20+'Table 2 StormwaterGroundwater'!W20+'Table 2 StormwaterGroundwater'!U20+'Table 2 StormwaterGroundwater'!O20+'Table 2 StormwaterGroundwater'!S20+5)/$W$11)</f>
        <v>5.1274103526420234</v>
      </c>
      <c r="X29" s="564">
        <f>$X$16*(('Table 2 StormwaterGroundwater'!Q20+5)/'Table 13 Power Costs'!$X$11)</f>
        <v>1.6936012675271679</v>
      </c>
      <c r="Y29" s="566">
        <f>$Y$16*(('Table 2 StormwaterGroundwater'!AC20+'Table 2 StormwaterGroundwater'!AA20+'Table 2 StormwaterGroundwater'!Q20+'Table 2 StormwaterGroundwater'!M20+'Table 2 StormwaterGroundwater'!K20+5)/$Y$11)</f>
        <v>4.0012245926617869</v>
      </c>
      <c r="Z29" s="566">
        <f>$Z$16*(('Table 2 StormwaterGroundwater'!S20*0.3)/$Z$11)</f>
        <v>0.10624409431720903</v>
      </c>
      <c r="AA29" s="567">
        <v>0</v>
      </c>
      <c r="AB29" s="567">
        <f>$AB$16*(('Table 2 StormwaterGroundwater'!I20+'Table 2 StormwaterGroundwater'!G20)/$AB$11)</f>
        <v>31.036461193019704</v>
      </c>
      <c r="AC29" s="564">
        <f>$AC$16*(('Table 2 StormwaterGroundwater'!E20)/$AC$11)</f>
        <v>149.6184192886584</v>
      </c>
      <c r="AD29" s="564">
        <f>$AD$16*(('Table 2 StormwaterGroundwater'!E20)/$AD$11)</f>
        <v>93.223210623727979</v>
      </c>
      <c r="AE29" s="564">
        <f>$AE$16*(('Table 2 StormwaterGroundwater'!E20+'Table 2 StormwaterGroundwater'!C20)/$AE$11)</f>
        <v>193.90202219384284</v>
      </c>
      <c r="AF29" s="564">
        <f>$AF$16*(('Table 2 StormwaterGroundwater'!F20+'Table 2 StormwaterGroundwater'!E20+'Table 2 StormwaterGroundwater'!C20)/$AF$11)</f>
        <v>88.694222128825047</v>
      </c>
      <c r="AG29" s="564">
        <f>$AG$16*(('Table 2 StormwaterGroundwater'!F20+'Table 2 StormwaterGroundwater'!E20+'Table 2 StormwaterGroundwater'!C20)/$AG$11)</f>
        <v>443.27444406207496</v>
      </c>
      <c r="AH29" s="568">
        <f>30*'Table 5 Flows to Evap &amp; WTP'!F17</f>
        <v>240.47404786595246</v>
      </c>
    </row>
    <row r="30" spans="2:34" ht="14.25" x14ac:dyDescent="0.2">
      <c r="B30" s="345">
        <f t="shared" si="41"/>
        <v>3</v>
      </c>
      <c r="C30" s="628">
        <f t="shared" si="38"/>
        <v>189477.43658719363</v>
      </c>
      <c r="D30" s="628">
        <f t="shared" si="39"/>
        <v>0</v>
      </c>
      <c r="E30" s="629">
        <f t="shared" si="40"/>
        <v>189477.43658719363</v>
      </c>
      <c r="F30" s="126"/>
      <c r="G30" s="126"/>
      <c r="H30" s="127"/>
      <c r="I30" s="53"/>
      <c r="L30" s="91"/>
      <c r="M30" s="155">
        <f t="shared" si="35"/>
        <v>13</v>
      </c>
      <c r="N30" s="562">
        <f t="shared" si="32"/>
        <v>459.5537502856929</v>
      </c>
      <c r="O30" s="341">
        <f t="shared" si="33"/>
        <v>870.17283023270784</v>
      </c>
      <c r="P30" s="569">
        <f t="shared" si="34"/>
        <v>1356.8461463465333</v>
      </c>
      <c r="Q30" s="156">
        <f t="shared" si="36"/>
        <v>136.52834962853723</v>
      </c>
      <c r="R30" s="156">
        <f t="shared" si="37"/>
        <v>27.119565828132657</v>
      </c>
      <c r="S30" s="564">
        <v>0</v>
      </c>
      <c r="T30" s="565">
        <f>$T$16*(('Table 2 StormwaterGroundwater'!H21/2)/'Table 13 Power Costs'!$T$11)</f>
        <v>0.13654705596859373</v>
      </c>
      <c r="U30" s="571">
        <f>$U$16*('Table 2 StormwaterGroundwater'!Y21/'Table 13 Power Costs'!$U$11)</f>
        <v>0.11018361100216202</v>
      </c>
      <c r="V30" s="564">
        <f>$V$16*(('Table 2 StormwaterGroundwater'!Y21+'Table 2 StormwaterGroundwater'!AE21+'Table 2 StormwaterGroundwater'!W21+5)/$V$11)</f>
        <v>4.9876815185726731</v>
      </c>
      <c r="W30" s="564">
        <f>$W$16*(('Table 2 StormwaterGroundwater'!Y21+'Table 2 StormwaterGroundwater'!AE21+'Table 2 StormwaterGroundwater'!W21+'Table 2 StormwaterGroundwater'!U21+'Table 2 StormwaterGroundwater'!O21+'Table 2 StormwaterGroundwater'!S21+5)/$W$11)</f>
        <v>5.1274103526420234</v>
      </c>
      <c r="X30" s="565">
        <f>$X$16*(('Table 2 StormwaterGroundwater'!Q21+5)/'Table 13 Power Costs'!$X$11)</f>
        <v>0.4381744414964488</v>
      </c>
      <c r="Y30" s="566">
        <f>$Y$16*(('Table 2 StormwaterGroundwater'!AC21+'Table 2 StormwaterGroundwater'!AA21+'Table 2 StormwaterGroundwater'!Q21+'Table 2 StormwaterGroundwater'!M21+'Table 2 StormwaterGroundwater'!K21+5)/$Y$11)</f>
        <v>2.7368300250880653</v>
      </c>
      <c r="Z30" s="566">
        <f>$Z$16*(('Table 2 StormwaterGroundwater'!S21*0.3)/$Z$11)</f>
        <v>0.10624409431720903</v>
      </c>
      <c r="AA30" s="567">
        <v>0</v>
      </c>
      <c r="AB30" s="567">
        <f>$AB$16*(('Table 2 StormwaterGroundwater'!I21+'Table 2 StormwaterGroundwater'!G21)/$AB$11)</f>
        <v>31.036461193019704</v>
      </c>
      <c r="AC30" s="564">
        <f>$AC$16*(('Table 2 StormwaterGroundwater'!E21)/$AC$11)</f>
        <v>142.13749832422548</v>
      </c>
      <c r="AD30" s="564">
        <f>$AD$16*(('Table 2 StormwaterGroundwater'!E21)/$AD$11)</f>
        <v>88.562050092541568</v>
      </c>
      <c r="AE30" s="564">
        <f>$AE$16*(('Table 2 StormwaterGroundwater'!E21+'Table 2 StormwaterGroundwater'!C21)/$AE$11)</f>
        <v>184.17466957681901</v>
      </c>
      <c r="AF30" s="564">
        <f>$AF$16*(('Table 2 StormwaterGroundwater'!F21+'Table 2 StormwaterGroundwater'!E21+'Table 2 StormwaterGroundwater'!C21)/$AF$11)</f>
        <v>85.525830527329944</v>
      </c>
      <c r="AG30" s="564">
        <f>$AG$16*(('Table 2 StormwaterGroundwater'!F21+'Table 2 StormwaterGroundwater'!E21+'Table 2 StormwaterGroundwater'!C21)/$AG$11)</f>
        <v>427.43951150374272</v>
      </c>
      <c r="AH30" s="568">
        <f>30*'Table 5 Flows to Evap &amp; WTP'!F18</f>
        <v>220.67913857309793</v>
      </c>
    </row>
    <row r="31" spans="2:34" ht="14.25" x14ac:dyDescent="0.2">
      <c r="B31" s="345">
        <f t="shared" si="41"/>
        <v>4</v>
      </c>
      <c r="C31" s="628">
        <f t="shared" si="38"/>
        <v>183308.24570518598</v>
      </c>
      <c r="D31" s="628">
        <f t="shared" si="39"/>
        <v>0</v>
      </c>
      <c r="E31" s="629">
        <f t="shared" si="40"/>
        <v>183308.24570518598</v>
      </c>
      <c r="F31" s="126"/>
      <c r="G31" s="126"/>
      <c r="H31" s="127"/>
      <c r="I31" s="53"/>
      <c r="L31" s="91"/>
      <c r="M31" s="155">
        <f t="shared" si="35"/>
        <v>14</v>
      </c>
      <c r="N31" s="562">
        <f t="shared" si="32"/>
        <v>435.80974768673343</v>
      </c>
      <c r="O31" s="341">
        <f t="shared" si="33"/>
        <v>828.29168938093528</v>
      </c>
      <c r="P31" s="569">
        <f t="shared" si="34"/>
        <v>1291.2210028958016</v>
      </c>
      <c r="Q31" s="156">
        <f t="shared" si="36"/>
        <v>136.52834962853723</v>
      </c>
      <c r="R31" s="156">
        <f t="shared" si="37"/>
        <v>27.119565828132657</v>
      </c>
      <c r="S31" s="564">
        <v>0</v>
      </c>
      <c r="T31" s="565">
        <f>$T$16*(('Table 2 StormwaterGroundwater'!H22/2)/'Table 13 Power Costs'!$T$11)</f>
        <v>0.13654705596859373</v>
      </c>
      <c r="U31" s="571">
        <f>$U$16*('Table 2 StormwaterGroundwater'!Y22/'Table 13 Power Costs'!$U$11)</f>
        <v>0.11018361100216202</v>
      </c>
      <c r="V31" s="564">
        <f>$V$16*(('Table 2 StormwaterGroundwater'!Y22+'Table 2 StormwaterGroundwater'!AE22+'Table 2 StormwaterGroundwater'!W22+5)/$V$11)</f>
        <v>4.9876815185726731</v>
      </c>
      <c r="W31" s="564">
        <f>$W$16*(('Table 2 StormwaterGroundwater'!Y22+'Table 2 StormwaterGroundwater'!AE22+'Table 2 StormwaterGroundwater'!W22+'Table 2 StormwaterGroundwater'!U22+'Table 2 StormwaterGroundwater'!O22+'Table 2 StormwaterGroundwater'!S22+5)/$W$11)</f>
        <v>2.8428497293461734</v>
      </c>
      <c r="X31" s="565">
        <f>$X$16*(('Table 2 StormwaterGroundwater'!Q22+5)/'Table 13 Power Costs'!$X$11)</f>
        <v>0.39668650810496492</v>
      </c>
      <c r="Y31" s="566">
        <f>$Y$16*(('Table 2 StormwaterGroundwater'!AC22+'Table 2 StormwaterGroundwater'!AA22+'Table 2 StormwaterGroundwater'!Q22+'Table 2 StormwaterGroundwater'!M22+'Table 2 StormwaterGroundwater'!K22+5)/$Y$11)</f>
        <v>2.0349601554907406</v>
      </c>
      <c r="Z31" s="566">
        <f>$Z$16*(('Table 2 StormwaterGroundwater'!S22*0.3)/$Z$11)</f>
        <v>0.10624409431720903</v>
      </c>
      <c r="AA31" s="567">
        <v>0</v>
      </c>
      <c r="AB31" s="567">
        <f>$AB$16*(('Table 2 StormwaterGroundwater'!I22+'Table 2 StormwaterGroundwater'!G22)/$AB$11)</f>
        <v>31.036461193019704</v>
      </c>
      <c r="AC31" s="564">
        <f>$AC$16*(('Table 2 StormwaterGroundwater'!E22)/$AC$11)</f>
        <v>135.03062340801421</v>
      </c>
      <c r="AD31" s="564">
        <f>$AD$16*(('Table 2 StormwaterGroundwater'!E22)/$AD$11)</f>
        <v>84.133947587914491</v>
      </c>
      <c r="AE31" s="564">
        <f>$AE$16*(('Table 2 StormwaterGroundwater'!E22+'Table 2 StormwaterGroundwater'!C22)/$AE$11)</f>
        <v>174.99356282498249</v>
      </c>
      <c r="AF31" s="564">
        <f>$AF$16*(('Table 2 StormwaterGroundwater'!F22+'Table 2 StormwaterGroundwater'!E22+'Table 2 StormwaterGroundwater'!C22)/$AF$11)</f>
        <v>82.535362033976526</v>
      </c>
      <c r="AG31" s="564">
        <f>$AG$16*(('Table 2 StormwaterGroundwater'!F22+'Table 2 StormwaterGroundwater'!E22+'Table 2 StormwaterGroundwater'!C22)/$AG$11)</f>
        <v>412.49379996741504</v>
      </c>
      <c r="AH31" s="568">
        <f>30*'Table 5 Flows to Evap &amp; WTP'!F19</f>
        <v>196.73417775100657</v>
      </c>
    </row>
    <row r="32" spans="2:34" ht="14.25" x14ac:dyDescent="0.2">
      <c r="B32" s="345">
        <f t="shared" si="41"/>
        <v>5</v>
      </c>
      <c r="C32" s="628">
        <f t="shared" si="38"/>
        <v>177320.06698868866</v>
      </c>
      <c r="D32" s="628">
        <f t="shared" si="39"/>
        <v>0</v>
      </c>
      <c r="E32" s="629">
        <f t="shared" si="40"/>
        <v>177320.06698868866</v>
      </c>
      <c r="F32" s="126"/>
      <c r="G32" s="126"/>
      <c r="H32" s="127"/>
      <c r="I32" s="53"/>
      <c r="L32" s="91"/>
      <c r="M32" s="155">
        <f t="shared" si="35"/>
        <v>15</v>
      </c>
      <c r="N32" s="562">
        <f t="shared" si="32"/>
        <v>415.24382999379156</v>
      </c>
      <c r="O32" s="341">
        <f t="shared" si="33"/>
        <v>796.15219235826203</v>
      </c>
      <c r="P32" s="569">
        <f t="shared" si="34"/>
        <v>1238.5155881801863</v>
      </c>
      <c r="Q32" s="156">
        <f t="shared" si="36"/>
        <v>136.52834962853723</v>
      </c>
      <c r="R32" s="156">
        <f t="shared" si="37"/>
        <v>27.119565828132657</v>
      </c>
      <c r="S32" s="564">
        <v>0</v>
      </c>
      <c r="T32" s="565">
        <f>$T$16*(('Table 2 StormwaterGroundwater'!H23/2)/'Table 13 Power Costs'!$T$11)</f>
        <v>0.13654705596859373</v>
      </c>
      <c r="U32" s="571">
        <f>$U$16*('Table 2 StormwaterGroundwater'!Y23/'Table 13 Power Costs'!$U$11)</f>
        <v>0.11018361100216202</v>
      </c>
      <c r="V32" s="564">
        <f>$V$16*(('Table 2 StormwaterGroundwater'!Y23+'Table 2 StormwaterGroundwater'!AE23+'Table 2 StormwaterGroundwater'!W23+5)/$V$11)</f>
        <v>4.9876815185726731</v>
      </c>
      <c r="W32" s="564">
        <f>$W$16*(('Table 2 StormwaterGroundwater'!Y23+'Table 2 StormwaterGroundwater'!AE23+'Table 2 StormwaterGroundwater'!W23+'Table 2 StormwaterGroundwater'!U23+'Table 2 StormwaterGroundwater'!O23+'Table 2 StormwaterGroundwater'!S23+5)/$W$11)</f>
        <v>2.8428497293461734</v>
      </c>
      <c r="X32" s="565">
        <f>$X$16*(('Table 2 StormwaterGroundwater'!Q23+5)/'Table 13 Power Costs'!$X$11)</f>
        <v>0.39668650810496492</v>
      </c>
      <c r="Y32" s="566">
        <f>$Y$16*(('Table 2 StormwaterGroundwater'!AC23+'Table 2 StormwaterGroundwater'!AA23+'Table 2 StormwaterGroundwater'!Q23+'Table 2 StormwaterGroundwater'!M23+'Table 2 StormwaterGroundwater'!K23+5)/$Y$11)</f>
        <v>1.1039508742889963</v>
      </c>
      <c r="Z32" s="566">
        <f>$Z$16*(('Table 2 StormwaterGroundwater'!S23*0.3)/$Z$11)</f>
        <v>0.10624409431720903</v>
      </c>
      <c r="AA32" s="567">
        <v>0</v>
      </c>
      <c r="AB32" s="567">
        <f>$AB$16*(('Table 2 StormwaterGroundwater'!I23+'Table 2 StormwaterGroundwater'!G23)/$AB$11)</f>
        <v>31.036461193019704</v>
      </c>
      <c r="AC32" s="564">
        <f>$AC$16*(('Table 2 StormwaterGroundwater'!E23)/$AC$11)</f>
        <v>128.2790922376135</v>
      </c>
      <c r="AD32" s="564">
        <f>$AD$16*(('Table 2 StormwaterGroundwater'!E23)/$AD$11)</f>
        <v>79.927250208518771</v>
      </c>
      <c r="AE32" s="564">
        <f>$AE$16*(('Table 2 StormwaterGroundwater'!E23+'Table 2 StormwaterGroundwater'!C23)/$AE$11)</f>
        <v>166.31688296303886</v>
      </c>
      <c r="AF32" s="564">
        <f>$AF$16*(('Table 2 StormwaterGroundwater'!F23+'Table 2 StormwaterGroundwater'!E23+'Table 2 StormwaterGroundwater'!C23)/$AF$11)</f>
        <v>79.70919537940992</v>
      </c>
      <c r="AG32" s="564">
        <f>$AG$16*(('Table 2 StormwaterGroundwater'!F23+'Table 2 StormwaterGroundwater'!E23+'Table 2 StormwaterGroundwater'!C23)/$AG$11)</f>
        <v>398.36923330950822</v>
      </c>
      <c r="AH32" s="568">
        <f>30*'Table 5 Flows to Evap &amp; WTP'!F20</f>
        <v>181.54541404080663</v>
      </c>
    </row>
    <row r="33" spans="2:34" ht="14.25" x14ac:dyDescent="0.2">
      <c r="B33" s="345">
        <f t="shared" si="41"/>
        <v>6</v>
      </c>
      <c r="C33" s="628">
        <f t="shared" si="38"/>
        <v>201478.60326561157</v>
      </c>
      <c r="D33" s="628">
        <f t="shared" si="39"/>
        <v>302634.94424335571</v>
      </c>
      <c r="E33" s="629">
        <f t="shared" si="40"/>
        <v>504113.54750896728</v>
      </c>
      <c r="F33" s="126"/>
      <c r="G33" s="126"/>
      <c r="H33" s="127"/>
      <c r="I33" s="53"/>
      <c r="L33" s="91"/>
      <c r="M33" s="155">
        <f t="shared" si="35"/>
        <v>16</v>
      </c>
      <c r="N33" s="562">
        <f t="shared" si="32"/>
        <v>396.62986978127128</v>
      </c>
      <c r="O33" s="341">
        <f t="shared" si="33"/>
        <v>776.96341996897331</v>
      </c>
      <c r="P33" s="569">
        <f t="shared" si="34"/>
        <v>1200.7128555783775</v>
      </c>
      <c r="Q33" s="156">
        <f t="shared" si="36"/>
        <v>136.52834962853723</v>
      </c>
      <c r="R33" s="156">
        <f t="shared" si="37"/>
        <v>27.119565828132657</v>
      </c>
      <c r="S33" s="564">
        <v>0</v>
      </c>
      <c r="T33" s="565">
        <f>$T$16*(('Table 2 StormwaterGroundwater'!H24/2)/'Table 13 Power Costs'!$T$11)</f>
        <v>0.13654705596859373</v>
      </c>
      <c r="U33" s="571">
        <f>$U$16*('Table 2 StormwaterGroundwater'!Y24/'Table 13 Power Costs'!$U$11)</f>
        <v>0.11018361100216202</v>
      </c>
      <c r="V33" s="564">
        <f>$V$16*(('Table 2 StormwaterGroundwater'!Y24+'Table 2 StormwaterGroundwater'!AE24+'Table 2 StormwaterGroundwater'!W24+5)/$V$11)</f>
        <v>4.9876815185726731</v>
      </c>
      <c r="W33" s="564">
        <f>$W$16*(('Table 2 StormwaterGroundwater'!Y24+'Table 2 StormwaterGroundwater'!AE24+'Table 2 StormwaterGroundwater'!W24+'Table 2 StormwaterGroundwater'!U24+'Table 2 StormwaterGroundwater'!O24+'Table 2 StormwaterGroundwater'!S24+5)/$W$11)</f>
        <v>2.8428497293461734</v>
      </c>
      <c r="X33" s="565">
        <f>$X$16*(('Table 2 StormwaterGroundwater'!Q24+5)/'Table 13 Power Costs'!$X$11)</f>
        <v>0.39668650810496492</v>
      </c>
      <c r="Y33" s="566">
        <f>$Y$16*(('Table 2 StormwaterGroundwater'!AC24+'Table 2 StormwaterGroundwater'!AA24+'Table 2 StormwaterGroundwater'!Q24+'Table 2 StormwaterGroundwater'!M24+'Table 2 StormwaterGroundwater'!K24+5)/$Y$11)</f>
        <v>1.1039508742889963</v>
      </c>
      <c r="Z33" s="566">
        <f>$Z$16*(('Table 2 StormwaterGroundwater'!S24*0.3)/$Z$11)</f>
        <v>0.10624409431720903</v>
      </c>
      <c r="AA33" s="567">
        <v>0</v>
      </c>
      <c r="AB33" s="567">
        <f>$AB$16*(('Table 2 StormwaterGroundwater'!I24+'Table 2 StormwaterGroundwater'!G24)/$AB$11)</f>
        <v>31.036461193019704</v>
      </c>
      <c r="AC33" s="564">
        <f>$AC$16*(('Table 2 StormwaterGroundwater'!E24)/$AC$11)</f>
        <v>121.86513762573283</v>
      </c>
      <c r="AD33" s="564">
        <f>$AD$16*(('Table 2 StormwaterGroundwater'!E24)/$AD$11)</f>
        <v>75.930887698092832</v>
      </c>
      <c r="AE33" s="564">
        <f>$AE$16*(('Table 2 StormwaterGroundwater'!E24+'Table 2 StormwaterGroundwater'!C24)/$AE$11)</f>
        <v>158.11323987282518</v>
      </c>
      <c r="AF33" s="564">
        <f>$AF$16*(('Table 2 StormwaterGroundwater'!F24+'Table 2 StormwaterGroundwater'!E24+'Table 2 StormwaterGroundwater'!C24)/$AF$11)</f>
        <v>77.03710617980515</v>
      </c>
      <c r="AG33" s="564">
        <f>$AG$16*(('Table 2 StormwaterGroundwater'!F24+'Table 2 StormwaterGroundwater'!E24+'Table 2 StormwaterGroundwater'!C24)/$AG$11)</f>
        <v>385.01471228198642</v>
      </c>
      <c r="AH33" s="568">
        <f>30*'Table 5 Flows to Evap &amp; WTP'!F21</f>
        <v>178.3832518786445</v>
      </c>
    </row>
    <row r="34" spans="2:34" ht="14.25" x14ac:dyDescent="0.2">
      <c r="B34" s="345">
        <f t="shared" si="41"/>
        <v>7</v>
      </c>
      <c r="C34" s="628">
        <f t="shared" si="38"/>
        <v>192930.03548397523</v>
      </c>
      <c r="D34" s="628">
        <f t="shared" si="39"/>
        <v>291379.88984994555</v>
      </c>
      <c r="E34" s="629">
        <f t="shared" si="40"/>
        <v>484309.92533392075</v>
      </c>
      <c r="F34" s="126"/>
      <c r="G34" s="126"/>
      <c r="H34" s="127"/>
      <c r="I34" s="53"/>
      <c r="L34" s="91"/>
      <c r="M34" s="155">
        <f t="shared" si="35"/>
        <v>17</v>
      </c>
      <c r="N34" s="562">
        <f t="shared" si="32"/>
        <v>378.97378271272885</v>
      </c>
      <c r="O34" s="341">
        <f t="shared" si="33"/>
        <v>758.8114997748354</v>
      </c>
      <c r="P34" s="569">
        <f t="shared" si="34"/>
        <v>1164.9048483156971</v>
      </c>
      <c r="Q34" s="156">
        <f t="shared" si="36"/>
        <v>136.52834962853723</v>
      </c>
      <c r="R34" s="156">
        <f t="shared" si="37"/>
        <v>27.119565828132657</v>
      </c>
      <c r="S34" s="564">
        <v>0</v>
      </c>
      <c r="T34" s="565">
        <f>$T$16*(('Table 2 StormwaterGroundwater'!H25/2)/'Table 13 Power Costs'!$T$11)</f>
        <v>0.13654705596859373</v>
      </c>
      <c r="U34" s="571">
        <f>$U$16*('Table 2 StormwaterGroundwater'!Y25/'Table 13 Power Costs'!$U$11)</f>
        <v>0.11018361100216202</v>
      </c>
      <c r="V34" s="564">
        <f>$V$16*(('Table 2 StormwaterGroundwater'!Y25+'Table 2 StormwaterGroundwater'!AE25+'Table 2 StormwaterGroundwater'!W25+5)/$V$11)</f>
        <v>4.9876815185726731</v>
      </c>
      <c r="W34" s="564">
        <f>$W$16*(('Table 2 StormwaterGroundwater'!Y25+'Table 2 StormwaterGroundwater'!AE25+'Table 2 StormwaterGroundwater'!W25+'Table 2 StormwaterGroundwater'!U25+'Table 2 StormwaterGroundwater'!O25+'Table 2 StormwaterGroundwater'!S25+5)/$W$11)</f>
        <v>2.8428497293461734</v>
      </c>
      <c r="X34" s="565">
        <f>$X$16*(('Table 2 StormwaterGroundwater'!Q25+5)/'Table 13 Power Costs'!$X$11)</f>
        <v>0.39668650810496492</v>
      </c>
      <c r="Y34" s="566">
        <f>$Y$16*(('Table 2 StormwaterGroundwater'!AC25+'Table 2 StormwaterGroundwater'!AA25+'Table 2 StormwaterGroundwater'!Q25+'Table 2 StormwaterGroundwater'!M25+'Table 2 StormwaterGroundwater'!K25+5)/$Y$11)</f>
        <v>1.1039508742889963</v>
      </c>
      <c r="Z34" s="566">
        <f>$Z$16*(('Table 2 StormwaterGroundwater'!S25*0.3)/$Z$11)</f>
        <v>0.10624409431720903</v>
      </c>
      <c r="AA34" s="567">
        <v>0</v>
      </c>
      <c r="AB34" s="567">
        <f>$AB$16*(('Table 2 StormwaterGroundwater'!I25+'Table 2 StormwaterGroundwater'!G25)/$AB$11)</f>
        <v>31.036461193019704</v>
      </c>
      <c r="AC34" s="564">
        <f>$AC$16*(('Table 2 StormwaterGroundwater'!E25)/$AC$11)</f>
        <v>115.77188074444618</v>
      </c>
      <c r="AD34" s="564">
        <f>$AD$16*(('Table 2 StormwaterGroundwater'!E25)/$AD$11)</f>
        <v>72.134343313188182</v>
      </c>
      <c r="AE34" s="564">
        <f>$AE$16*(('Table 2 StormwaterGroundwater'!E25+'Table 2 StormwaterGroundwater'!C25)/$AE$11)</f>
        <v>150.34695407047403</v>
      </c>
      <c r="AF34" s="564">
        <f>$AF$16*(('Table 2 StormwaterGroundwater'!F25+'Table 2 StormwaterGroundwater'!E25+'Table 2 StormwaterGroundwater'!C25)/$AF$11)</f>
        <v>74.507472919886524</v>
      </c>
      <c r="AG34" s="564">
        <f>$AG$16*(('Table 2 StormwaterGroundwater'!F25+'Table 2 StormwaterGroundwater'!E25+'Table 2 StormwaterGroundwater'!C25)/$AG$11)</f>
        <v>372.37215507749698</v>
      </c>
      <c r="AH34" s="568">
        <f>30*'Table 5 Flows to Evap &amp; WTP'!F22</f>
        <v>175.40352214891473</v>
      </c>
    </row>
    <row r="35" spans="2:34" ht="14.25" x14ac:dyDescent="0.2">
      <c r="B35" s="345">
        <f t="shared" si="41"/>
        <v>8</v>
      </c>
      <c r="C35" s="628">
        <f t="shared" si="38"/>
        <v>183736.66272332892</v>
      </c>
      <c r="D35" s="628">
        <f t="shared" si="39"/>
        <v>279046.06900833995</v>
      </c>
      <c r="E35" s="629">
        <f t="shared" si="40"/>
        <v>462782.73173166887</v>
      </c>
      <c r="F35" s="126"/>
      <c r="G35" s="126"/>
      <c r="H35" s="127"/>
      <c r="I35" s="53"/>
      <c r="L35" s="91"/>
      <c r="M35" s="155">
        <f t="shared" si="35"/>
        <v>18</v>
      </c>
      <c r="N35" s="562">
        <f t="shared" si="32"/>
        <v>362.22248346900568</v>
      </c>
      <c r="O35" s="341">
        <f t="shared" si="33"/>
        <v>741.58275756312969</v>
      </c>
      <c r="P35" s="569">
        <f t="shared" si="34"/>
        <v>1130.9248068602681</v>
      </c>
      <c r="Q35" s="156">
        <f t="shared" si="36"/>
        <v>136.52834962853723</v>
      </c>
      <c r="R35" s="156">
        <f t="shared" si="37"/>
        <v>27.119565828132657</v>
      </c>
      <c r="S35" s="564">
        <v>0</v>
      </c>
      <c r="T35" s="565">
        <f>$T$16*(('Table 2 StormwaterGroundwater'!H26/2)/'Table 13 Power Costs'!$T$11)</f>
        <v>0.13654705596859373</v>
      </c>
      <c r="U35" s="571">
        <f>$U$16*('Table 2 StormwaterGroundwater'!Y26/'Table 13 Power Costs'!$U$11)</f>
        <v>0.11018361100216202</v>
      </c>
      <c r="V35" s="564">
        <f>$V$16*(('Table 2 StormwaterGroundwater'!Y26+'Table 2 StormwaterGroundwater'!AE26+'Table 2 StormwaterGroundwater'!W26+5)/$V$11)</f>
        <v>4.9876815185726731</v>
      </c>
      <c r="W35" s="564">
        <f>$W$16*(('Table 2 StormwaterGroundwater'!Y26+'Table 2 StormwaterGroundwater'!AE26+'Table 2 StormwaterGroundwater'!W26+'Table 2 StormwaterGroundwater'!U26+'Table 2 StormwaterGroundwater'!O26+'Table 2 StormwaterGroundwater'!S26+5)/$W$11)</f>
        <v>2.8428497293461734</v>
      </c>
      <c r="X35" s="565">
        <f>$X$16*(('Table 2 StormwaterGroundwater'!Q26+5)/'Table 13 Power Costs'!$X$11)</f>
        <v>0.39668650810496492</v>
      </c>
      <c r="Y35" s="566">
        <f>$Y$16*(('Table 2 StormwaterGroundwater'!AC26+'Table 2 StormwaterGroundwater'!AA26+'Table 2 StormwaterGroundwater'!Q26+'Table 2 StormwaterGroundwater'!M26+'Table 2 StormwaterGroundwater'!K26+5)/$Y$11)</f>
        <v>1.1039508742889963</v>
      </c>
      <c r="Z35" s="566">
        <f>$Z$16*(('Table 2 StormwaterGroundwater'!S26*0.3)/$Z$11)</f>
        <v>0.10624409431720903</v>
      </c>
      <c r="AA35" s="567">
        <v>0</v>
      </c>
      <c r="AB35" s="567">
        <f>$AB$16*(('Table 2 StormwaterGroundwater'!I26+'Table 2 StormwaterGroundwater'!G26)/$AB$11)</f>
        <v>31.036461193019704</v>
      </c>
      <c r="AC35" s="564">
        <f>$AC$16*(('Table 2 StormwaterGroundwater'!E26)/$AC$11)</f>
        <v>109.98328670722387</v>
      </c>
      <c r="AD35" s="564">
        <f>$AD$16*(('Table 2 StormwaterGroundwater'!E26)/$AD$11)</f>
        <v>68.527626147528778</v>
      </c>
      <c r="AE35" s="564">
        <f>$AE$16*(('Table 2 StormwaterGroundwater'!E26+'Table 2 StormwaterGroundwater'!C26)/$AE$11)</f>
        <v>142.99096602963255</v>
      </c>
      <c r="AF35" s="564">
        <f>$AF$16*(('Table 2 StormwaterGroundwater'!F26+'Table 2 StormwaterGroundwater'!E26+'Table 2 StormwaterGroundwater'!C26)/$AF$11)</f>
        <v>72.111481775439728</v>
      </c>
      <c r="AG35" s="564">
        <f>$AG$16*(('Table 2 StormwaterGroundwater'!F26+'Table 2 StormwaterGroundwater'!E26+'Table 2 StormwaterGroundwater'!C26)/$AG$11)</f>
        <v>360.39751211834601</v>
      </c>
      <c r="AH35" s="568">
        <f>30*'Table 5 Flows to Evap &amp; WTP'!F23</f>
        <v>172.54541404080663</v>
      </c>
    </row>
    <row r="36" spans="2:34" ht="14.25" x14ac:dyDescent="0.2">
      <c r="B36" s="345">
        <f t="shared" si="41"/>
        <v>9</v>
      </c>
      <c r="C36" s="628">
        <f t="shared" si="38"/>
        <v>175025.92287487633</v>
      </c>
      <c r="D36" s="628">
        <f t="shared" si="39"/>
        <v>267170.77432765276</v>
      </c>
      <c r="E36" s="629">
        <f t="shared" si="40"/>
        <v>442196.69720252906</v>
      </c>
      <c r="F36" s="126"/>
      <c r="G36" s="126"/>
      <c r="H36" s="127"/>
      <c r="I36" s="53"/>
      <c r="L36" s="91"/>
      <c r="M36" s="155">
        <f t="shared" si="35"/>
        <v>19</v>
      </c>
      <c r="N36" s="562">
        <f t="shared" si="32"/>
        <v>346.32407287761896</v>
      </c>
      <c r="O36" s="341">
        <f t="shared" si="33"/>
        <v>725.28491579984063</v>
      </c>
      <c r="P36" s="569">
        <f t="shared" si="34"/>
        <v>1098.7285545055925</v>
      </c>
      <c r="Q36" s="156">
        <f t="shared" si="36"/>
        <v>136.52834962853723</v>
      </c>
      <c r="R36" s="156">
        <f t="shared" si="37"/>
        <v>27.119565828132657</v>
      </c>
      <c r="S36" s="564">
        <v>0</v>
      </c>
      <c r="T36" s="565">
        <f>$T$16*(('Table 2 StormwaterGroundwater'!H27/2)/'Table 13 Power Costs'!$T$11)</f>
        <v>0.13654705596859373</v>
      </c>
      <c r="U36" s="571">
        <f>$U$16*('Table 2 StormwaterGroundwater'!Y27/'Table 13 Power Costs'!$U$11)</f>
        <v>0.11018361100216202</v>
      </c>
      <c r="V36" s="564">
        <f>$V$16*(('Table 2 StormwaterGroundwater'!Y27+'Table 2 StormwaterGroundwater'!AE27+'Table 2 StormwaterGroundwater'!W27+5)/$V$11)</f>
        <v>4.9876815185726731</v>
      </c>
      <c r="W36" s="564">
        <f>$W$16*(('Table 2 StormwaterGroundwater'!Y27+'Table 2 StormwaterGroundwater'!AE27+'Table 2 StormwaterGroundwater'!W27+'Table 2 StormwaterGroundwater'!U27+'Table 2 StormwaterGroundwater'!O27+'Table 2 StormwaterGroundwater'!S27+5)/$W$11)</f>
        <v>2.8428497293461734</v>
      </c>
      <c r="X36" s="565">
        <f>$X$16*(('Table 2 StormwaterGroundwater'!Q27+5)/'Table 13 Power Costs'!$X$11)</f>
        <v>0.39668650810496492</v>
      </c>
      <c r="Y36" s="566">
        <f>$Y$16*(('Table 2 StormwaterGroundwater'!AC27+'Table 2 StormwaterGroundwater'!AA27+'Table 2 StormwaterGroundwater'!Q27+'Table 2 StormwaterGroundwater'!M27+'Table 2 StormwaterGroundwater'!K27+5)/$Y$11)</f>
        <v>1.1039508742889963</v>
      </c>
      <c r="Z36" s="566">
        <f>$Z$16*(('Table 2 StormwaterGroundwater'!S27*0.3)/$Z$11)</f>
        <v>0.10624409431720903</v>
      </c>
      <c r="AA36" s="567">
        <v>0</v>
      </c>
      <c r="AB36" s="567">
        <f>$AB$16*(('Table 2 StormwaterGroundwater'!I27+'Table 2 StormwaterGroundwater'!G27)/$AB$11)</f>
        <v>31.036461193019704</v>
      </c>
      <c r="AC36" s="564">
        <f>$AC$16*(('Table 2 StormwaterGroundwater'!E27)/$AC$11)</f>
        <v>104.48412237186267</v>
      </c>
      <c r="AD36" s="564">
        <f>$AD$16*(('Table 2 StormwaterGroundwater'!E27)/$AD$11)</f>
        <v>65.101244840152333</v>
      </c>
      <c r="AE36" s="564">
        <f>$AE$16*(('Table 2 StormwaterGroundwater'!E27+'Table 2 StormwaterGroundwater'!C27)/$AE$11)</f>
        <v>136.01810108098346</v>
      </c>
      <c r="AF36" s="564">
        <f>$AF$16*(('Table 2 StormwaterGroundwater'!F27+'Table 2 StormwaterGroundwater'!E27+'Table 2 StormwaterGroundwater'!C27)/$AF$11)</f>
        <v>69.840281417904109</v>
      </c>
      <c r="AG36" s="564">
        <f>$AG$16*(('Table 2 StormwaterGroundwater'!F27+'Table 2 StormwaterGroundwater'!E27+'Table 2 StormwaterGroundwater'!C27)/$AG$11)</f>
        <v>349.04654638826838</v>
      </c>
      <c r="AH36" s="568">
        <f>30*'Table 5 Flows to Evap &amp; WTP'!F24</f>
        <v>169.86973836513098</v>
      </c>
    </row>
    <row r="37" spans="2:34" ht="14.25" x14ac:dyDescent="0.2">
      <c r="B37" s="345">
        <f t="shared" si="41"/>
        <v>10</v>
      </c>
      <c r="C37" s="628">
        <f t="shared" si="38"/>
        <v>164868.40750872495</v>
      </c>
      <c r="D37" s="628">
        <f t="shared" si="39"/>
        <v>257635.23492095288</v>
      </c>
      <c r="E37" s="629">
        <f t="shared" si="40"/>
        <v>422503.64242967783</v>
      </c>
      <c r="F37" s="126"/>
      <c r="G37" s="126"/>
      <c r="H37" s="127"/>
      <c r="I37" s="53"/>
      <c r="L37" s="91"/>
      <c r="M37" s="155">
        <f t="shared" si="35"/>
        <v>20</v>
      </c>
      <c r="N37" s="562">
        <f t="shared" si="32"/>
        <v>331.23033070364903</v>
      </c>
      <c r="O37" s="341">
        <f t="shared" si="33"/>
        <v>709.86965821508375</v>
      </c>
      <c r="P37" s="569">
        <f t="shared" si="34"/>
        <v>1068.2195547468655</v>
      </c>
      <c r="Q37" s="156">
        <f t="shared" si="36"/>
        <v>136.52834962853723</v>
      </c>
      <c r="R37" s="156">
        <f t="shared" si="37"/>
        <v>27.119565828132657</v>
      </c>
      <c r="S37" s="564">
        <v>0</v>
      </c>
      <c r="T37" s="565">
        <f>$T$16*(('Table 2 StormwaterGroundwater'!H28/2)/'Table 13 Power Costs'!$T$11)</f>
        <v>0.13654705596859373</v>
      </c>
      <c r="U37" s="571">
        <f>$U$16*('Table 2 StormwaterGroundwater'!Y28/'Table 13 Power Costs'!$U$11)</f>
        <v>0.11018361100216202</v>
      </c>
      <c r="V37" s="564">
        <f>$V$16*(('Table 2 StormwaterGroundwater'!Y28+'Table 2 StormwaterGroundwater'!AE28+'Table 2 StormwaterGroundwater'!W28+5)/$V$11)</f>
        <v>4.9876815185726731</v>
      </c>
      <c r="W37" s="564">
        <f>$W$16*(('Table 2 StormwaterGroundwater'!Y28+'Table 2 StormwaterGroundwater'!AE28+'Table 2 StormwaterGroundwater'!W28+'Table 2 StormwaterGroundwater'!U28+'Table 2 StormwaterGroundwater'!O28+'Table 2 StormwaterGroundwater'!S28+5)/$W$11)</f>
        <v>2.8428497293461734</v>
      </c>
      <c r="X37" s="565">
        <f>$X$16*(('Table 2 StormwaterGroundwater'!Q28+5)/'Table 13 Power Costs'!$X$11)</f>
        <v>0.39668650810496492</v>
      </c>
      <c r="Y37" s="566">
        <f>$Y$16*(('Table 2 StormwaterGroundwater'!AC28+'Table 2 StormwaterGroundwater'!AA28+'Table 2 StormwaterGroundwater'!Q28+'Table 2 StormwaterGroundwater'!M28+'Table 2 StormwaterGroundwater'!K28+5)/$Y$11)</f>
        <v>1.1039508742889963</v>
      </c>
      <c r="Z37" s="566">
        <f>$Z$16*(('Table 2 StormwaterGroundwater'!S28*0.3)/$Z$11)</f>
        <v>0.10624409431720903</v>
      </c>
      <c r="AA37" s="567">
        <v>0</v>
      </c>
      <c r="AB37" s="567">
        <f>$AB$16*(('Table 2 StormwaterGroundwater'!I28+'Table 2 StormwaterGroundwater'!G28)/$AB$11)</f>
        <v>31.036461193019704</v>
      </c>
      <c r="AC37" s="564">
        <f>$AC$16*(('Table 2 StormwaterGroundwater'!E28)/$AC$11)</f>
        <v>99.259916253269509</v>
      </c>
      <c r="AD37" s="564">
        <f>$AD$16*(('Table 2 StormwaterGroundwater'!E28)/$AD$11)</f>
        <v>61.846182598144701</v>
      </c>
      <c r="AE37" s="564">
        <f>$AE$16*(('Table 2 StormwaterGroundwater'!E28+'Table 2 StormwaterGroundwater'!C28)/$AE$11)</f>
        <v>129.40362726761435</v>
      </c>
      <c r="AF37" s="564">
        <f>$AF$16*(('Table 2 StormwaterGroundwater'!F28+'Table 2 StormwaterGroundwater'!E28+'Table 2 StormwaterGroundwater'!C28)/$AF$11)</f>
        <v>67.68581615857849</v>
      </c>
      <c r="AG37" s="564">
        <f>$AG$16*(('Table 2 StormwaterGroundwater'!F28+'Table 2 StormwaterGroundwater'!E28+'Table 2 StormwaterGroundwater'!C28)/$AG$11)</f>
        <v>338.27899730608027</v>
      </c>
      <c r="AH37" s="568">
        <f>30*'Table 5 Flows to Evap &amp; WTP'!F25</f>
        <v>167.3764951218877</v>
      </c>
    </row>
    <row r="38" spans="2:34" ht="14.25" x14ac:dyDescent="0.2">
      <c r="B38" s="345">
        <f t="shared" si="41"/>
        <v>11</v>
      </c>
      <c r="C38" s="628">
        <f t="shared" si="38"/>
        <v>155763.63623440379</v>
      </c>
      <c r="D38" s="628">
        <f t="shared" si="39"/>
        <v>247320.10469752783</v>
      </c>
      <c r="E38" s="629">
        <f t="shared" si="40"/>
        <v>403083.74093193165</v>
      </c>
      <c r="F38" s="126"/>
      <c r="G38" s="126"/>
      <c r="H38" s="127"/>
      <c r="I38" s="53"/>
      <c r="L38" s="91"/>
      <c r="M38" s="155">
        <f t="shared" si="35"/>
        <v>21</v>
      </c>
      <c r="N38" s="562">
        <f t="shared" si="32"/>
        <v>327.187884178339</v>
      </c>
      <c r="O38" s="341">
        <f t="shared" si="33"/>
        <v>705.36310845023445</v>
      </c>
      <c r="P38" s="569">
        <f t="shared" si="34"/>
        <v>1059.6705584567062</v>
      </c>
      <c r="Q38" s="156">
        <f t="shared" si="36"/>
        <v>136.52834962853723</v>
      </c>
      <c r="R38" s="156">
        <f t="shared" si="37"/>
        <v>27.119565828132657</v>
      </c>
      <c r="S38" s="564">
        <v>0</v>
      </c>
      <c r="T38" s="565">
        <f>$T$16*(('Table 2 StormwaterGroundwater'!H29/2)/'Table 13 Power Costs'!$T$11)</f>
        <v>0.13654705596859373</v>
      </c>
      <c r="U38" s="571">
        <f>$U$16*('Table 2 StormwaterGroundwater'!Y29/'Table 13 Power Costs'!$U$11)</f>
        <v>0.11018361100216202</v>
      </c>
      <c r="V38" s="564">
        <f>$V$16*(('Table 2 StormwaterGroundwater'!Y29+'Table 2 StormwaterGroundwater'!AE29+'Table 2 StormwaterGroundwater'!W29+5)/$V$11)</f>
        <v>4.9876815185726731</v>
      </c>
      <c r="W38" s="564">
        <f>$W$16*(('Table 2 StormwaterGroundwater'!Y29+'Table 2 StormwaterGroundwater'!AE29+'Table 2 StormwaterGroundwater'!W29+'Table 2 StormwaterGroundwater'!U29+'Table 2 StormwaterGroundwater'!O29+'Table 2 StormwaterGroundwater'!S29+5)/$W$11)</f>
        <v>2.8428497293461734</v>
      </c>
      <c r="X38" s="565">
        <f>$X$16*(('Table 2 StormwaterGroundwater'!Q29+5)/'Table 13 Power Costs'!$X$11)</f>
        <v>0.39668650810496492</v>
      </c>
      <c r="Y38" s="566">
        <f>$Y$16*(('Table 2 StormwaterGroundwater'!AC29+'Table 2 StormwaterGroundwater'!AA29+'Table 2 StormwaterGroundwater'!Q29+'Table 2 StormwaterGroundwater'!M29+'Table 2 StormwaterGroundwater'!K29+5)/$Y$11)</f>
        <v>1.1039508742889963</v>
      </c>
      <c r="Z38" s="566">
        <f>$Z$16*(('Table 2 StormwaterGroundwater'!S29*0.3)/$Z$11)</f>
        <v>0.10624409431720903</v>
      </c>
      <c r="AA38" s="567">
        <v>0</v>
      </c>
      <c r="AB38" s="567">
        <f>$AB$16*(('Table 2 StormwaterGroundwater'!I29+'Table 2 StormwaterGroundwater'!G29)/$AB$11)</f>
        <v>31.036461193019704</v>
      </c>
      <c r="AC38" s="564">
        <f>$AC$16*(('Table 2 StormwaterGroundwater'!E29)/$AC$11)</f>
        <v>97.941239218847969</v>
      </c>
      <c r="AD38" s="564">
        <f>$AD$16*(('Table 2 StormwaterGroundwater'!E29)/$AD$11)</f>
        <v>61.024550425388071</v>
      </c>
      <c r="AE38" s="564">
        <f>$AE$16*(('Table 2 StormwaterGroundwater'!E29+'Table 2 StormwaterGroundwater'!C29)/$AE$11)</f>
        <v>127.50148994948249</v>
      </c>
      <c r="AF38" s="564">
        <f>$AF$16*(('Table 2 StormwaterGroundwater'!F29+'Table 2 StormwaterGroundwater'!E29+'Table 2 StormwaterGroundwater'!C29)/$AF$11)</f>
        <v>67.066252322359375</v>
      </c>
      <c r="AG38" s="564">
        <f>$AG$16*(('Table 2 StormwaterGroundwater'!F29+'Table 2 StormwaterGroundwater'!E29+'Table 2 StormwaterGroundwater'!C29)/$AG$11)</f>
        <v>335.18255191799062</v>
      </c>
      <c r="AH38" s="568">
        <f>30*'Table 5 Flows to Evap &amp; WTP'!F26</f>
        <v>166.58595458134718</v>
      </c>
    </row>
    <row r="39" spans="2:34" ht="14.25" x14ac:dyDescent="0.2">
      <c r="B39" s="345">
        <f t="shared" si="41"/>
        <v>12</v>
      </c>
      <c r="C39" s="628">
        <f t="shared" si="38"/>
        <v>147601.0198972582</v>
      </c>
      <c r="D39" s="628">
        <f t="shared" si="39"/>
        <v>239386.60017802645</v>
      </c>
      <c r="E39" s="629">
        <f t="shared" si="40"/>
        <v>386987.62007528462</v>
      </c>
      <c r="F39" s="126"/>
      <c r="G39" s="126"/>
      <c r="H39" s="127"/>
      <c r="I39" s="53"/>
      <c r="L39" s="91"/>
      <c r="M39" s="155">
        <f t="shared" si="35"/>
        <v>22</v>
      </c>
      <c r="N39" s="562">
        <f t="shared" si="32"/>
        <v>326.88750684248453</v>
      </c>
      <c r="O39" s="341">
        <f t="shared" si="33"/>
        <v>704.7154814615543</v>
      </c>
      <c r="P39" s="569">
        <f t="shared" si="34"/>
        <v>1058.7225541321716</v>
      </c>
      <c r="Q39" s="156">
        <f t="shared" si="36"/>
        <v>136.52834962853723</v>
      </c>
      <c r="R39" s="156">
        <f t="shared" si="37"/>
        <v>27.119565828132657</v>
      </c>
      <c r="S39" s="564">
        <v>0</v>
      </c>
      <c r="T39" s="565">
        <f>$T$16*(('Table 2 StormwaterGroundwater'!H30/2)/'Table 13 Power Costs'!$T$11)</f>
        <v>0.13654705596859373</v>
      </c>
      <c r="U39" s="571">
        <f>$U$16*('Table 2 StormwaterGroundwater'!Y30/'Table 13 Power Costs'!$U$11)</f>
        <v>0.11018361100216202</v>
      </c>
      <c r="V39" s="564">
        <f>$V$16*(('Table 2 StormwaterGroundwater'!Y30+'Table 2 StormwaterGroundwater'!AE30+'Table 2 StormwaterGroundwater'!W30+5)/$V$11)</f>
        <v>4.9876815185726731</v>
      </c>
      <c r="W39" s="564">
        <f>$W$16*(('Table 2 StormwaterGroundwater'!Y30+'Table 2 StormwaterGroundwater'!AE30+'Table 2 StormwaterGroundwater'!W30+'Table 2 StormwaterGroundwater'!U30+'Table 2 StormwaterGroundwater'!O30+'Table 2 StormwaterGroundwater'!S30+5)/$W$11)</f>
        <v>2.8428497293461734</v>
      </c>
      <c r="X39" s="565">
        <f>$X$16*(('Table 2 StormwaterGroundwater'!Q30+5)/'Table 13 Power Costs'!$X$11)</f>
        <v>0.39668650810496492</v>
      </c>
      <c r="Y39" s="566">
        <f>$Y$16*(('Table 2 StormwaterGroundwater'!AC30+'Table 2 StormwaterGroundwater'!AA30+'Table 2 StormwaterGroundwater'!Q30+'Table 2 StormwaterGroundwater'!M30+'Table 2 StormwaterGroundwater'!K30+5)/$Y$11)</f>
        <v>1.1039508742889963</v>
      </c>
      <c r="Z39" s="566">
        <f>$Z$16*(('Table 2 StormwaterGroundwater'!S30*0.3)/$Z$11)</f>
        <v>0.10624409431720903</v>
      </c>
      <c r="AA39" s="567">
        <v>0</v>
      </c>
      <c r="AB39" s="567">
        <f>$AB$16*(('Table 2 StormwaterGroundwater'!I30+'Table 2 StormwaterGroundwater'!G30)/$AB$11)</f>
        <v>31.036461193019704</v>
      </c>
      <c r="AC39" s="564">
        <f>$AC$16*(('Table 2 StormwaterGroundwater'!E30)/$AC$11)</f>
        <v>97.941239218847969</v>
      </c>
      <c r="AD39" s="564">
        <f>$AD$16*(('Table 2 StormwaterGroundwater'!E30)/$AD$11)</f>
        <v>61.024550425388071</v>
      </c>
      <c r="AE39" s="564">
        <f>$AE$16*(('Table 2 StormwaterGroundwater'!E30+'Table 2 StormwaterGroundwater'!C30)/$AE$11)</f>
        <v>127.20111261362798</v>
      </c>
      <c r="AF39" s="564">
        <f>$AF$16*(('Table 2 StormwaterGroundwater'!F30+'Table 2 StormwaterGroundwater'!E30+'Table 2 StormwaterGroundwater'!C30)/$AF$11)</f>
        <v>66.9684134688017</v>
      </c>
      <c r="AG39" s="564">
        <f>$AG$16*(('Table 2 StormwaterGroundwater'!F30+'Table 2 StormwaterGroundwater'!E30+'Table 2 StormwaterGroundwater'!C30)/$AG$11)</f>
        <v>334.69357459367905</v>
      </c>
      <c r="AH39" s="568">
        <f>30*'Table 5 Flows to Evap &amp; WTP'!F27</f>
        <v>166.52514377053637</v>
      </c>
    </row>
    <row r="40" spans="2:34" ht="14.25" x14ac:dyDescent="0.2">
      <c r="B40" s="345">
        <f t="shared" si="41"/>
        <v>13</v>
      </c>
      <c r="C40" s="628">
        <f t="shared" si="38"/>
        <v>140162.37744520744</v>
      </c>
      <c r="D40" s="628">
        <f t="shared" si="39"/>
        <v>229168.69823349814</v>
      </c>
      <c r="E40" s="629">
        <f t="shared" si="40"/>
        <v>369331.07567870559</v>
      </c>
      <c r="F40" s="126"/>
      <c r="G40" s="126"/>
      <c r="H40" s="127"/>
      <c r="I40" s="53"/>
      <c r="L40" s="91"/>
      <c r="M40" s="155">
        <f t="shared" si="35"/>
        <v>23</v>
      </c>
      <c r="N40" s="562">
        <f t="shared" si="32"/>
        <v>326.6009792420536</v>
      </c>
      <c r="O40" s="341">
        <f t="shared" si="33"/>
        <v>704.03410045974977</v>
      </c>
      <c r="P40" s="569">
        <f t="shared" si="34"/>
        <v>1057.7546455299362</v>
      </c>
      <c r="Q40" s="156">
        <f t="shared" si="36"/>
        <v>136.52834962853723</v>
      </c>
      <c r="R40" s="156">
        <f t="shared" si="37"/>
        <v>27.119565828132657</v>
      </c>
      <c r="S40" s="564">
        <v>0</v>
      </c>
      <c r="T40" s="565">
        <f>$T$16*(('Table 2 StormwaterGroundwater'!H31/2)/'Table 13 Power Costs'!$T$11)</f>
        <v>0.13654705596859373</v>
      </c>
      <c r="U40" s="571">
        <f>$U$16*('Table 2 StormwaterGroundwater'!Y31/'Table 13 Power Costs'!$U$11)</f>
        <v>0.11018361100216202</v>
      </c>
      <c r="V40" s="564">
        <f>$V$16*(('Table 2 StormwaterGroundwater'!Y31+'Table 2 StormwaterGroundwater'!AE31+'Table 2 StormwaterGroundwater'!W31+5)/$V$11)</f>
        <v>4.9876815185726731</v>
      </c>
      <c r="W40" s="564">
        <f>$W$16*(('Table 2 StormwaterGroundwater'!Y31+'Table 2 StormwaterGroundwater'!AE31+'Table 2 StormwaterGroundwater'!W31+'Table 2 StormwaterGroundwater'!U31+'Table 2 StormwaterGroundwater'!O31+'Table 2 StormwaterGroundwater'!S31+5)/$W$11)</f>
        <v>2.8428497293461734</v>
      </c>
      <c r="X40" s="565">
        <f>$X$16*(('Table 2 StormwaterGroundwater'!Q31+5)/'Table 13 Power Costs'!$X$11)</f>
        <v>0.39668650810496492</v>
      </c>
      <c r="Y40" s="566">
        <f>$Y$16*(('Table 2 StormwaterGroundwater'!AC31+'Table 2 StormwaterGroundwater'!AA31+'Table 2 StormwaterGroundwater'!Q31+'Table 2 StormwaterGroundwater'!M31+'Table 2 StormwaterGroundwater'!K31+5)/$Y$11)</f>
        <v>1.1039508742889963</v>
      </c>
      <c r="Z40" s="566">
        <f>$Z$16*(('Table 2 StormwaterGroundwater'!S31*0.3)/$Z$11)</f>
        <v>0.10624409431720903</v>
      </c>
      <c r="AA40" s="567">
        <v>0</v>
      </c>
      <c r="AB40" s="567">
        <f>$AB$16*(('Table 2 StormwaterGroundwater'!I31+'Table 2 StormwaterGroundwater'!G31)/$AB$11)</f>
        <v>31.036461193019704</v>
      </c>
      <c r="AC40" s="564">
        <f>$AC$16*(('Table 2 StormwaterGroundwater'!E31)/$AC$11)</f>
        <v>97.941239218847969</v>
      </c>
      <c r="AD40" s="564">
        <f>$AD$16*(('Table 2 StormwaterGroundwater'!E31)/$AD$11)</f>
        <v>61.024550425388071</v>
      </c>
      <c r="AE40" s="564">
        <f>$AE$16*(('Table 2 StormwaterGroundwater'!E31+'Table 2 StormwaterGroundwater'!C31)/$AE$11)</f>
        <v>126.91458501319705</v>
      </c>
      <c r="AF40" s="564">
        <f>$AF$16*(('Table 2 StormwaterGroundwater'!F31+'Table 2 StormwaterGroundwater'!E31+'Table 2 StormwaterGroundwater'!C31)/$AF$11)</f>
        <v>66.875085748655806</v>
      </c>
      <c r="AG40" s="564">
        <f>$AG$16*(('Table 2 StormwaterGroundwater'!F31+'Table 2 StormwaterGroundwater'!E31+'Table 2 StormwaterGroundwater'!C31)/$AG$11)</f>
        <v>334.22714293364197</v>
      </c>
      <c r="AH40" s="568">
        <f>30*'Table 5 Flows to Evap &amp; WTP'!F28</f>
        <v>166.40352214891473</v>
      </c>
    </row>
    <row r="41" spans="2:34" ht="14.25" x14ac:dyDescent="0.2">
      <c r="B41" s="345">
        <f t="shared" si="41"/>
        <v>14</v>
      </c>
      <c r="C41" s="628">
        <f t="shared" si="38"/>
        <v>132920.53500073517</v>
      </c>
      <c r="D41" s="628">
        <f t="shared" si="39"/>
        <v>218138.88186130946</v>
      </c>
      <c r="E41" s="629">
        <f t="shared" si="40"/>
        <v>351059.4168620446</v>
      </c>
      <c r="F41" s="126"/>
      <c r="G41" s="126"/>
      <c r="H41" s="127"/>
      <c r="I41" s="53"/>
      <c r="L41" s="91"/>
      <c r="M41" s="155">
        <f t="shared" si="35"/>
        <v>24</v>
      </c>
      <c r="N41" s="562">
        <f t="shared" si="32"/>
        <v>326.32459741553447</v>
      </c>
      <c r="O41" s="341">
        <f t="shared" si="33"/>
        <v>703.37254020857381</v>
      </c>
      <c r="P41" s="569">
        <f t="shared" si="34"/>
        <v>1056.816703452241</v>
      </c>
      <c r="Q41" s="156">
        <f t="shared" si="36"/>
        <v>136.52834962853723</v>
      </c>
      <c r="R41" s="156">
        <f t="shared" si="37"/>
        <v>27.119565828132657</v>
      </c>
      <c r="S41" s="564">
        <v>0</v>
      </c>
      <c r="T41" s="565">
        <f>$T$16*(('Table 2 StormwaterGroundwater'!H32/2)/'Table 13 Power Costs'!$T$11)</f>
        <v>0.13654705596859373</v>
      </c>
      <c r="U41" s="571">
        <f>$U$16*('Table 2 StormwaterGroundwater'!Y32/'Table 13 Power Costs'!$U$11)</f>
        <v>0.11018361100216202</v>
      </c>
      <c r="V41" s="564">
        <f>$V$16*(('Table 2 StormwaterGroundwater'!Y32+'Table 2 StormwaterGroundwater'!AE32+'Table 2 StormwaterGroundwater'!W32+5)/$V$11)</f>
        <v>4.9876815185726731</v>
      </c>
      <c r="W41" s="564">
        <f>$W$16*(('Table 2 StormwaterGroundwater'!Y32+'Table 2 StormwaterGroundwater'!AE32+'Table 2 StormwaterGroundwater'!W32+'Table 2 StormwaterGroundwater'!U32+'Table 2 StormwaterGroundwater'!O32+'Table 2 StormwaterGroundwater'!S32+5)/$W$11)</f>
        <v>2.8428497293461734</v>
      </c>
      <c r="X41" s="565">
        <f>$X$16*(('Table 2 StormwaterGroundwater'!Q32+5)/'Table 13 Power Costs'!$X$11)</f>
        <v>0.39668650810496492</v>
      </c>
      <c r="Y41" s="566">
        <f>$Y$16*(('Table 2 StormwaterGroundwater'!AC32+'Table 2 StormwaterGroundwater'!AA32+'Table 2 StormwaterGroundwater'!Q32+'Table 2 StormwaterGroundwater'!M32+'Table 2 StormwaterGroundwater'!K32+5)/$Y$11)</f>
        <v>1.1039508742889963</v>
      </c>
      <c r="Z41" s="566">
        <f>$Z$16*(('Table 2 StormwaterGroundwater'!S32*0.3)/$Z$11)</f>
        <v>0.10624409431720903</v>
      </c>
      <c r="AA41" s="567">
        <v>0</v>
      </c>
      <c r="AB41" s="567">
        <f>$AB$16*(('Table 2 StormwaterGroundwater'!I32+'Table 2 StormwaterGroundwater'!G32)/$AB$11)</f>
        <v>31.036461193019704</v>
      </c>
      <c r="AC41" s="564">
        <f>$AC$16*(('Table 2 StormwaterGroundwater'!E32)/$AC$11)</f>
        <v>97.941239218847969</v>
      </c>
      <c r="AD41" s="564">
        <f>$AD$16*(('Table 2 StormwaterGroundwater'!E32)/$AD$11)</f>
        <v>61.024550425388071</v>
      </c>
      <c r="AE41" s="564">
        <f>$AE$16*(('Table 2 StormwaterGroundwater'!E32+'Table 2 StormwaterGroundwater'!C32)/$AE$11)</f>
        <v>126.63820318667794</v>
      </c>
      <c r="AF41" s="564">
        <f>$AF$16*(('Table 2 StormwaterGroundwater'!F32+'Table 2 StormwaterGroundwater'!E32+'Table 2 StormwaterGroundwater'!C32)/$AF$11)</f>
        <v>66.785062708222739</v>
      </c>
      <c r="AG41" s="564">
        <f>$AG$16*(('Table 2 StormwaterGroundwater'!F32+'Table 2 StormwaterGroundwater'!E32+'Table 2 StormwaterGroundwater'!C32)/$AG$11)</f>
        <v>333.77722734452067</v>
      </c>
      <c r="AH41" s="568">
        <f>30*'Table 5 Flows to Evap &amp; WTP'!F29</f>
        <v>166.28190052729315</v>
      </c>
    </row>
    <row r="42" spans="2:34" ht="14.25" x14ac:dyDescent="0.2">
      <c r="B42" s="345">
        <f t="shared" si="41"/>
        <v>15</v>
      </c>
      <c r="C42" s="628">
        <f t="shared" si="38"/>
        <v>126647.99796585477</v>
      </c>
      <c r="D42" s="628">
        <f t="shared" si="39"/>
        <v>209674.62460267302</v>
      </c>
      <c r="E42" s="629">
        <f t="shared" si="40"/>
        <v>336322.62256852782</v>
      </c>
      <c r="F42" s="126"/>
      <c r="G42" s="126"/>
      <c r="H42" s="127"/>
      <c r="I42" s="53"/>
      <c r="L42" s="91"/>
      <c r="M42" s="155">
        <f t="shared" si="35"/>
        <v>25</v>
      </c>
      <c r="N42" s="562">
        <f t="shared" si="32"/>
        <v>326.05607677514161</v>
      </c>
      <c r="O42" s="341">
        <f t="shared" si="33"/>
        <v>702.72633754482365</v>
      </c>
      <c r="P42" s="569">
        <f t="shared" si="34"/>
        <v>1055.9019801480981</v>
      </c>
      <c r="Q42" s="156">
        <f t="shared" si="36"/>
        <v>136.52834962853723</v>
      </c>
      <c r="R42" s="156">
        <f t="shared" si="37"/>
        <v>27.119565828132657</v>
      </c>
      <c r="S42" s="564">
        <v>0</v>
      </c>
      <c r="T42" s="565">
        <f>$T$16*(('Table 2 StormwaterGroundwater'!H33/2)/'Table 13 Power Costs'!$T$11)</f>
        <v>0.13654705596859373</v>
      </c>
      <c r="U42" s="571">
        <f>$U$16*('Table 2 StormwaterGroundwater'!Y33/'Table 13 Power Costs'!$U$11)</f>
        <v>0.11018361100216202</v>
      </c>
      <c r="V42" s="564">
        <f>$V$16*(('Table 2 StormwaterGroundwater'!Y33+'Table 2 StormwaterGroundwater'!AE33+'Table 2 StormwaterGroundwater'!W33+5)/$V$11)</f>
        <v>4.9876815185726731</v>
      </c>
      <c r="W42" s="564">
        <f>$W$16*(('Table 2 StormwaterGroundwater'!Y33+'Table 2 StormwaterGroundwater'!AE33+'Table 2 StormwaterGroundwater'!W33+'Table 2 StormwaterGroundwater'!U33+'Table 2 StormwaterGroundwater'!O33+'Table 2 StormwaterGroundwater'!S33+5)/$W$11)</f>
        <v>2.8428497293461734</v>
      </c>
      <c r="X42" s="565">
        <f>$X$16*(('Table 2 StormwaterGroundwater'!Q33+5)/'Table 13 Power Costs'!$X$11)</f>
        <v>0.39668650810496492</v>
      </c>
      <c r="Y42" s="566">
        <f>$Y$16*(('Table 2 StormwaterGroundwater'!AC33+'Table 2 StormwaterGroundwater'!AA33+'Table 2 StormwaterGroundwater'!Q33+'Table 2 StormwaterGroundwater'!M33+'Table 2 StormwaterGroundwater'!K33+5)/$Y$11)</f>
        <v>1.1039508742889963</v>
      </c>
      <c r="Z42" s="566">
        <f>$Z$16*(('Table 2 StormwaterGroundwater'!S33*0.3)/$Z$11)</f>
        <v>0.10624409431720903</v>
      </c>
      <c r="AA42" s="567">
        <v>0</v>
      </c>
      <c r="AB42" s="567">
        <f>$AB$16*(('Table 2 StormwaterGroundwater'!I33+'Table 2 StormwaterGroundwater'!G33)/$AB$11)</f>
        <v>31.036461193019704</v>
      </c>
      <c r="AC42" s="564">
        <f>$AC$16*(('Table 2 StormwaterGroundwater'!E33)/$AC$11)</f>
        <v>97.941239218847969</v>
      </c>
      <c r="AD42" s="564">
        <f>$AD$16*(('Table 2 StormwaterGroundwater'!E33)/$AD$11)</f>
        <v>61.024550425388071</v>
      </c>
      <c r="AE42" s="564">
        <f>$AE$16*(('Table 2 StormwaterGroundwater'!E33+'Table 2 StormwaterGroundwater'!C33)/$AE$11)</f>
        <v>126.36968254628509</v>
      </c>
      <c r="AF42" s="564">
        <f>$AF$16*(('Table 2 StormwaterGroundwater'!F33+'Table 2 StormwaterGroundwater'!E33+'Table 2 StormwaterGroundwater'!C33)/$AF$11)</f>
        <v>66.697600211966588</v>
      </c>
      <c r="AG42" s="564">
        <f>$AG$16*(('Table 2 StormwaterGroundwater'!F33+'Table 2 StormwaterGroundwater'!E33+'Table 2 StormwaterGroundwater'!C33)/$AG$11)</f>
        <v>333.34010879864837</v>
      </c>
      <c r="AH42" s="568">
        <f>30*'Table 5 Flows to Evap &amp; WTP'!F30</f>
        <v>166.1602789056715</v>
      </c>
    </row>
    <row r="43" spans="2:34" ht="14.25" x14ac:dyDescent="0.2">
      <c r="B43" s="345">
        <f t="shared" si="41"/>
        <v>16</v>
      </c>
      <c r="C43" s="628">
        <f t="shared" si="38"/>
        <v>120970.80152161859</v>
      </c>
      <c r="D43" s="628">
        <f t="shared" si="39"/>
        <v>204621.06991058248</v>
      </c>
      <c r="E43" s="629">
        <f t="shared" si="40"/>
        <v>325591.87143220106</v>
      </c>
      <c r="F43" s="126"/>
      <c r="G43" s="126"/>
      <c r="H43" s="127"/>
      <c r="I43" s="53"/>
      <c r="L43" s="91"/>
      <c r="M43" s="155">
        <f t="shared" si="35"/>
        <v>26</v>
      </c>
      <c r="N43" s="562">
        <f t="shared" si="32"/>
        <v>325.79373576391339</v>
      </c>
      <c r="O43" s="341">
        <f t="shared" si="33"/>
        <v>702.15301819514661</v>
      </c>
      <c r="P43" s="569">
        <f t="shared" si="34"/>
        <v>1055.0663197871927</v>
      </c>
      <c r="Q43" s="156">
        <f t="shared" si="36"/>
        <v>136.52834962853723</v>
      </c>
      <c r="R43" s="156">
        <f t="shared" si="37"/>
        <v>27.119565828132657</v>
      </c>
      <c r="S43" s="564">
        <v>0</v>
      </c>
      <c r="T43" s="565">
        <f>$T$16*(('Table 2 StormwaterGroundwater'!H34/2)/'Table 13 Power Costs'!$T$11)</f>
        <v>0.13654705596859373</v>
      </c>
      <c r="U43" s="571">
        <f>$U$16*('Table 2 StormwaterGroundwater'!Y34/'Table 13 Power Costs'!$U$11)</f>
        <v>0.11018361100216202</v>
      </c>
      <c r="V43" s="564">
        <f>$V$16*(('Table 2 StormwaterGroundwater'!Y34+'Table 2 StormwaterGroundwater'!AE34+'Table 2 StormwaterGroundwater'!W34+5)/$V$11)</f>
        <v>4.9876815185726731</v>
      </c>
      <c r="W43" s="564">
        <f>$W$16*(('Table 2 StormwaterGroundwater'!Y34+'Table 2 StormwaterGroundwater'!AE34+'Table 2 StormwaterGroundwater'!W34+'Table 2 StormwaterGroundwater'!U34+'Table 2 StormwaterGroundwater'!O34+'Table 2 StormwaterGroundwater'!S34+5)/$W$11)</f>
        <v>2.8428497293461734</v>
      </c>
      <c r="X43" s="565">
        <f>$X$16*(('Table 2 StormwaterGroundwater'!Q34+5)/'Table 13 Power Costs'!$X$11)</f>
        <v>0.39668650810496492</v>
      </c>
      <c r="Y43" s="566">
        <f>$Y$16*(('Table 2 StormwaterGroundwater'!AC34+'Table 2 StormwaterGroundwater'!AA34+'Table 2 StormwaterGroundwater'!Q34+'Table 2 StormwaterGroundwater'!M34+'Table 2 StormwaterGroundwater'!K34+5)/$Y$11)</f>
        <v>1.1039508742889963</v>
      </c>
      <c r="Z43" s="566">
        <f>$Z$16*(('Table 2 StormwaterGroundwater'!S34*0.3)/$Z$11)</f>
        <v>0.10624409431720903</v>
      </c>
      <c r="AA43" s="567">
        <v>0</v>
      </c>
      <c r="AB43" s="567">
        <f>$AB$16*(('Table 2 StormwaterGroundwater'!I34+'Table 2 StormwaterGroundwater'!G34)/$AB$11)</f>
        <v>31.036461193019704</v>
      </c>
      <c r="AC43" s="564">
        <f>$AC$16*(('Table 2 StormwaterGroundwater'!E34)/$AC$11)</f>
        <v>97.941239218847969</v>
      </c>
      <c r="AD43" s="564">
        <f>$AD$16*(('Table 2 StormwaterGroundwater'!E34)/$AD$11)</f>
        <v>61.024550425388071</v>
      </c>
      <c r="AE43" s="564">
        <f>$AE$16*(('Table 2 StormwaterGroundwater'!E34+'Table 2 StormwaterGroundwater'!C34)/$AE$11)</f>
        <v>126.10734153505688</v>
      </c>
      <c r="AF43" s="564">
        <f>$AF$16*(('Table 2 StormwaterGroundwater'!F34+'Table 2 StormwaterGroundwater'!E34+'Table 2 StormwaterGroundwater'!C34)/$AF$11)</f>
        <v>66.612150543446447</v>
      </c>
      <c r="AG43" s="564">
        <f>$AG$16*(('Table 2 StormwaterGroundwater'!F34+'Table 2 StormwaterGroundwater'!E34+'Table 2 StormwaterGroundwater'!C34)/$AG$11)</f>
        <v>332.91304992830231</v>
      </c>
      <c r="AH43" s="568">
        <f>30*'Table 5 Flows to Evap &amp; WTP'!F31</f>
        <v>166.0994680948607</v>
      </c>
    </row>
    <row r="44" spans="2:34" ht="14.25" x14ac:dyDescent="0.2">
      <c r="B44" s="345">
        <f t="shared" si="41"/>
        <v>17</v>
      </c>
      <c r="C44" s="628">
        <f t="shared" si="38"/>
        <v>115585.75322559658</v>
      </c>
      <c r="D44" s="628">
        <f t="shared" si="39"/>
        <v>199840.58059075798</v>
      </c>
      <c r="E44" s="629">
        <f t="shared" si="40"/>
        <v>315426.33381635457</v>
      </c>
      <c r="F44" s="126"/>
      <c r="G44" s="126"/>
      <c r="H44" s="127"/>
      <c r="I44" s="53"/>
      <c r="L44" s="91"/>
      <c r="M44" s="155">
        <f t="shared" si="35"/>
        <v>27</v>
      </c>
      <c r="N44" s="562">
        <f t="shared" si="32"/>
        <v>325.53574716423634</v>
      </c>
      <c r="O44" s="341">
        <f t="shared" si="33"/>
        <v>701.52739089158626</v>
      </c>
      <c r="P44" s="569">
        <f t="shared" si="34"/>
        <v>1054.1827038839551</v>
      </c>
      <c r="Q44" s="156">
        <f t="shared" si="36"/>
        <v>136.52834962853723</v>
      </c>
      <c r="R44" s="156">
        <f t="shared" si="37"/>
        <v>27.119565828132657</v>
      </c>
      <c r="S44" s="564">
        <v>0</v>
      </c>
      <c r="T44" s="565">
        <f>$T$16*(('Table 2 StormwaterGroundwater'!H35/2)/'Table 13 Power Costs'!$T$11)</f>
        <v>0.13654705596859373</v>
      </c>
      <c r="U44" s="571">
        <f>$U$16*('Table 2 StormwaterGroundwater'!Y35/'Table 13 Power Costs'!$U$11)</f>
        <v>0.11018361100216202</v>
      </c>
      <c r="V44" s="564">
        <f>$V$16*(('Table 2 StormwaterGroundwater'!Y35+'Table 2 StormwaterGroundwater'!AE35+'Table 2 StormwaterGroundwater'!W35+5)/$V$11)</f>
        <v>4.9876815185726731</v>
      </c>
      <c r="W44" s="564">
        <f>$W$16*(('Table 2 StormwaterGroundwater'!Y35+'Table 2 StormwaterGroundwater'!AE35+'Table 2 StormwaterGroundwater'!W35+'Table 2 StormwaterGroundwater'!U35+'Table 2 StormwaterGroundwater'!O35+'Table 2 StormwaterGroundwater'!S35+5)/$W$11)</f>
        <v>2.8428497293461734</v>
      </c>
      <c r="X44" s="565">
        <f>$X$16*(('Table 2 StormwaterGroundwater'!Q35+5)/'Table 13 Power Costs'!$X$11)</f>
        <v>0.39668650810496492</v>
      </c>
      <c r="Y44" s="566">
        <f>$Y$16*(('Table 2 StormwaterGroundwater'!AC35+'Table 2 StormwaterGroundwater'!AA35+'Table 2 StormwaterGroundwater'!Q35+'Table 2 StormwaterGroundwater'!M35+'Table 2 StormwaterGroundwater'!K35+5)/$Y$11)</f>
        <v>1.1039508742889963</v>
      </c>
      <c r="Z44" s="566">
        <f>$Z$16*(('Table 2 StormwaterGroundwater'!S35*0.3)/$Z$11)</f>
        <v>0.10624409431720903</v>
      </c>
      <c r="AA44" s="567">
        <v>0</v>
      </c>
      <c r="AB44" s="567">
        <f>$AB$16*(('Table 2 StormwaterGroundwater'!I35+'Table 2 StormwaterGroundwater'!G35)/$AB$11)</f>
        <v>31.036461193019704</v>
      </c>
      <c r="AC44" s="564">
        <f>$AC$16*(('Table 2 StormwaterGroundwater'!E35)/$AC$11)</f>
        <v>97.941239218847969</v>
      </c>
      <c r="AD44" s="564">
        <f>$AD$16*(('Table 2 StormwaterGroundwater'!E35)/$AD$11)</f>
        <v>61.024550425388071</v>
      </c>
      <c r="AE44" s="564">
        <f>$AE$16*(('Table 2 StormwaterGroundwater'!E35+'Table 2 StormwaterGroundwater'!C35)/$AE$11)</f>
        <v>125.84935293537984</v>
      </c>
      <c r="AF44" s="564">
        <f>$AF$16*(('Table 2 StormwaterGroundwater'!F35+'Table 2 StormwaterGroundwater'!E35+'Table 2 StormwaterGroundwater'!C35)/$AF$11)</f>
        <v>66.528118541659282</v>
      </c>
      <c r="AG44" s="564">
        <f>$AG$16*(('Table 2 StormwaterGroundwater'!F35+'Table 2 StormwaterGroundwater'!E35+'Table 2 StormwaterGroundwater'!C35)/$AG$11)</f>
        <v>332.49307624815066</v>
      </c>
      <c r="AH44" s="568">
        <f>30*'Table 5 Flows to Evap &amp; WTP'!F32</f>
        <v>165.97784647323905</v>
      </c>
    </row>
    <row r="45" spans="2:34" ht="14.25" x14ac:dyDescent="0.2">
      <c r="B45" s="345">
        <f t="shared" si="41"/>
        <v>18</v>
      </c>
      <c r="C45" s="628">
        <f t="shared" si="38"/>
        <v>110476.6622306113</v>
      </c>
      <c r="D45" s="628">
        <f t="shared" si="39"/>
        <v>195303.2194049333</v>
      </c>
      <c r="E45" s="629">
        <f t="shared" si="40"/>
        <v>305779.88163554459</v>
      </c>
      <c r="F45" s="126"/>
      <c r="G45" s="126"/>
      <c r="H45" s="127"/>
      <c r="I45" s="53"/>
      <c r="L45" s="91"/>
      <c r="M45" s="155">
        <f t="shared" si="35"/>
        <v>28</v>
      </c>
      <c r="N45" s="562">
        <f t="shared" si="32"/>
        <v>325.28084821261598</v>
      </c>
      <c r="O45" s="341">
        <f t="shared" si="33"/>
        <v>700.90779951433285</v>
      </c>
      <c r="P45" s="569">
        <f t="shared" si="34"/>
        <v>1053.3082135550817</v>
      </c>
      <c r="Q45" s="156">
        <f t="shared" si="36"/>
        <v>136.52834962853723</v>
      </c>
      <c r="R45" s="156">
        <f t="shared" si="37"/>
        <v>27.119565828132657</v>
      </c>
      <c r="S45" s="564">
        <v>0</v>
      </c>
      <c r="T45" s="565">
        <f>$T$16*(('Table 2 StormwaterGroundwater'!H36/2)/'Table 13 Power Costs'!$T$11)</f>
        <v>0.13654705596859373</v>
      </c>
      <c r="U45" s="571">
        <f>$U$16*('Table 2 StormwaterGroundwater'!Y36/'Table 13 Power Costs'!$U$11)</f>
        <v>0.11018361100216202</v>
      </c>
      <c r="V45" s="564">
        <f>$V$16*(('Table 2 StormwaterGroundwater'!Y36+'Table 2 StormwaterGroundwater'!AE36+'Table 2 StormwaterGroundwater'!W36+5)/$V$11)</f>
        <v>4.9876815185726731</v>
      </c>
      <c r="W45" s="564">
        <f>$W$16*(('Table 2 StormwaterGroundwater'!Y36+'Table 2 StormwaterGroundwater'!AE36+'Table 2 StormwaterGroundwater'!W36+'Table 2 StormwaterGroundwater'!U36+'Table 2 StormwaterGroundwater'!O36+'Table 2 StormwaterGroundwater'!S36+5)/$W$11)</f>
        <v>2.8428497293461734</v>
      </c>
      <c r="X45" s="565">
        <f>$X$16*(('Table 2 StormwaterGroundwater'!Q36+5)/'Table 13 Power Costs'!$X$11)</f>
        <v>0.39668650810496492</v>
      </c>
      <c r="Y45" s="566">
        <f>$Y$16*(('Table 2 StormwaterGroundwater'!AC36+'Table 2 StormwaterGroundwater'!AA36+'Table 2 StormwaterGroundwater'!Q36+'Table 2 StormwaterGroundwater'!M36+'Table 2 StormwaterGroundwater'!K36+5)/$Y$11)</f>
        <v>1.1039508742889963</v>
      </c>
      <c r="Z45" s="566">
        <f>$Z$16*(('Table 2 StormwaterGroundwater'!S36*0.3)/$Z$11)</f>
        <v>0.10624409431720903</v>
      </c>
      <c r="AA45" s="567">
        <v>0</v>
      </c>
      <c r="AB45" s="567">
        <f>$AB$16*(('Table 2 StormwaterGroundwater'!I36+'Table 2 StormwaterGroundwater'!G36)/$AB$11)</f>
        <v>31.036461193019704</v>
      </c>
      <c r="AC45" s="564">
        <f>$AC$16*(('Table 2 StormwaterGroundwater'!E36)/$AC$11)</f>
        <v>97.941239218847969</v>
      </c>
      <c r="AD45" s="564">
        <f>$AD$16*(('Table 2 StormwaterGroundwater'!E36)/$AD$11)</f>
        <v>61.024550425388071</v>
      </c>
      <c r="AE45" s="564">
        <f>$AE$16*(('Table 2 StormwaterGroundwater'!E36+'Table 2 StormwaterGroundwater'!C36)/$AE$11)</f>
        <v>125.59445398375944</v>
      </c>
      <c r="AF45" s="564">
        <f>$AF$16*(('Table 2 StormwaterGroundwater'!F36+'Table 2 StormwaterGroundwater'!E36+'Table 2 StormwaterGroundwater'!C36)/$AF$11)</f>
        <v>66.4450928994994</v>
      </c>
      <c r="AG45" s="564">
        <f>$AG$16*(('Table 2 StormwaterGroundwater'!F36+'Table 2 StormwaterGroundwater'!E36+'Table 2 StormwaterGroundwater'!C36)/$AG$11)</f>
        <v>332.07813213467887</v>
      </c>
      <c r="AH45" s="568">
        <f>30*'Table 5 Flows to Evap &amp; WTP'!F33</f>
        <v>165.85622485161744</v>
      </c>
    </row>
    <row r="46" spans="2:34" ht="14.25" x14ac:dyDescent="0.2">
      <c r="B46" s="345">
        <f t="shared" si="41"/>
        <v>19</v>
      </c>
      <c r="C46" s="628">
        <f t="shared" si="38"/>
        <v>105627.69946030749</v>
      </c>
      <c r="D46" s="628">
        <f t="shared" si="39"/>
        <v>191011.02014158733</v>
      </c>
      <c r="E46" s="629">
        <f t="shared" si="40"/>
        <v>296638.71960189485</v>
      </c>
      <c r="F46" s="126"/>
      <c r="G46" s="126"/>
      <c r="H46" s="127"/>
      <c r="I46" s="53"/>
      <c r="L46" s="96"/>
      <c r="M46" s="155">
        <f t="shared" si="35"/>
        <v>29</v>
      </c>
      <c r="N46" s="562">
        <f t="shared" si="32"/>
        <v>325.02898567049823</v>
      </c>
      <c r="O46" s="341">
        <f t="shared" si="33"/>
        <v>700.35495086753326</v>
      </c>
      <c r="P46" s="569">
        <f t="shared" si="34"/>
        <v>1052.5035023661642</v>
      </c>
      <c r="Q46" s="156">
        <f t="shared" si="36"/>
        <v>136.52834962853723</v>
      </c>
      <c r="R46" s="156">
        <f t="shared" si="37"/>
        <v>27.119565828132657</v>
      </c>
      <c r="S46" s="564">
        <v>0</v>
      </c>
      <c r="T46" s="565">
        <f>$T$16*(('Table 2 StormwaterGroundwater'!H37/2)/'Table 13 Power Costs'!$T$11)</f>
        <v>0.13654705596859373</v>
      </c>
      <c r="U46" s="571">
        <f>$U$16*('Table 2 StormwaterGroundwater'!Y37/'Table 13 Power Costs'!$U$11)</f>
        <v>0.11018361100216202</v>
      </c>
      <c r="V46" s="564">
        <f>$V$16*(('Table 2 StormwaterGroundwater'!Y37+'Table 2 StormwaterGroundwater'!AE37+'Table 2 StormwaterGroundwater'!W37+5)/$V$11)</f>
        <v>4.9876815185726731</v>
      </c>
      <c r="W46" s="564">
        <f>$W$16*(('Table 2 StormwaterGroundwater'!Y37+'Table 2 StormwaterGroundwater'!AE37+'Table 2 StormwaterGroundwater'!W37+'Table 2 StormwaterGroundwater'!U37+'Table 2 StormwaterGroundwater'!O37+'Table 2 StormwaterGroundwater'!S37+5)/$W$11)</f>
        <v>2.8428497293461734</v>
      </c>
      <c r="X46" s="565">
        <f>$X$16*(('Table 2 StormwaterGroundwater'!Q37+5)/'Table 13 Power Costs'!$X$11)</f>
        <v>0.39668650810496492</v>
      </c>
      <c r="Y46" s="566">
        <f>$Y$16*(('Table 2 StormwaterGroundwater'!AC37+'Table 2 StormwaterGroundwater'!AA37+'Table 2 StormwaterGroundwater'!Q37+'Table 2 StormwaterGroundwater'!M37+'Table 2 StormwaterGroundwater'!K37+5)/$Y$11)</f>
        <v>1.1039508742889963</v>
      </c>
      <c r="Z46" s="566">
        <f>$Z$16*(('Table 2 StormwaterGroundwater'!S37*0.3)/$Z$11)</f>
        <v>0.10624409431720903</v>
      </c>
      <c r="AA46" s="567">
        <v>0</v>
      </c>
      <c r="AB46" s="567">
        <f>$AB$16*(('Table 2 StormwaterGroundwater'!I37+'Table 2 StormwaterGroundwater'!G37)/$AB$11)</f>
        <v>31.036461193019704</v>
      </c>
      <c r="AC46" s="564">
        <f>$AC$16*(('Table 2 StormwaterGroundwater'!E37)/$AC$11)</f>
        <v>97.941239218847969</v>
      </c>
      <c r="AD46" s="564">
        <f>$AD$16*(('Table 2 StormwaterGroundwater'!E37)/$AD$11)</f>
        <v>61.024550425388071</v>
      </c>
      <c r="AE46" s="564">
        <f>$AE$16*(('Table 2 StormwaterGroundwater'!E37+'Table 2 StormwaterGroundwater'!C37)/$AE$11)</f>
        <v>125.3425914416417</v>
      </c>
      <c r="AF46" s="564">
        <f>$AF$16*(('Table 2 StormwaterGroundwater'!F37+'Table 2 StormwaterGroundwater'!E37+'Table 2 StormwaterGroundwater'!C37)/$AF$11)</f>
        <v>66.363056276114264</v>
      </c>
      <c r="AG46" s="564">
        <f>$AG$16*(('Table 2 StormwaterGroundwater'!F37+'Table 2 StormwaterGroundwater'!E37+'Table 2 StormwaterGroundwater'!C37)/$AG$11)</f>
        <v>331.66813092207502</v>
      </c>
      <c r="AH46" s="568">
        <f>30*'Table 5 Flows to Evap &amp; WTP'!F34</f>
        <v>165.79541404080663</v>
      </c>
    </row>
    <row r="47" spans="2:34" ht="14.25" x14ac:dyDescent="0.2">
      <c r="B47" s="345">
        <f t="shared" si="41"/>
        <v>20</v>
      </c>
      <c r="C47" s="628">
        <f t="shared" si="38"/>
        <v>101024.15790214716</v>
      </c>
      <c r="D47" s="628">
        <f t="shared" si="39"/>
        <v>186951.25822890145</v>
      </c>
      <c r="E47" s="629">
        <f t="shared" si="40"/>
        <v>287975.41613104858</v>
      </c>
      <c r="F47" s="126"/>
      <c r="G47" s="126"/>
      <c r="H47" s="127"/>
      <c r="I47" s="53"/>
      <c r="M47" s="155">
        <f t="shared" si="35"/>
        <v>30</v>
      </c>
      <c r="N47" s="562">
        <f t="shared" si="32"/>
        <v>324.78056241124432</v>
      </c>
      <c r="O47" s="341">
        <f t="shared" si="33"/>
        <v>699.74801038164219</v>
      </c>
      <c r="P47" s="569">
        <f t="shared" si="34"/>
        <v>1051.6481386210191</v>
      </c>
      <c r="Q47" s="156">
        <f t="shared" si="36"/>
        <v>136.52834962853723</v>
      </c>
      <c r="R47" s="156">
        <f t="shared" si="37"/>
        <v>27.119565828132657</v>
      </c>
      <c r="S47" s="564">
        <v>0</v>
      </c>
      <c r="T47" s="565">
        <f>$T$16*(('Table 2 StormwaterGroundwater'!H38/2)/'Table 13 Power Costs'!$T$11)</f>
        <v>0.13654705596859373</v>
      </c>
      <c r="U47" s="571">
        <f>$U$16*('Table 2 StormwaterGroundwater'!Y38/'Table 13 Power Costs'!$U$11)</f>
        <v>0.11018361100216202</v>
      </c>
      <c r="V47" s="564">
        <f>$V$16*(('Table 2 StormwaterGroundwater'!Y38+'Table 2 StormwaterGroundwater'!AE38+'Table 2 StormwaterGroundwater'!W38+5)/$V$11)</f>
        <v>4.9876815185726731</v>
      </c>
      <c r="W47" s="564">
        <f>$W$16*(('Table 2 StormwaterGroundwater'!Y38+'Table 2 StormwaterGroundwater'!AE38+'Table 2 StormwaterGroundwater'!W38+'Table 2 StormwaterGroundwater'!U38+'Table 2 StormwaterGroundwater'!O38+'Table 2 StormwaterGroundwater'!S38+5)/$W$11)</f>
        <v>2.8428497293461734</v>
      </c>
      <c r="X47" s="565">
        <f>$X$16*(('Table 2 StormwaterGroundwater'!Q38+5)/'Table 13 Power Costs'!$X$11)</f>
        <v>0.39668650810496492</v>
      </c>
      <c r="Y47" s="566">
        <f>$Y$16*(('Table 2 StormwaterGroundwater'!AC38+'Table 2 StormwaterGroundwater'!AA38+'Table 2 StormwaterGroundwater'!Q38+'Table 2 StormwaterGroundwater'!M38+'Table 2 StormwaterGroundwater'!K38+5)/$Y$11)</f>
        <v>1.1039508742889963</v>
      </c>
      <c r="Z47" s="566">
        <f>$Z$16*(('Table 2 StormwaterGroundwater'!S38*0.3)/$Z$11)</f>
        <v>0.10624409431720903</v>
      </c>
      <c r="AA47" s="567">
        <v>0</v>
      </c>
      <c r="AB47" s="567">
        <f>$AB$16*(('Table 2 StormwaterGroundwater'!I38+'Table 2 StormwaterGroundwater'!G38)/$AB$11)</f>
        <v>31.036461193019704</v>
      </c>
      <c r="AC47" s="564">
        <f>$AC$16*(('Table 2 StormwaterGroundwater'!E38)/$AC$11)</f>
        <v>97.941239218847969</v>
      </c>
      <c r="AD47" s="564">
        <f>$AD$16*(('Table 2 StormwaterGroundwater'!E38)/$AD$11)</f>
        <v>61.024550425388071</v>
      </c>
      <c r="AE47" s="564">
        <f>$AE$16*(('Table 2 StormwaterGroundwater'!E38+'Table 2 StormwaterGroundwater'!C38)/$AE$11)</f>
        <v>125.09416818238782</v>
      </c>
      <c r="AF47" s="564">
        <f>$AF$16*(('Table 2 StormwaterGroundwater'!F38+'Table 2 StormwaterGroundwater'!E38+'Table 2 StormwaterGroundwater'!C38)/$AF$11)</f>
        <v>66.282139895345011</v>
      </c>
      <c r="AG47" s="564">
        <f>$AG$16*(('Table 2 StormwaterGroundwater'!F38+'Table 2 StormwaterGroundwater'!E38+'Table 2 StormwaterGroundwater'!C38)/$AG$11)</f>
        <v>331.2637284385749</v>
      </c>
      <c r="AH47" s="568">
        <f>30*'Table 5 Flows to Evap &amp; WTP'!F35</f>
        <v>165.67379241918499</v>
      </c>
    </row>
    <row r="48" spans="2:34" ht="14.25" x14ac:dyDescent="0.2">
      <c r="B48" s="345">
        <f t="shared" si="41"/>
        <v>21</v>
      </c>
      <c r="C48" s="628">
        <f t="shared" si="38"/>
        <v>99791.225050809662</v>
      </c>
      <c r="D48" s="628">
        <f t="shared" si="39"/>
        <v>185764.41337779435</v>
      </c>
      <c r="E48" s="629">
        <f t="shared" si="40"/>
        <v>285555.638428604</v>
      </c>
      <c r="F48" s="126"/>
      <c r="G48" s="126"/>
      <c r="H48" s="127"/>
      <c r="I48" s="53"/>
      <c r="M48" s="155">
        <f t="shared" si="35"/>
        <v>31</v>
      </c>
      <c r="N48" s="562">
        <f t="shared" si="32"/>
        <v>324.53568232725485</v>
      </c>
      <c r="O48" s="341">
        <f t="shared" si="33"/>
        <v>699.20880264213417</v>
      </c>
      <c r="P48" s="569">
        <f t="shared" si="34"/>
        <v>1050.8640507975219</v>
      </c>
      <c r="Q48" s="156">
        <f t="shared" si="36"/>
        <v>136.52834962853723</v>
      </c>
      <c r="R48" s="156">
        <f t="shared" si="37"/>
        <v>27.119565828132657</v>
      </c>
      <c r="S48" s="564">
        <v>0</v>
      </c>
      <c r="T48" s="565">
        <f>$T$16*(('Table 2 StormwaterGroundwater'!H39/2)/'Table 13 Power Costs'!$T$11)</f>
        <v>0.13654705596859373</v>
      </c>
      <c r="U48" s="571">
        <f>$U$16*('Table 2 StormwaterGroundwater'!Y39/'Table 13 Power Costs'!$U$11)</f>
        <v>0.11018361100216202</v>
      </c>
      <c r="V48" s="564">
        <f>$V$16*(('Table 2 StormwaterGroundwater'!Y39+'Table 2 StormwaterGroundwater'!AE39+'Table 2 StormwaterGroundwater'!W39+5)/$V$11)</f>
        <v>4.9876815185726731</v>
      </c>
      <c r="W48" s="564">
        <f>$W$16*(('Table 2 StormwaterGroundwater'!Y39+'Table 2 StormwaterGroundwater'!AE39+'Table 2 StormwaterGroundwater'!W39+'Table 2 StormwaterGroundwater'!U39+'Table 2 StormwaterGroundwater'!O39+'Table 2 StormwaterGroundwater'!S39+5)/$W$11)</f>
        <v>2.8428497293461734</v>
      </c>
      <c r="X48" s="565">
        <f>$X$16*(('Table 2 StormwaterGroundwater'!Q39+5)/'Table 13 Power Costs'!$X$11)</f>
        <v>0.39668650810496492</v>
      </c>
      <c r="Y48" s="566">
        <f>$Y$16*(('Table 2 StormwaterGroundwater'!AC39+'Table 2 StormwaterGroundwater'!AA39+'Table 2 StormwaterGroundwater'!Q39+'Table 2 StormwaterGroundwater'!M39+'Table 2 StormwaterGroundwater'!K39+5)/$Y$11)</f>
        <v>1.1039508742889963</v>
      </c>
      <c r="Z48" s="566">
        <f>$Z$16*(('Table 2 StormwaterGroundwater'!S39*0.3)/$Z$11)</f>
        <v>0.10624409431720903</v>
      </c>
      <c r="AA48" s="567">
        <v>0</v>
      </c>
      <c r="AB48" s="567">
        <f>$AB$16*(('Table 2 StormwaterGroundwater'!I39+'Table 2 StormwaterGroundwater'!G39)/$AB$11)</f>
        <v>31.036461193019704</v>
      </c>
      <c r="AC48" s="564">
        <f>$AC$16*(('Table 2 StormwaterGroundwater'!E39)/$AC$11)</f>
        <v>97.941239218847969</v>
      </c>
      <c r="AD48" s="564">
        <f>$AD$16*(('Table 2 StormwaterGroundwater'!E39)/$AD$11)</f>
        <v>61.024550425388071</v>
      </c>
      <c r="AE48" s="564">
        <f>$AE$16*(('Table 2 StormwaterGroundwater'!E39+'Table 2 StormwaterGroundwater'!C39)/$AE$11)</f>
        <v>124.84928809839833</v>
      </c>
      <c r="AF48" s="564">
        <f>$AF$16*(('Table 2 StormwaterGroundwater'!F39+'Table 2 StormwaterGroundwater'!E39+'Table 2 StormwaterGroundwater'!C39)/$AF$11)</f>
        <v>66.202377597006205</v>
      </c>
      <c r="AG48" s="564">
        <f>$AG$16*(('Table 2 StormwaterGroundwater'!F39+'Table 2 StormwaterGroundwater'!E39+'Table 2 StormwaterGroundwater'!C39)/$AG$11)</f>
        <v>330.86509380821656</v>
      </c>
      <c r="AH48" s="568">
        <f>30*'Table 5 Flows to Evap &amp; WTP'!F36</f>
        <v>165.61298160837421</v>
      </c>
    </row>
    <row r="49" spans="2:34" ht="14.25" x14ac:dyDescent="0.2">
      <c r="B49" s="345">
        <f t="shared" si="41"/>
        <v>22</v>
      </c>
      <c r="C49" s="628">
        <f t="shared" si="38"/>
        <v>99699.610954530726</v>
      </c>
      <c r="D49" s="628">
        <f t="shared" si="39"/>
        <v>185593.85434770258</v>
      </c>
      <c r="E49" s="629">
        <f t="shared" si="40"/>
        <v>285293.46530223329</v>
      </c>
      <c r="F49" s="86"/>
      <c r="G49" s="86"/>
      <c r="H49" s="128"/>
      <c r="I49" s="53"/>
      <c r="M49" s="155">
        <f t="shared" si="35"/>
        <v>32</v>
      </c>
      <c r="N49" s="562">
        <f t="shared" si="32"/>
        <v>324.29479816910271</v>
      </c>
      <c r="O49" s="341">
        <f t="shared" si="33"/>
        <v>698.61659051942172</v>
      </c>
      <c r="P49" s="569">
        <f t="shared" si="34"/>
        <v>1050.0309545166569</v>
      </c>
      <c r="Q49" s="156">
        <f t="shared" si="36"/>
        <v>136.52834962853723</v>
      </c>
      <c r="R49" s="156">
        <f t="shared" si="37"/>
        <v>27.119565828132657</v>
      </c>
      <c r="S49" s="564">
        <v>0</v>
      </c>
      <c r="T49" s="565">
        <f>$T$16*(('Table 2 StormwaterGroundwater'!H40/2)/'Table 13 Power Costs'!$T$11)</f>
        <v>0.13654705596859373</v>
      </c>
      <c r="U49" s="571">
        <f>$U$16*('Table 2 StormwaterGroundwater'!Y40/'Table 13 Power Costs'!$U$11)</f>
        <v>0.11018361100216202</v>
      </c>
      <c r="V49" s="564">
        <f>$V$16*(('Table 2 StormwaterGroundwater'!Y40+'Table 2 StormwaterGroundwater'!AE40+'Table 2 StormwaterGroundwater'!W40+5)/$V$11)</f>
        <v>4.9876815185726731</v>
      </c>
      <c r="W49" s="564">
        <f>$W$16*(('Table 2 StormwaterGroundwater'!Y40+'Table 2 StormwaterGroundwater'!AE40+'Table 2 StormwaterGroundwater'!W40+'Table 2 StormwaterGroundwater'!U40+'Table 2 StormwaterGroundwater'!O40+'Table 2 StormwaterGroundwater'!S40+5)/$W$11)</f>
        <v>2.8428497293461734</v>
      </c>
      <c r="X49" s="565">
        <f>$X$16*(('Table 2 StormwaterGroundwater'!Q40+5)/'Table 13 Power Costs'!$X$11)</f>
        <v>0.39668650810496492</v>
      </c>
      <c r="Y49" s="566">
        <f>$Y$16*(('Table 2 StormwaterGroundwater'!AC40+'Table 2 StormwaterGroundwater'!AA40+'Table 2 StormwaterGroundwater'!Q40+'Table 2 StormwaterGroundwater'!M40+'Table 2 StormwaterGroundwater'!K40+5)/$Y$11)</f>
        <v>1.1039508742889963</v>
      </c>
      <c r="Z49" s="566">
        <f>$Z$16*(('Table 2 StormwaterGroundwater'!S40*0.3)/$Z$11)</f>
        <v>0.10624409431720903</v>
      </c>
      <c r="AA49" s="567">
        <v>0</v>
      </c>
      <c r="AB49" s="567">
        <f>$AB$16*(('Table 2 StormwaterGroundwater'!I40+'Table 2 StormwaterGroundwater'!G40)/$AB$11)</f>
        <v>31.036461193019704</v>
      </c>
      <c r="AC49" s="564">
        <f>$AC$16*(('Table 2 StormwaterGroundwater'!E40)/$AC$11)</f>
        <v>97.941239218847969</v>
      </c>
      <c r="AD49" s="564">
        <f>$AD$16*(('Table 2 StormwaterGroundwater'!E40)/$AD$11)</f>
        <v>61.024550425388071</v>
      </c>
      <c r="AE49" s="564">
        <f>$AE$16*(('Table 2 StormwaterGroundwater'!E40+'Table 2 StormwaterGroundwater'!C40)/$AE$11)</f>
        <v>124.60840394024615</v>
      </c>
      <c r="AF49" s="564">
        <f>$AF$16*(('Table 2 StormwaterGroundwater'!F40+'Table 2 StormwaterGroundwater'!E40+'Table 2 StormwaterGroundwater'!C40)/$AF$11)</f>
        <v>66.1239168509357</v>
      </c>
      <c r="AG49" s="564">
        <f>$AG$16*(('Table 2 StormwaterGroundwater'!F40+'Table 2 StormwaterGroundwater'!E40+'Table 2 StormwaterGroundwater'!C40)/$AG$11)</f>
        <v>330.47296405319611</v>
      </c>
      <c r="AH49" s="568">
        <f>30*'Table 5 Flows to Evap &amp; WTP'!F37</f>
        <v>165.4913599867526</v>
      </c>
    </row>
    <row r="50" spans="2:34" ht="14.25" x14ac:dyDescent="0.2">
      <c r="B50" s="345">
        <f t="shared" si="41"/>
        <v>23</v>
      </c>
      <c r="C50" s="628">
        <f t="shared" si="38"/>
        <v>99612.22098185592</v>
      </c>
      <c r="D50" s="628">
        <f t="shared" si="39"/>
        <v>185414.40586142565</v>
      </c>
      <c r="E50" s="629">
        <f t="shared" si="40"/>
        <v>285026.62684328156</v>
      </c>
      <c r="F50" s="86"/>
      <c r="G50" s="86"/>
      <c r="H50" s="86"/>
      <c r="I50" s="53"/>
      <c r="M50" s="155">
        <f t="shared" si="35"/>
        <v>33</v>
      </c>
      <c r="N50" s="562">
        <f t="shared" ref="N50:N81" si="42">SUM(S50:AE50)</f>
        <v>324.05930626632028</v>
      </c>
      <c r="O50" s="341">
        <f t="shared" ref="O50:O81" si="43">Q50+AF50+AG50+AH50</f>
        <v>698.09572349991981</v>
      </c>
      <c r="P50" s="569">
        <f t="shared" ref="P50:P81" si="44">SUM(Q50:AH50)</f>
        <v>1049.2745955943728</v>
      </c>
      <c r="Q50" s="156">
        <f t="shared" si="36"/>
        <v>136.52834962853723</v>
      </c>
      <c r="R50" s="156">
        <f t="shared" si="37"/>
        <v>27.119565828132657</v>
      </c>
      <c r="S50" s="564">
        <v>0</v>
      </c>
      <c r="T50" s="565">
        <f>$T$16*(('Table 2 StormwaterGroundwater'!H41/2)/'Table 13 Power Costs'!$T$11)</f>
        <v>0.13654705596859373</v>
      </c>
      <c r="U50" s="571">
        <f>$U$16*('Table 2 StormwaterGroundwater'!Y41/'Table 13 Power Costs'!$U$11)</f>
        <v>0.11018361100216202</v>
      </c>
      <c r="V50" s="564">
        <f>$V$16*(('Table 2 StormwaterGroundwater'!Y41+'Table 2 StormwaterGroundwater'!AE41+'Table 2 StormwaterGroundwater'!W41+5)/$V$11)</f>
        <v>4.9876815185726731</v>
      </c>
      <c r="W50" s="564">
        <f>$W$16*(('Table 2 StormwaterGroundwater'!Y41+'Table 2 StormwaterGroundwater'!AE41+'Table 2 StormwaterGroundwater'!W41+'Table 2 StormwaterGroundwater'!U41+'Table 2 StormwaterGroundwater'!O41+'Table 2 StormwaterGroundwater'!S41+5)/$W$11)</f>
        <v>2.8428497293461734</v>
      </c>
      <c r="X50" s="565">
        <f>$X$16*(('Table 2 StormwaterGroundwater'!Q41+5)/'Table 13 Power Costs'!$X$11)</f>
        <v>0.39668650810496492</v>
      </c>
      <c r="Y50" s="566">
        <f>$Y$16*(('Table 2 StormwaterGroundwater'!AC41+'Table 2 StormwaterGroundwater'!AA41+'Table 2 StormwaterGroundwater'!Q41+'Table 2 StormwaterGroundwater'!M41+'Table 2 StormwaterGroundwater'!K41+5)/$Y$11)</f>
        <v>1.1039508742889963</v>
      </c>
      <c r="Z50" s="566">
        <f>$Z$16*(('Table 2 StormwaterGroundwater'!S41*0.3)/$Z$11)</f>
        <v>0.10624409431720903</v>
      </c>
      <c r="AA50" s="567">
        <v>0</v>
      </c>
      <c r="AB50" s="567">
        <f>$AB$16*(('Table 2 StormwaterGroundwater'!I41+'Table 2 StormwaterGroundwater'!G41)/$AB$11)</f>
        <v>31.036461193019704</v>
      </c>
      <c r="AC50" s="564">
        <f>$AC$16*(('Table 2 StormwaterGroundwater'!E41)/$AC$11)</f>
        <v>97.941239218847969</v>
      </c>
      <c r="AD50" s="564">
        <f>$AD$16*(('Table 2 StormwaterGroundwater'!E41)/$AD$11)</f>
        <v>61.024550425388071</v>
      </c>
      <c r="AE50" s="564">
        <f>$AE$16*(('Table 2 StormwaterGroundwater'!E41+'Table 2 StormwaterGroundwater'!C41)/$AE$11)</f>
        <v>124.37291203746373</v>
      </c>
      <c r="AF50" s="564">
        <f>$AF$16*(('Table 2 StormwaterGroundwater'!F41+'Table 2 StormwaterGroundwater'!E41+'Table 2 StormwaterGroundwater'!C41)/$AF$11)</f>
        <v>66.04721246934578</v>
      </c>
      <c r="AG50" s="564">
        <f>$AG$16*(('Table 2 StormwaterGroundwater'!F41+'Table 2 StormwaterGroundwater'!E41+'Table 2 StormwaterGroundwater'!C41)/$AG$11)</f>
        <v>330.08961222609503</v>
      </c>
      <c r="AH50" s="568">
        <f>30*'Table 5 Flows to Evap &amp; WTP'!F38</f>
        <v>165.43054917594179</v>
      </c>
    </row>
    <row r="51" spans="2:34" ht="14.25" x14ac:dyDescent="0.2">
      <c r="B51" s="345">
        <f t="shared" si="41"/>
        <v>24</v>
      </c>
      <c r="C51" s="628">
        <f t="shared" si="38"/>
        <v>99527.925436746169</v>
      </c>
      <c r="D51" s="628">
        <f t="shared" si="39"/>
        <v>185240.17736761659</v>
      </c>
      <c r="E51" s="629">
        <f t="shared" si="40"/>
        <v>284768.10280436277</v>
      </c>
      <c r="F51" s="86"/>
      <c r="G51" s="86"/>
      <c r="H51" s="86"/>
      <c r="I51" s="53"/>
      <c r="M51" s="155">
        <f t="shared" ref="M51:M82" si="45">M50+1</f>
        <v>34</v>
      </c>
      <c r="N51" s="562">
        <f t="shared" si="42"/>
        <v>323.83077127640735</v>
      </c>
      <c r="O51" s="341">
        <f t="shared" si="43"/>
        <v>697.52763667176532</v>
      </c>
      <c r="P51" s="569">
        <f t="shared" si="44"/>
        <v>1048.4779737763056</v>
      </c>
      <c r="Q51" s="156">
        <f t="shared" si="36"/>
        <v>136.52834962853723</v>
      </c>
      <c r="R51" s="156">
        <f t="shared" si="37"/>
        <v>27.119565828132657</v>
      </c>
      <c r="S51" s="564">
        <v>0</v>
      </c>
      <c r="T51" s="565">
        <f>$T$16*(('Table 2 StormwaterGroundwater'!H42/2)/'Table 13 Power Costs'!$T$11)</f>
        <v>0.13654705596859373</v>
      </c>
      <c r="U51" s="571">
        <f>$U$16*('Table 2 StormwaterGroundwater'!Y42/'Table 13 Power Costs'!$U$11)</f>
        <v>0.11018361100216202</v>
      </c>
      <c r="V51" s="564">
        <f>$V$16*(('Table 2 StormwaterGroundwater'!Y42+'Table 2 StormwaterGroundwater'!AE42+'Table 2 StormwaterGroundwater'!W42+5)/$V$11)</f>
        <v>4.9876815185726731</v>
      </c>
      <c r="W51" s="564">
        <f>$W$16*(('Table 2 StormwaterGroundwater'!Y42+'Table 2 StormwaterGroundwater'!AE42+'Table 2 StormwaterGroundwater'!W42+'Table 2 StormwaterGroundwater'!U42+'Table 2 StormwaterGroundwater'!O42+'Table 2 StormwaterGroundwater'!S42+5)/$W$11)</f>
        <v>2.8428497293461734</v>
      </c>
      <c r="X51" s="565">
        <f>$X$16*(('Table 2 StormwaterGroundwater'!Q42+5)/'Table 13 Power Costs'!$X$11)</f>
        <v>0.39668650810496492</v>
      </c>
      <c r="Y51" s="566">
        <f>$Y$16*(('Table 2 StormwaterGroundwater'!AC42+'Table 2 StormwaterGroundwater'!AA42+'Table 2 StormwaterGroundwater'!Q42+'Table 2 StormwaterGroundwater'!M42+'Table 2 StormwaterGroundwater'!K42+5)/$Y$11)</f>
        <v>1.1039508742889963</v>
      </c>
      <c r="Z51" s="566">
        <f>$Z$16*(('Table 2 StormwaterGroundwater'!S42*0.3)/$Z$11)</f>
        <v>0.10624409431720903</v>
      </c>
      <c r="AA51" s="567">
        <v>0</v>
      </c>
      <c r="AB51" s="567">
        <f>$AB$16*(('Table 2 StormwaterGroundwater'!I42+'Table 2 StormwaterGroundwater'!G42)/$AB$11)</f>
        <v>31.036461193019704</v>
      </c>
      <c r="AC51" s="564">
        <f>$AC$16*(('Table 2 StormwaterGroundwater'!E42)/$AC$11)</f>
        <v>97.941239218847969</v>
      </c>
      <c r="AD51" s="564">
        <f>$AD$16*(('Table 2 StormwaterGroundwater'!E42)/$AD$11)</f>
        <v>61.024550425388071</v>
      </c>
      <c r="AE51" s="564">
        <f>$AE$16*(('Table 2 StormwaterGroundwater'!E42+'Table 2 StormwaterGroundwater'!C42)/$AE$11)</f>
        <v>124.14437704755082</v>
      </c>
      <c r="AF51" s="564">
        <f>$AF$16*(('Table 2 StormwaterGroundwater'!F42+'Table 2 StormwaterGroundwater'!E42+'Table 2 StormwaterGroundwater'!C42)/$AF$11)</f>
        <v>65.972774092204958</v>
      </c>
      <c r="AG51" s="564">
        <f>$AG$16*(('Table 2 StormwaterGroundwater'!F42+'Table 2 StormwaterGroundwater'!E42+'Table 2 StormwaterGroundwater'!C42)/$AG$11)</f>
        <v>329.71758539670299</v>
      </c>
      <c r="AH51" s="568">
        <f>30*'Table 5 Flows to Evap &amp; WTP'!F39</f>
        <v>165.30892755432018</v>
      </c>
    </row>
    <row r="52" spans="2:34" ht="14.25" x14ac:dyDescent="0.2">
      <c r="B52" s="345">
        <f t="shared" si="41"/>
        <v>25</v>
      </c>
      <c r="C52" s="628">
        <f t="shared" si="38"/>
        <v>99446.02752746531</v>
      </c>
      <c r="D52" s="628">
        <f t="shared" si="39"/>
        <v>185069.99344770834</v>
      </c>
      <c r="E52" s="629">
        <f t="shared" si="40"/>
        <v>284516.02097517368</v>
      </c>
      <c r="G52" s="56"/>
      <c r="I52" s="53"/>
      <c r="M52" s="155">
        <f t="shared" si="45"/>
        <v>35</v>
      </c>
      <c r="N52" s="562">
        <f t="shared" si="42"/>
        <v>323.60992339372234</v>
      </c>
      <c r="O52" s="341">
        <f t="shared" si="43"/>
        <v>697.03537816188282</v>
      </c>
      <c r="P52" s="569">
        <f t="shared" si="44"/>
        <v>1047.7648673837377</v>
      </c>
      <c r="Q52" s="156">
        <f t="shared" si="36"/>
        <v>136.52834962853723</v>
      </c>
      <c r="R52" s="156">
        <f t="shared" si="37"/>
        <v>27.119565828132657</v>
      </c>
      <c r="S52" s="564">
        <v>0</v>
      </c>
      <c r="T52" s="565">
        <f>$T$16*(('Table 2 StormwaterGroundwater'!H43/2)/'Table 13 Power Costs'!$T$11)</f>
        <v>0.13654705596859373</v>
      </c>
      <c r="U52" s="571">
        <f>$U$16*('Table 2 StormwaterGroundwater'!Y43/'Table 13 Power Costs'!$U$11)</f>
        <v>0.11018361100216202</v>
      </c>
      <c r="V52" s="564">
        <f>$V$16*(('Table 2 StormwaterGroundwater'!Y43+'Table 2 StormwaterGroundwater'!AE43+'Table 2 StormwaterGroundwater'!W43+5)/$V$11)</f>
        <v>4.9876815185726731</v>
      </c>
      <c r="W52" s="564">
        <f>$W$16*(('Table 2 StormwaterGroundwater'!Y43+'Table 2 StormwaterGroundwater'!AE43+'Table 2 StormwaterGroundwater'!W43+'Table 2 StormwaterGroundwater'!U43+'Table 2 StormwaterGroundwater'!O43+'Table 2 StormwaterGroundwater'!S43+5)/$W$11)</f>
        <v>2.8428497293461734</v>
      </c>
      <c r="X52" s="565">
        <f>$X$16*(('Table 2 StormwaterGroundwater'!Q43+5)/'Table 13 Power Costs'!$X$11)</f>
        <v>0.39668650810496492</v>
      </c>
      <c r="Y52" s="566">
        <f>$Y$16*(('Table 2 StormwaterGroundwater'!AC43+'Table 2 StormwaterGroundwater'!AA43+'Table 2 StormwaterGroundwater'!Q43+'Table 2 StormwaterGroundwater'!M43+'Table 2 StormwaterGroundwater'!K43+5)/$Y$11)</f>
        <v>1.1039508742889963</v>
      </c>
      <c r="Z52" s="566">
        <f>$Z$16*(('Table 2 StormwaterGroundwater'!S43*0.3)/$Z$11)</f>
        <v>0.10624409431720903</v>
      </c>
      <c r="AA52" s="567">
        <v>0</v>
      </c>
      <c r="AB52" s="567">
        <f>$AB$16*(('Table 2 StormwaterGroundwater'!I43+'Table 2 StormwaterGroundwater'!G43)/$AB$11)</f>
        <v>31.036461193019704</v>
      </c>
      <c r="AC52" s="564">
        <f>$AC$16*(('Table 2 StormwaterGroundwater'!E43)/$AC$11)</f>
        <v>97.941239218847969</v>
      </c>
      <c r="AD52" s="564">
        <f>$AD$16*(('Table 2 StormwaterGroundwater'!E43)/$AD$11)</f>
        <v>61.024550425388071</v>
      </c>
      <c r="AE52" s="564">
        <f>$AE$16*(('Table 2 StormwaterGroundwater'!E43+'Table 2 StormwaterGroundwater'!C43)/$AE$11)</f>
        <v>123.92352916486581</v>
      </c>
      <c r="AF52" s="564">
        <f>$AF$16*(('Table 2 StormwaterGroundwater'!F43+'Table 2 StormwaterGroundwater'!E43+'Table 2 StormwaterGroundwater'!C43)/$AF$11)</f>
        <v>65.90083955829256</v>
      </c>
      <c r="AG52" s="564">
        <f>$AG$16*(('Table 2 StormwaterGroundwater'!F43+'Table 2 StormwaterGroundwater'!E43+'Table 2 StormwaterGroundwater'!C43)/$AG$11)</f>
        <v>329.35807223154359</v>
      </c>
      <c r="AH52" s="568">
        <f>30*'Table 5 Flows to Evap &amp; WTP'!F40</f>
        <v>165.24811674350934</v>
      </c>
    </row>
    <row r="53" spans="2:34" ht="14.25" x14ac:dyDescent="0.2">
      <c r="B53" s="345">
        <f t="shared" si="41"/>
        <v>26</v>
      </c>
      <c r="C53" s="628">
        <f t="shared" si="38"/>
        <v>99366.014384688722</v>
      </c>
      <c r="D53" s="628">
        <f t="shared" si="39"/>
        <v>184919.00407585857</v>
      </c>
      <c r="E53" s="629">
        <f t="shared" si="40"/>
        <v>284285.01846054732</v>
      </c>
      <c r="G53" s="56"/>
      <c r="I53" s="53"/>
      <c r="M53" s="155">
        <f t="shared" si="45"/>
        <v>36</v>
      </c>
      <c r="N53" s="562">
        <f t="shared" si="42"/>
        <v>323.39236353376248</v>
      </c>
      <c r="O53" s="341">
        <f t="shared" si="43"/>
        <v>696.48873231159791</v>
      </c>
      <c r="P53" s="569">
        <f t="shared" si="44"/>
        <v>1047.0006616734931</v>
      </c>
      <c r="Q53" s="156">
        <f t="shared" si="36"/>
        <v>136.52834962853723</v>
      </c>
      <c r="R53" s="156">
        <f t="shared" si="37"/>
        <v>27.119565828132657</v>
      </c>
      <c r="S53" s="564">
        <v>0</v>
      </c>
      <c r="T53" s="565">
        <f>$T$16*(('Table 2 StormwaterGroundwater'!H44/2)/'Table 13 Power Costs'!$T$11)</f>
        <v>0.13654705596859373</v>
      </c>
      <c r="U53" s="571">
        <f>$U$16*('Table 2 StormwaterGroundwater'!Y44/'Table 13 Power Costs'!$U$11)</f>
        <v>0.11018361100216202</v>
      </c>
      <c r="V53" s="564">
        <f>$V$16*(('Table 2 StormwaterGroundwater'!Y44+'Table 2 StormwaterGroundwater'!AE44+'Table 2 StormwaterGroundwater'!W44+5)/$V$11)</f>
        <v>4.9876815185726731</v>
      </c>
      <c r="W53" s="564">
        <f>$W$16*(('Table 2 StormwaterGroundwater'!Y44+'Table 2 StormwaterGroundwater'!AE44+'Table 2 StormwaterGroundwater'!W44+'Table 2 StormwaterGroundwater'!U44+'Table 2 StormwaterGroundwater'!O44+'Table 2 StormwaterGroundwater'!S44+5)/$W$11)</f>
        <v>2.8428497293461734</v>
      </c>
      <c r="X53" s="565">
        <f>$X$16*(('Table 2 StormwaterGroundwater'!Q44+5)/'Table 13 Power Costs'!$X$11)</f>
        <v>0.39668650810496492</v>
      </c>
      <c r="Y53" s="566">
        <f>$Y$16*(('Table 2 StormwaterGroundwater'!AC44+'Table 2 StormwaterGroundwater'!AA44+'Table 2 StormwaterGroundwater'!Q44+'Table 2 StormwaterGroundwater'!M44+'Table 2 StormwaterGroundwater'!K44+5)/$Y$11)</f>
        <v>1.1039508742889963</v>
      </c>
      <c r="Z53" s="566">
        <f>$Z$16*(('Table 2 StormwaterGroundwater'!S44*0.3)/$Z$11)</f>
        <v>0.10624409431720903</v>
      </c>
      <c r="AA53" s="567">
        <v>0</v>
      </c>
      <c r="AB53" s="567">
        <f>$AB$16*(('Table 2 StormwaterGroundwater'!I44+'Table 2 StormwaterGroundwater'!G44)/$AB$11)</f>
        <v>31.036461193019704</v>
      </c>
      <c r="AC53" s="564">
        <f>$AC$16*(('Table 2 StormwaterGroundwater'!E44)/$AC$11)</f>
        <v>97.941239218847969</v>
      </c>
      <c r="AD53" s="564">
        <f>$AD$16*(('Table 2 StormwaterGroundwater'!E44)/$AD$11)</f>
        <v>61.024550425388071</v>
      </c>
      <c r="AE53" s="564">
        <f>$AE$16*(('Table 2 StormwaterGroundwater'!E44+'Table 2 StormwaterGroundwater'!C44)/$AE$11)</f>
        <v>123.70596930490592</v>
      </c>
      <c r="AF53" s="564">
        <f>$AF$16*(('Table 2 StormwaterGroundwater'!F44+'Table 2 StormwaterGroundwater'!E44+'Table 2 StormwaterGroundwater'!C44)/$AF$11)</f>
        <v>65.829975998569935</v>
      </c>
      <c r="AG53" s="564">
        <f>$AG$16*(('Table 2 StormwaterGroundwater'!F44+'Table 2 StormwaterGroundwater'!E44+'Table 2 StormwaterGroundwater'!C44)/$AG$11)</f>
        <v>329.00391156260309</v>
      </c>
      <c r="AH53" s="568">
        <f>30*'Table 5 Flows to Evap &amp; WTP'!F41</f>
        <v>165.12649512188773</v>
      </c>
    </row>
    <row r="54" spans="2:34" ht="14.25" x14ac:dyDescent="0.2">
      <c r="B54" s="345">
        <f t="shared" si="41"/>
        <v>27</v>
      </c>
      <c r="C54" s="628">
        <f t="shared" si="38"/>
        <v>99287.328713073555</v>
      </c>
      <c r="D54" s="628">
        <f t="shared" si="39"/>
        <v>184754.23888237638</v>
      </c>
      <c r="E54" s="629">
        <f t="shared" si="40"/>
        <v>284041.56759544992</v>
      </c>
      <c r="G54" s="56"/>
      <c r="I54" s="53"/>
      <c r="M54" s="155">
        <f t="shared" si="45"/>
        <v>37</v>
      </c>
      <c r="N54" s="562">
        <f t="shared" si="42"/>
        <v>323.17475174138201</v>
      </c>
      <c r="O54" s="341">
        <f t="shared" si="43"/>
        <v>696.00279581711766</v>
      </c>
      <c r="P54" s="569">
        <f t="shared" si="44"/>
        <v>1046.2971133866324</v>
      </c>
      <c r="Q54" s="156">
        <f t="shared" si="36"/>
        <v>136.52834962853723</v>
      </c>
      <c r="R54" s="156">
        <f t="shared" si="37"/>
        <v>27.119565828132657</v>
      </c>
      <c r="S54" s="564">
        <v>0</v>
      </c>
      <c r="T54" s="565">
        <f>$T$16*(('Table 2 StormwaterGroundwater'!H45/2)/'Table 13 Power Costs'!$T$11)</f>
        <v>0.13654705596859373</v>
      </c>
      <c r="U54" s="571">
        <f>$U$16*('Table 2 StormwaterGroundwater'!Y45/'Table 13 Power Costs'!$U$11)</f>
        <v>0.11018361100216202</v>
      </c>
      <c r="V54" s="564">
        <f>$V$16*(('Table 2 StormwaterGroundwater'!Y45+'Table 2 StormwaterGroundwater'!AE45+'Table 2 StormwaterGroundwater'!W45+5)/$V$11)</f>
        <v>4.9876815185726731</v>
      </c>
      <c r="W54" s="564">
        <f>$W$16*(('Table 2 StormwaterGroundwater'!Y45+'Table 2 StormwaterGroundwater'!AE45+'Table 2 StormwaterGroundwater'!W45+'Table 2 StormwaterGroundwater'!U45+'Table 2 StormwaterGroundwater'!O45+'Table 2 StormwaterGroundwater'!S45+5)/$W$11)</f>
        <v>2.8428497293461734</v>
      </c>
      <c r="X54" s="565">
        <f>$X$16*(('Table 2 StormwaterGroundwater'!Q45+5)/'Table 13 Power Costs'!$X$11)</f>
        <v>0.39668650810496492</v>
      </c>
      <c r="Y54" s="566">
        <f>$Y$16*(('Table 2 StormwaterGroundwater'!AC45+'Table 2 StormwaterGroundwater'!AA45+'Table 2 StormwaterGroundwater'!Q45+'Table 2 StormwaterGroundwater'!M45+'Table 2 StormwaterGroundwater'!K45+5)/$Y$11)</f>
        <v>1.1039508742889963</v>
      </c>
      <c r="Z54" s="566">
        <f>$Z$16*(('Table 2 StormwaterGroundwater'!S45*0.3)/$Z$11)</f>
        <v>0.10624409431720903</v>
      </c>
      <c r="AA54" s="567">
        <v>0</v>
      </c>
      <c r="AB54" s="567">
        <f>$AB$16*(('Table 2 StormwaterGroundwater'!I45+'Table 2 StormwaterGroundwater'!G45)/$AB$11)</f>
        <v>31.036461193019704</v>
      </c>
      <c r="AC54" s="564">
        <f>$AC$16*(('Table 2 StormwaterGroundwater'!E45)/$AC$11)</f>
        <v>97.941239218847969</v>
      </c>
      <c r="AD54" s="564">
        <f>$AD$16*(('Table 2 StormwaterGroundwater'!E45)/$AD$11)</f>
        <v>61.024550425388071</v>
      </c>
      <c r="AE54" s="564">
        <f>$AE$16*(('Table 2 StormwaterGroundwater'!E45+'Table 2 StormwaterGroundwater'!C45)/$AE$11)</f>
        <v>123.48835751252548</v>
      </c>
      <c r="AF54" s="564">
        <f>$AF$16*(('Table 2 StormwaterGroundwater'!F45+'Table 2 StormwaterGroundwater'!E45+'Table 2 StormwaterGroundwater'!C45)/$AF$11)</f>
        <v>65.759095523428357</v>
      </c>
      <c r="AG54" s="564">
        <f>$AG$16*(('Table 2 StormwaterGroundwater'!F45+'Table 2 StormwaterGroundwater'!E45+'Table 2 StormwaterGroundwater'!C45)/$AG$11)</f>
        <v>328.64966635407524</v>
      </c>
      <c r="AH54" s="568">
        <f>30*'Table 5 Flows to Evap &amp; WTP'!F42</f>
        <v>165.06568431107689</v>
      </c>
    </row>
    <row r="55" spans="2:34" ht="14.25" x14ac:dyDescent="0.2">
      <c r="B55" s="345">
        <f t="shared" si="41"/>
        <v>28</v>
      </c>
      <c r="C55" s="628">
        <f t="shared" si="38"/>
        <v>99209.585373920752</v>
      </c>
      <c r="D55" s="628">
        <f t="shared" si="39"/>
        <v>184591.06331031918</v>
      </c>
      <c r="E55" s="629">
        <f t="shared" si="40"/>
        <v>283800.64868423995</v>
      </c>
      <c r="F55" s="37"/>
      <c r="H55" s="37"/>
      <c r="I55" s="53"/>
      <c r="M55" s="155">
        <f t="shared" si="45"/>
        <v>38</v>
      </c>
      <c r="N55" s="562">
        <f t="shared" si="42"/>
        <v>322.95799023740676</v>
      </c>
      <c r="O55" s="341">
        <f t="shared" si="43"/>
        <v>695.5185204432762</v>
      </c>
      <c r="P55" s="569">
        <f t="shared" si="44"/>
        <v>1045.5960765088157</v>
      </c>
      <c r="Q55" s="156">
        <f t="shared" si="36"/>
        <v>136.52834962853723</v>
      </c>
      <c r="R55" s="156">
        <f t="shared" si="37"/>
        <v>27.119565828132657</v>
      </c>
      <c r="S55" s="564">
        <v>0</v>
      </c>
      <c r="T55" s="565">
        <f>$T$16*(('Table 2 StormwaterGroundwater'!H46/2)/'Table 13 Power Costs'!$T$11)</f>
        <v>0.13654705596859373</v>
      </c>
      <c r="U55" s="571">
        <f>$U$16*('Table 2 StormwaterGroundwater'!Y46/'Table 13 Power Costs'!$U$11)</f>
        <v>0.11018361100216202</v>
      </c>
      <c r="V55" s="564">
        <f>$V$16*(('Table 2 StormwaterGroundwater'!Y46+'Table 2 StormwaterGroundwater'!AE46+'Table 2 StormwaterGroundwater'!W46+5)/$V$11)</f>
        <v>4.9876815185726731</v>
      </c>
      <c r="W55" s="564">
        <f>$W$16*(('Table 2 StormwaterGroundwater'!Y46+'Table 2 StormwaterGroundwater'!AE46+'Table 2 StormwaterGroundwater'!W46+'Table 2 StormwaterGroundwater'!U46+'Table 2 StormwaterGroundwater'!O46+'Table 2 StormwaterGroundwater'!S46+5)/$W$11)</f>
        <v>2.8428497293461734</v>
      </c>
      <c r="X55" s="565">
        <f>$X$16*(('Table 2 StormwaterGroundwater'!Q46+5)/'Table 13 Power Costs'!$X$11)</f>
        <v>0.39668650810496492</v>
      </c>
      <c r="Y55" s="566">
        <f>$Y$16*(('Table 2 StormwaterGroundwater'!AC46+'Table 2 StormwaterGroundwater'!AA46+'Table 2 StormwaterGroundwater'!Q46+'Table 2 StormwaterGroundwater'!M46+'Table 2 StormwaterGroundwater'!K46+5)/$Y$11)</f>
        <v>1.1039508742889963</v>
      </c>
      <c r="Z55" s="566">
        <f>$Z$16*(('Table 2 StormwaterGroundwater'!S46*0.3)/$Z$11)</f>
        <v>0.10624409431720903</v>
      </c>
      <c r="AA55" s="567">
        <v>0</v>
      </c>
      <c r="AB55" s="567">
        <f>$AB$16*(('Table 2 StormwaterGroundwater'!I46+'Table 2 StormwaterGroundwater'!G46)/$AB$11)</f>
        <v>31.036461193019704</v>
      </c>
      <c r="AC55" s="564">
        <f>$AC$16*(('Table 2 StormwaterGroundwater'!E46)/$AC$11)</f>
        <v>97.941239218847969</v>
      </c>
      <c r="AD55" s="564">
        <f>$AD$16*(('Table 2 StormwaterGroundwater'!E46)/$AD$11)</f>
        <v>61.024550425388071</v>
      </c>
      <c r="AE55" s="564">
        <f>$AE$16*(('Table 2 StormwaterGroundwater'!E46+'Table 2 StormwaterGroundwater'!C46)/$AE$11)</f>
        <v>123.27159600855023</v>
      </c>
      <c r="AF55" s="564">
        <f>$AF$16*(('Table 2 StormwaterGroundwater'!F46+'Table 2 StormwaterGroundwater'!E46+'Table 2 StormwaterGroundwater'!C46)/$AF$11)</f>
        <v>65.688492004078114</v>
      </c>
      <c r="AG55" s="564">
        <f>$AG$16*(('Table 2 StormwaterGroundwater'!F46+'Table 2 StormwaterGroundwater'!E46+'Table 2 StormwaterGroundwater'!C46)/$AG$11)</f>
        <v>328.29680531039475</v>
      </c>
      <c r="AH55" s="568">
        <f>30*'Table 5 Flows to Evap &amp; WTP'!F43</f>
        <v>165.00487350026611</v>
      </c>
    </row>
    <row r="56" spans="2:34" ht="14.25" x14ac:dyDescent="0.2">
      <c r="B56" s="345">
        <f t="shared" si="41"/>
        <v>29</v>
      </c>
      <c r="C56" s="628">
        <f t="shared" si="38"/>
        <v>99132.768129647011</v>
      </c>
      <c r="D56" s="628">
        <f t="shared" si="39"/>
        <v>184445.46510234784</v>
      </c>
      <c r="E56" s="629">
        <f t="shared" si="40"/>
        <v>283578.23323199485</v>
      </c>
      <c r="F56" s="37"/>
      <c r="H56" s="37"/>
      <c r="I56" s="53"/>
      <c r="M56" s="155">
        <f t="shared" si="45"/>
        <v>39</v>
      </c>
      <c r="N56" s="562">
        <f t="shared" si="42"/>
        <v>322.7424977528421</v>
      </c>
      <c r="O56" s="341">
        <f t="shared" si="43"/>
        <v>694.97591341078112</v>
      </c>
      <c r="P56" s="569">
        <f t="shared" si="44"/>
        <v>1044.8379769917558</v>
      </c>
      <c r="Q56" s="156">
        <f t="shared" si="36"/>
        <v>136.52834962853723</v>
      </c>
      <c r="R56" s="156">
        <f t="shared" si="37"/>
        <v>27.119565828132657</v>
      </c>
      <c r="S56" s="564">
        <v>0</v>
      </c>
      <c r="T56" s="565">
        <f>$T$16*(('Table 2 StormwaterGroundwater'!H47/2)/'Table 13 Power Costs'!$T$11)</f>
        <v>0.13654705596859373</v>
      </c>
      <c r="U56" s="571">
        <f>$U$16*('Table 2 StormwaterGroundwater'!Y47/'Table 13 Power Costs'!$U$11)</f>
        <v>0.11018361100216202</v>
      </c>
      <c r="V56" s="564">
        <f>$V$16*(('Table 2 StormwaterGroundwater'!Y47+'Table 2 StormwaterGroundwater'!AE47+'Table 2 StormwaterGroundwater'!W47+5)/$V$11)</f>
        <v>4.9876815185726731</v>
      </c>
      <c r="W56" s="564">
        <f>$W$16*(('Table 2 StormwaterGroundwater'!Y47+'Table 2 StormwaterGroundwater'!AE47+'Table 2 StormwaterGroundwater'!W47+'Table 2 StormwaterGroundwater'!U47+'Table 2 StormwaterGroundwater'!O47+'Table 2 StormwaterGroundwater'!S47+5)/$W$11)</f>
        <v>2.8428497293461734</v>
      </c>
      <c r="X56" s="565">
        <f>$X$16*(('Table 2 StormwaterGroundwater'!Q47+5)/'Table 13 Power Costs'!$X$11)</f>
        <v>0.39668650810496492</v>
      </c>
      <c r="Y56" s="566">
        <f>$Y$16*(('Table 2 StormwaterGroundwater'!AC47+'Table 2 StormwaterGroundwater'!AA47+'Table 2 StormwaterGroundwater'!Q47+'Table 2 StormwaterGroundwater'!M47+'Table 2 StormwaterGroundwater'!K47+5)/$Y$11)</f>
        <v>1.1039508742889963</v>
      </c>
      <c r="Z56" s="566">
        <f>$Z$16*(('Table 2 StormwaterGroundwater'!S47*0.3)/$Z$11)</f>
        <v>0.10624409431720903</v>
      </c>
      <c r="AA56" s="567">
        <v>0</v>
      </c>
      <c r="AB56" s="567">
        <f>$AB$16*(('Table 2 StormwaterGroundwater'!I47+'Table 2 StormwaterGroundwater'!G47)/$AB$11)</f>
        <v>31.036461193019704</v>
      </c>
      <c r="AC56" s="564">
        <f>$AC$16*(('Table 2 StormwaterGroundwater'!E47)/$AC$11)</f>
        <v>97.941239218847969</v>
      </c>
      <c r="AD56" s="564">
        <f>$AD$16*(('Table 2 StormwaterGroundwater'!E47)/$AD$11)</f>
        <v>61.024550425388071</v>
      </c>
      <c r="AE56" s="564">
        <f>$AE$16*(('Table 2 StormwaterGroundwater'!E47+'Table 2 StormwaterGroundwater'!C47)/$AE$11)</f>
        <v>123.05610352398557</v>
      </c>
      <c r="AF56" s="564">
        <f>$AF$16*(('Table 2 StormwaterGroundwater'!F47+'Table 2 StormwaterGroundwater'!E47+'Table 2 StormwaterGroundwater'!C47)/$AF$11)</f>
        <v>65.618301829509434</v>
      </c>
      <c r="AG56" s="564">
        <f>$AG$16*(('Table 2 StormwaterGroundwater'!F47+'Table 2 StormwaterGroundwater'!E47+'Table 2 StormwaterGroundwater'!C47)/$AG$11)</f>
        <v>327.94601007409</v>
      </c>
      <c r="AH56" s="568">
        <f>30*'Table 5 Flows to Evap &amp; WTP'!F44</f>
        <v>164.88325187864447</v>
      </c>
    </row>
    <row r="57" spans="2:34" ht="14.25" x14ac:dyDescent="0.2">
      <c r="B57" s="345">
        <f t="shared" si="41"/>
        <v>30</v>
      </c>
      <c r="C57" s="628">
        <f t="shared" si="38"/>
        <v>99056.999855298112</v>
      </c>
      <c r="D57" s="628">
        <f t="shared" si="39"/>
        <v>184285.62126877325</v>
      </c>
      <c r="E57" s="629">
        <f t="shared" si="40"/>
        <v>283342.62112407136</v>
      </c>
      <c r="M57" s="155">
        <f t="shared" si="45"/>
        <v>40</v>
      </c>
      <c r="N57" s="562">
        <f t="shared" si="42"/>
        <v>322.52864508914564</v>
      </c>
      <c r="O57" s="341">
        <f t="shared" si="43"/>
        <v>694.49732073776511</v>
      </c>
      <c r="P57" s="569">
        <f t="shared" si="44"/>
        <v>1044.1455316550434</v>
      </c>
      <c r="Q57" s="156">
        <f t="shared" si="36"/>
        <v>136.52834962853723</v>
      </c>
      <c r="R57" s="156">
        <f t="shared" si="37"/>
        <v>27.119565828132657</v>
      </c>
      <c r="S57" s="564">
        <v>0</v>
      </c>
      <c r="T57" s="565">
        <f>$T$16*(('Table 2 StormwaterGroundwater'!H48/2)/'Table 13 Power Costs'!$T$11)</f>
        <v>0.13654705596859373</v>
      </c>
      <c r="U57" s="571">
        <f>$U$16*('Table 2 StormwaterGroundwater'!Y48/'Table 13 Power Costs'!$U$11)</f>
        <v>0.11018361100216202</v>
      </c>
      <c r="V57" s="564">
        <f>$V$16*(('Table 2 StormwaterGroundwater'!Y48+'Table 2 StormwaterGroundwater'!AE48+'Table 2 StormwaterGroundwater'!W48+5)/$V$11)</f>
        <v>4.9876815185726731</v>
      </c>
      <c r="W57" s="564">
        <f>$W$16*(('Table 2 StormwaterGroundwater'!Y48+'Table 2 StormwaterGroundwater'!AE48+'Table 2 StormwaterGroundwater'!W48+'Table 2 StormwaterGroundwater'!U48+'Table 2 StormwaterGroundwater'!O48+'Table 2 StormwaterGroundwater'!S48+5)/$W$11)</f>
        <v>2.8428497293461734</v>
      </c>
      <c r="X57" s="565">
        <f>$X$16*(('Table 2 StormwaterGroundwater'!Q48+5)/'Table 13 Power Costs'!$X$11)</f>
        <v>0.39668650810496492</v>
      </c>
      <c r="Y57" s="566">
        <f>$Y$16*(('Table 2 StormwaterGroundwater'!AC48+'Table 2 StormwaterGroundwater'!AA48+'Table 2 StormwaterGroundwater'!Q48+'Table 2 StormwaterGroundwater'!M48+'Table 2 StormwaterGroundwater'!K48+5)/$Y$11)</f>
        <v>1.1039508742889963</v>
      </c>
      <c r="Z57" s="566">
        <f>$Z$16*(('Table 2 StormwaterGroundwater'!S48*0.3)/$Z$11)</f>
        <v>0.10624409431720903</v>
      </c>
      <c r="AA57" s="567">
        <v>0</v>
      </c>
      <c r="AB57" s="567">
        <f>$AB$16*(('Table 2 StormwaterGroundwater'!I48+'Table 2 StormwaterGroundwater'!G48)/$AB$11)</f>
        <v>31.036461193019704</v>
      </c>
      <c r="AC57" s="564">
        <f>$AC$16*(('Table 2 StormwaterGroundwater'!E48)/$AC$11)</f>
        <v>97.941239218847969</v>
      </c>
      <c r="AD57" s="564">
        <f>$AD$16*(('Table 2 StormwaterGroundwater'!E48)/$AD$11)</f>
        <v>61.024550425388071</v>
      </c>
      <c r="AE57" s="564">
        <f>$AE$16*(('Table 2 StormwaterGroundwater'!E48+'Table 2 StormwaterGroundwater'!C48)/$AE$11)</f>
        <v>122.84225086028913</v>
      </c>
      <c r="AF57" s="564">
        <f>$AF$16*(('Table 2 StormwaterGroundwater'!F48+'Table 2 StormwaterGroundwater'!E48+'Table 2 StormwaterGroundwater'!C48)/$AF$11)</f>
        <v>65.548645777108561</v>
      </c>
      <c r="AG57" s="564">
        <f>$AG$16*(('Table 2 StormwaterGroundwater'!F48+'Table 2 StormwaterGroundwater'!E48+'Table 2 StormwaterGroundwater'!C48)/$AG$11)</f>
        <v>327.59788426428571</v>
      </c>
      <c r="AH57" s="568">
        <f>30*'Table 5 Flows to Evap &amp; WTP'!F45</f>
        <v>164.82244106783364</v>
      </c>
    </row>
    <row r="58" spans="2:34" ht="14.25" x14ac:dyDescent="0.2">
      <c r="B58" s="345">
        <f t="shared" si="41"/>
        <v>31</v>
      </c>
      <c r="C58" s="628">
        <f t="shared" si="38"/>
        <v>98982.312237713413</v>
      </c>
      <c r="D58" s="628">
        <f t="shared" si="39"/>
        <v>184143.61552985877</v>
      </c>
      <c r="E58" s="629">
        <f t="shared" si="40"/>
        <v>283125.92776757217</v>
      </c>
      <c r="M58" s="155">
        <f t="shared" si="45"/>
        <v>41</v>
      </c>
      <c r="N58" s="562">
        <f t="shared" si="42"/>
        <v>322.31731253940262</v>
      </c>
      <c r="O58" s="341">
        <f t="shared" si="43"/>
        <v>694.02365135110074</v>
      </c>
      <c r="P58" s="569">
        <f t="shared" si="44"/>
        <v>1043.4605297186363</v>
      </c>
      <c r="Q58" s="156">
        <f t="shared" si="36"/>
        <v>136.52834962853723</v>
      </c>
      <c r="R58" s="156">
        <f t="shared" si="37"/>
        <v>27.119565828132657</v>
      </c>
      <c r="S58" s="564">
        <v>0</v>
      </c>
      <c r="T58" s="565">
        <f>$T$16*(('Table 2 StormwaterGroundwater'!H49/2)/'Table 13 Power Costs'!$T$11)</f>
        <v>0.13654705596859373</v>
      </c>
      <c r="U58" s="571">
        <f>$U$16*('Table 2 StormwaterGroundwater'!Y49/'Table 13 Power Costs'!$U$11)</f>
        <v>0.11018361100216202</v>
      </c>
      <c r="V58" s="564">
        <f>$V$16*(('Table 2 StormwaterGroundwater'!Y49+'Table 2 StormwaterGroundwater'!AE49+'Table 2 StormwaterGroundwater'!W49+5)/$V$11)</f>
        <v>4.9876815185726731</v>
      </c>
      <c r="W58" s="564">
        <f>$W$16*(('Table 2 StormwaterGroundwater'!Y49+'Table 2 StormwaterGroundwater'!AE49+'Table 2 StormwaterGroundwater'!W49+'Table 2 StormwaterGroundwater'!U49+'Table 2 StormwaterGroundwater'!O49+'Table 2 StormwaterGroundwater'!S49+5)/$W$11)</f>
        <v>2.8428497293461734</v>
      </c>
      <c r="X58" s="565">
        <f>$X$16*(('Table 2 StormwaterGroundwater'!Q49+5)/'Table 13 Power Costs'!$X$11)</f>
        <v>0.39668650810496492</v>
      </c>
      <c r="Y58" s="566">
        <f>$Y$16*(('Table 2 StormwaterGroundwater'!AC49+'Table 2 StormwaterGroundwater'!AA49+'Table 2 StormwaterGroundwater'!Q49+'Table 2 StormwaterGroundwater'!M49+'Table 2 StormwaterGroundwater'!K49+5)/$Y$11)</f>
        <v>1.1039508742889963</v>
      </c>
      <c r="Z58" s="566">
        <f>$Z$16*(('Table 2 StormwaterGroundwater'!S49*0.3)/$Z$11)</f>
        <v>0.10624409431720903</v>
      </c>
      <c r="AA58" s="567">
        <v>0</v>
      </c>
      <c r="AB58" s="567">
        <f>$AB$16*(('Table 2 StormwaterGroundwater'!I49+'Table 2 StormwaterGroundwater'!G49)/$AB$11)</f>
        <v>31.036461193019704</v>
      </c>
      <c r="AC58" s="564">
        <f>$AC$16*(('Table 2 StormwaterGroundwater'!E49)/$AC$11)</f>
        <v>97.941239218847969</v>
      </c>
      <c r="AD58" s="564">
        <f>$AD$16*(('Table 2 StormwaterGroundwater'!E49)/$AD$11)</f>
        <v>61.024550425388071</v>
      </c>
      <c r="AE58" s="564">
        <f>$AE$16*(('Table 2 StormwaterGroundwater'!E49+'Table 2 StormwaterGroundwater'!C49)/$AE$11)</f>
        <v>122.63091831054609</v>
      </c>
      <c r="AF58" s="564">
        <f>$AF$16*(('Table 2 StormwaterGroundwater'!F49+'Table 2 StormwaterGroundwater'!E49+'Table 2 StormwaterGroundwater'!C49)/$AF$11)</f>
        <v>65.479810575786004</v>
      </c>
      <c r="AG58" s="564">
        <f>$AG$16*(('Table 2 StormwaterGroundwater'!F49+'Table 2 StormwaterGroundwater'!E49+'Table 2 StormwaterGroundwater'!C49)/$AG$11)</f>
        <v>327.25386088975472</v>
      </c>
      <c r="AH58" s="568">
        <f>30*'Table 5 Flows to Evap &amp; WTP'!F46</f>
        <v>164.76163025702283</v>
      </c>
    </row>
    <row r="59" spans="2:34" ht="14.25" x14ac:dyDescent="0.2">
      <c r="B59" s="345">
        <f t="shared" si="41"/>
        <v>32</v>
      </c>
      <c r="C59" s="628">
        <f t="shared" si="38"/>
        <v>98908.843364323737</v>
      </c>
      <c r="D59" s="628">
        <f t="shared" si="39"/>
        <v>183987.65055770052</v>
      </c>
      <c r="E59" s="629">
        <f t="shared" si="40"/>
        <v>282896.49392202427</v>
      </c>
      <c r="M59" s="155">
        <f t="shared" si="45"/>
        <v>42</v>
      </c>
      <c r="N59" s="562">
        <f t="shared" si="42"/>
        <v>322.10927591943494</v>
      </c>
      <c r="O59" s="341">
        <f t="shared" si="43"/>
        <v>693.49561007122179</v>
      </c>
      <c r="P59" s="569">
        <f t="shared" si="44"/>
        <v>1042.7244518187892</v>
      </c>
      <c r="Q59" s="156">
        <f t="shared" si="36"/>
        <v>136.52834962853723</v>
      </c>
      <c r="R59" s="156">
        <f t="shared" si="37"/>
        <v>27.119565828132657</v>
      </c>
      <c r="S59" s="564">
        <v>0</v>
      </c>
      <c r="T59" s="565">
        <f>$T$16*(('Table 2 StormwaterGroundwater'!H50/2)/'Table 13 Power Costs'!$T$11)</f>
        <v>0.13654705596859373</v>
      </c>
      <c r="U59" s="571">
        <f>$U$16*('Table 2 StormwaterGroundwater'!Y50/'Table 13 Power Costs'!$U$11)</f>
        <v>0.11018361100216202</v>
      </c>
      <c r="V59" s="564">
        <f>$V$16*(('Table 2 StormwaterGroundwater'!Y50+'Table 2 StormwaterGroundwater'!AE50+'Table 2 StormwaterGroundwater'!W50+5)/$V$11)</f>
        <v>4.9876815185726731</v>
      </c>
      <c r="W59" s="564">
        <f>$W$16*(('Table 2 StormwaterGroundwater'!Y50+'Table 2 StormwaterGroundwater'!AE50+'Table 2 StormwaterGroundwater'!W50+'Table 2 StormwaterGroundwater'!U50+'Table 2 StormwaterGroundwater'!O50+'Table 2 StormwaterGroundwater'!S50+5)/$W$11)</f>
        <v>2.8428497293461734</v>
      </c>
      <c r="X59" s="565">
        <f>$X$16*(('Table 2 StormwaterGroundwater'!Q50+5)/'Table 13 Power Costs'!$X$11)</f>
        <v>0.39668650810496492</v>
      </c>
      <c r="Y59" s="566">
        <f>$Y$16*(('Table 2 StormwaterGroundwater'!AC50+'Table 2 StormwaterGroundwater'!AA50+'Table 2 StormwaterGroundwater'!Q50+'Table 2 StormwaterGroundwater'!M50+'Table 2 StormwaterGroundwater'!K50+5)/$Y$11)</f>
        <v>1.1039508742889963</v>
      </c>
      <c r="Z59" s="566">
        <f>$Z$16*(('Table 2 StormwaterGroundwater'!S50*0.3)/$Z$11)</f>
        <v>0.10624409431720903</v>
      </c>
      <c r="AA59" s="567">
        <v>0</v>
      </c>
      <c r="AB59" s="567">
        <f>$AB$16*(('Table 2 StormwaterGroundwater'!I50+'Table 2 StormwaterGroundwater'!G50)/$AB$11)</f>
        <v>31.036461193019704</v>
      </c>
      <c r="AC59" s="564">
        <f>$AC$16*(('Table 2 StormwaterGroundwater'!E50)/$AC$11)</f>
        <v>97.941239218847969</v>
      </c>
      <c r="AD59" s="564">
        <f>$AD$16*(('Table 2 StormwaterGroundwater'!E50)/$AD$11)</f>
        <v>61.024550425388071</v>
      </c>
      <c r="AE59" s="564">
        <f>$AE$16*(('Table 2 StormwaterGroundwater'!E50+'Table 2 StormwaterGroundwater'!C50)/$AE$11)</f>
        <v>122.42288169057841</v>
      </c>
      <c r="AF59" s="564">
        <f>$AF$16*(('Table 2 StormwaterGroundwater'!F50+'Table 2 StormwaterGroundwater'!E50+'Table 2 StormwaterGroundwater'!C50)/$AF$11)</f>
        <v>65.412048924136243</v>
      </c>
      <c r="AG59" s="564">
        <f>$AG$16*(('Table 2 StormwaterGroundwater'!F50+'Table 2 StormwaterGroundwater'!E50+'Table 2 StormwaterGroundwater'!C50)/$AG$11)</f>
        <v>326.915202883147</v>
      </c>
      <c r="AH59" s="568">
        <f>30*'Table 5 Flows to Evap &amp; WTP'!F47</f>
        <v>164.64000863540124</v>
      </c>
    </row>
    <row r="60" spans="2:34" ht="14.25" x14ac:dyDescent="0.2">
      <c r="B60" s="345">
        <f t="shared" si="41"/>
        <v>33</v>
      </c>
      <c r="C60" s="628">
        <f t="shared" ref="C60:C90" si="46">$I$14*(N50/($S$18+$U$18+$V$18+$W$18+$Y$18+$AA$18+$AC$18+$AD$23+$AE$23))</f>
        <v>98837.019111028974</v>
      </c>
      <c r="D60" s="628">
        <f t="shared" ref="D60:D90" si="47">($I$15+$I$18+$I$19)*(O50/($Q$23+$AF$23+$AG$23+$AH$23))</f>
        <v>183850.47503042038</v>
      </c>
      <c r="E60" s="629">
        <f t="shared" ref="E60:E90" si="48">C60+D60</f>
        <v>282687.49414144934</v>
      </c>
      <c r="M60" s="155">
        <f t="shared" si="45"/>
        <v>43</v>
      </c>
      <c r="N60" s="562">
        <f t="shared" si="42"/>
        <v>321.90463093026665</v>
      </c>
      <c r="O60" s="341">
        <f t="shared" si="43"/>
        <v>693.0350054809561</v>
      </c>
      <c r="P60" s="569">
        <f t="shared" si="44"/>
        <v>1042.0592022393555</v>
      </c>
      <c r="Q60" s="156">
        <f t="shared" si="36"/>
        <v>136.52834962853723</v>
      </c>
      <c r="R60" s="156">
        <f t="shared" si="37"/>
        <v>27.119565828132657</v>
      </c>
      <c r="S60" s="564">
        <v>0</v>
      </c>
      <c r="T60" s="565">
        <f>$T$16*(('Table 2 StormwaterGroundwater'!H51/2)/'Table 13 Power Costs'!$T$11)</f>
        <v>0.13654705596859373</v>
      </c>
      <c r="U60" s="571">
        <f>$U$16*('Table 2 StormwaterGroundwater'!Y51/'Table 13 Power Costs'!$U$11)</f>
        <v>0.11018361100216202</v>
      </c>
      <c r="V60" s="564">
        <f>$V$16*(('Table 2 StormwaterGroundwater'!Y51+'Table 2 StormwaterGroundwater'!AE51+'Table 2 StormwaterGroundwater'!W51+5)/$V$11)</f>
        <v>4.9876815185726731</v>
      </c>
      <c r="W60" s="564">
        <f>$W$16*(('Table 2 StormwaterGroundwater'!Y51+'Table 2 StormwaterGroundwater'!AE51+'Table 2 StormwaterGroundwater'!W51+'Table 2 StormwaterGroundwater'!U51+'Table 2 StormwaterGroundwater'!O51+'Table 2 StormwaterGroundwater'!S51+5)/$W$11)</f>
        <v>2.8428497293461734</v>
      </c>
      <c r="X60" s="565">
        <f>$X$16*(('Table 2 StormwaterGroundwater'!Q51+5)/'Table 13 Power Costs'!$X$11)</f>
        <v>0.39668650810496492</v>
      </c>
      <c r="Y60" s="566">
        <f>$Y$16*(('Table 2 StormwaterGroundwater'!AC51+'Table 2 StormwaterGroundwater'!AA51+'Table 2 StormwaterGroundwater'!Q51+'Table 2 StormwaterGroundwater'!M51+'Table 2 StormwaterGroundwater'!K51+5)/$Y$11)</f>
        <v>1.1039508742889963</v>
      </c>
      <c r="Z60" s="566">
        <f>$Z$16*(('Table 2 StormwaterGroundwater'!S51*0.3)/$Z$11)</f>
        <v>0.10624409431720903</v>
      </c>
      <c r="AA60" s="567">
        <v>0</v>
      </c>
      <c r="AB60" s="567">
        <f>$AB$16*(('Table 2 StormwaterGroundwater'!I51+'Table 2 StormwaterGroundwater'!G51)/$AB$11)</f>
        <v>31.036461193019704</v>
      </c>
      <c r="AC60" s="564">
        <f>$AC$16*(('Table 2 StormwaterGroundwater'!E51)/$AC$11)</f>
        <v>97.941239218847969</v>
      </c>
      <c r="AD60" s="564">
        <f>$AD$16*(('Table 2 StormwaterGroundwater'!E51)/$AD$11)</f>
        <v>61.024550425388071</v>
      </c>
      <c r="AE60" s="564">
        <f>$AE$16*(('Table 2 StormwaterGroundwater'!E51+'Table 2 StormwaterGroundwater'!C51)/$AE$11)</f>
        <v>122.21823670141009</v>
      </c>
      <c r="AF60" s="564">
        <f>$AF$16*(('Table 2 StormwaterGroundwater'!F51+'Table 2 StormwaterGroundwater'!E51+'Table 2 StormwaterGroundwater'!C51)/$AF$11)</f>
        <v>65.345391993880199</v>
      </c>
      <c r="AG60" s="564">
        <f>$AG$16*(('Table 2 StormwaterGroundwater'!F51+'Table 2 StormwaterGroundwater'!E51+'Table 2 StormwaterGroundwater'!C51)/$AG$11)</f>
        <v>326.58206603394825</v>
      </c>
      <c r="AH60" s="568">
        <f>30*'Table 5 Flows to Evap &amp; WTP'!F48</f>
        <v>164.57919782459044</v>
      </c>
    </row>
    <row r="61" spans="2:34" ht="14.25" x14ac:dyDescent="0.2">
      <c r="B61" s="345">
        <f t="shared" ref="B61:B89" si="49">B60+1</f>
        <v>34</v>
      </c>
      <c r="C61" s="628">
        <f t="shared" si="46"/>
        <v>98767.316693203626</v>
      </c>
      <c r="D61" s="628">
        <f t="shared" si="47"/>
        <v>183700.86369532856</v>
      </c>
      <c r="E61" s="629">
        <f t="shared" si="48"/>
        <v>282468.18038853217</v>
      </c>
      <c r="M61" s="155">
        <f t="shared" si="45"/>
        <v>44</v>
      </c>
      <c r="N61" s="562">
        <f t="shared" si="42"/>
        <v>321.70338926356015</v>
      </c>
      <c r="O61" s="341">
        <f t="shared" si="43"/>
        <v>692.58104961028653</v>
      </c>
      <c r="P61" s="569">
        <f t="shared" si="44"/>
        <v>1041.4040047019794</v>
      </c>
      <c r="Q61" s="156">
        <f t="shared" si="36"/>
        <v>136.52834962853723</v>
      </c>
      <c r="R61" s="156">
        <f t="shared" si="37"/>
        <v>27.119565828132657</v>
      </c>
      <c r="S61" s="564">
        <v>0</v>
      </c>
      <c r="T61" s="565">
        <f>$T$16*(('Table 2 StormwaterGroundwater'!H52/2)/'Table 13 Power Costs'!$T$11)</f>
        <v>0.13654705596859373</v>
      </c>
      <c r="U61" s="571">
        <f>$U$16*('Table 2 StormwaterGroundwater'!Y52/'Table 13 Power Costs'!$U$11)</f>
        <v>0.11018361100216202</v>
      </c>
      <c r="V61" s="564">
        <f>$V$16*(('Table 2 StormwaterGroundwater'!Y52+'Table 2 StormwaterGroundwater'!AE52+'Table 2 StormwaterGroundwater'!W52+5)/$V$11)</f>
        <v>4.9876815185726731</v>
      </c>
      <c r="W61" s="564">
        <f>$W$16*(('Table 2 StormwaterGroundwater'!Y52+'Table 2 StormwaterGroundwater'!AE52+'Table 2 StormwaterGroundwater'!W52+'Table 2 StormwaterGroundwater'!U52+'Table 2 StormwaterGroundwater'!O52+'Table 2 StormwaterGroundwater'!S52+5)/$W$11)</f>
        <v>2.8428497293461734</v>
      </c>
      <c r="X61" s="565">
        <f>$X$16*(('Table 2 StormwaterGroundwater'!Q52+5)/'Table 13 Power Costs'!$X$11)</f>
        <v>0.39668650810496492</v>
      </c>
      <c r="Y61" s="566">
        <f>$Y$16*(('Table 2 StormwaterGroundwater'!AC52+'Table 2 StormwaterGroundwater'!AA52+'Table 2 StormwaterGroundwater'!Q52+'Table 2 StormwaterGroundwater'!M52+'Table 2 StormwaterGroundwater'!K52+5)/$Y$11)</f>
        <v>1.1039508742889963</v>
      </c>
      <c r="Z61" s="566">
        <f>$Z$16*(('Table 2 StormwaterGroundwater'!S52*0.3)/$Z$11)</f>
        <v>0.10624409431720903</v>
      </c>
      <c r="AA61" s="567">
        <v>0</v>
      </c>
      <c r="AB61" s="567">
        <f>$AB$16*(('Table 2 StormwaterGroundwater'!I52+'Table 2 StormwaterGroundwater'!G52)/$AB$11)</f>
        <v>31.036461193019704</v>
      </c>
      <c r="AC61" s="564">
        <f>$AC$16*(('Table 2 StormwaterGroundwater'!E52)/$AC$11)</f>
        <v>97.941239218847969</v>
      </c>
      <c r="AD61" s="564">
        <f>$AD$16*(('Table 2 StormwaterGroundwater'!E52)/$AD$11)</f>
        <v>61.024550425388071</v>
      </c>
      <c r="AE61" s="564">
        <f>$AE$16*(('Table 2 StormwaterGroundwater'!E52+'Table 2 StormwaterGroundwater'!C52)/$AE$11)</f>
        <v>122.01699503470364</v>
      </c>
      <c r="AF61" s="564">
        <f>$AF$16*(('Table 2 StormwaterGroundwater'!F52+'Table 2 StormwaterGroundwater'!E52+'Table 2 StormwaterGroundwater'!C52)/$AF$11)</f>
        <v>65.279843593224129</v>
      </c>
      <c r="AG61" s="564">
        <f>$AG$16*(('Table 2 StormwaterGroundwater'!F52+'Table 2 StormwaterGroundwater'!E52+'Table 2 StormwaterGroundwater'!C52)/$AG$11)</f>
        <v>326.25446937474561</v>
      </c>
      <c r="AH61" s="568">
        <f>30*'Table 5 Flows to Evap &amp; WTP'!F49</f>
        <v>164.5183870137796</v>
      </c>
    </row>
    <row r="62" spans="2:34" ht="14.25" x14ac:dyDescent="0.2">
      <c r="B62" s="345">
        <f t="shared" si="49"/>
        <v>35</v>
      </c>
      <c r="C62" s="628">
        <f t="shared" si="46"/>
        <v>98699.958817717619</v>
      </c>
      <c r="D62" s="628">
        <f t="shared" si="47"/>
        <v>183571.22250453895</v>
      </c>
      <c r="E62" s="629">
        <f t="shared" si="48"/>
        <v>282271.18132225657</v>
      </c>
      <c r="M62" s="155">
        <f t="shared" si="45"/>
        <v>45</v>
      </c>
      <c r="N62" s="562">
        <f t="shared" si="42"/>
        <v>321.50601482164643</v>
      </c>
      <c r="O62" s="341">
        <f t="shared" si="43"/>
        <v>692.07383792647408</v>
      </c>
      <c r="P62" s="569">
        <f t="shared" si="44"/>
        <v>1040.699418576253</v>
      </c>
      <c r="Q62" s="156">
        <f t="shared" si="36"/>
        <v>136.52834962853723</v>
      </c>
      <c r="R62" s="156">
        <f t="shared" si="37"/>
        <v>27.119565828132657</v>
      </c>
      <c r="S62" s="564">
        <v>0</v>
      </c>
      <c r="T62" s="565">
        <f>$T$16*(('Table 2 StormwaterGroundwater'!H53/2)/'Table 13 Power Costs'!$T$11)</f>
        <v>0.13654705596859373</v>
      </c>
      <c r="U62" s="571">
        <f>$U$16*('Table 2 StormwaterGroundwater'!Y53/'Table 13 Power Costs'!$U$11)</f>
        <v>0.11018361100216202</v>
      </c>
      <c r="V62" s="564">
        <f>$V$16*(('Table 2 StormwaterGroundwater'!Y53+'Table 2 StormwaterGroundwater'!AE53+'Table 2 StormwaterGroundwater'!W53+5)/$V$11)</f>
        <v>4.9876815185726731</v>
      </c>
      <c r="W62" s="564">
        <f>$W$16*(('Table 2 StormwaterGroundwater'!Y53+'Table 2 StormwaterGroundwater'!AE53+'Table 2 StormwaterGroundwater'!W53+'Table 2 StormwaterGroundwater'!U53+'Table 2 StormwaterGroundwater'!O53+'Table 2 StormwaterGroundwater'!S53+5)/$W$11)</f>
        <v>2.8428497293461734</v>
      </c>
      <c r="X62" s="565">
        <f>$X$16*(('Table 2 StormwaterGroundwater'!Q53+5)/'Table 13 Power Costs'!$X$11)</f>
        <v>0.39668650810496492</v>
      </c>
      <c r="Y62" s="566">
        <f>$Y$16*(('Table 2 StormwaterGroundwater'!AC53+'Table 2 StormwaterGroundwater'!AA53+'Table 2 StormwaterGroundwater'!Q53+'Table 2 StormwaterGroundwater'!M53+'Table 2 StormwaterGroundwater'!K53+5)/$Y$11)</f>
        <v>1.1039508742889963</v>
      </c>
      <c r="Z62" s="566">
        <f>$Z$16*(('Table 2 StormwaterGroundwater'!S53*0.3)/$Z$11)</f>
        <v>0.10624409431720903</v>
      </c>
      <c r="AA62" s="567">
        <v>0</v>
      </c>
      <c r="AB62" s="567">
        <f>$AB$16*(('Table 2 StormwaterGroundwater'!I53+'Table 2 StormwaterGroundwater'!G53)/$AB$11)</f>
        <v>31.036461193019704</v>
      </c>
      <c r="AC62" s="564">
        <f>$AC$16*(('Table 2 StormwaterGroundwater'!E53)/$AC$11)</f>
        <v>97.941239218847969</v>
      </c>
      <c r="AD62" s="564">
        <f>$AD$16*(('Table 2 StormwaterGroundwater'!E53)/$AD$11)</f>
        <v>61.024550425388071</v>
      </c>
      <c r="AE62" s="564">
        <f>$AE$16*(('Table 2 StormwaterGroundwater'!E53+'Table 2 StormwaterGroundwater'!C53)/$AE$11)</f>
        <v>121.81962059278992</v>
      </c>
      <c r="AF62" s="564">
        <f>$AF$16*(('Table 2 StormwaterGroundwater'!F53+'Table 2 StormwaterGroundwater'!E53+'Table 2 StormwaterGroundwater'!C53)/$AF$11)</f>
        <v>65.215554824354498</v>
      </c>
      <c r="AG62" s="564">
        <f>$AG$16*(('Table 2 StormwaterGroundwater'!F53+'Table 2 StormwaterGroundwater'!E53+'Table 2 StormwaterGroundwater'!C53)/$AG$11)</f>
        <v>325.9331680814243</v>
      </c>
      <c r="AH62" s="568">
        <f>30*'Table 5 Flows to Evap &amp; WTP'!F50</f>
        <v>164.39676539215802</v>
      </c>
    </row>
    <row r="63" spans="2:34" ht="14.25" x14ac:dyDescent="0.2">
      <c r="B63" s="345">
        <f t="shared" si="49"/>
        <v>36</v>
      </c>
      <c r="C63" s="628">
        <f t="shared" si="46"/>
        <v>98633.603778313292</v>
      </c>
      <c r="D63" s="628">
        <f t="shared" si="47"/>
        <v>183427.25786492703</v>
      </c>
      <c r="E63" s="629">
        <f t="shared" si="48"/>
        <v>282060.86164324032</v>
      </c>
      <c r="M63" s="155">
        <f t="shared" si="45"/>
        <v>46</v>
      </c>
      <c r="N63" s="562">
        <f t="shared" si="42"/>
        <v>321.31286316201346</v>
      </c>
      <c r="O63" s="341">
        <f t="shared" si="43"/>
        <v>691.63568666708204</v>
      </c>
      <c r="P63" s="569">
        <f t="shared" si="44"/>
        <v>1040.0681156572282</v>
      </c>
      <c r="Q63" s="156">
        <f t="shared" si="36"/>
        <v>136.52834962853723</v>
      </c>
      <c r="R63" s="156">
        <f t="shared" si="37"/>
        <v>27.119565828132657</v>
      </c>
      <c r="S63" s="564">
        <v>0</v>
      </c>
      <c r="T63" s="565">
        <f>$T$16*(('Table 2 StormwaterGroundwater'!H54/2)/'Table 13 Power Costs'!$T$11)</f>
        <v>0.13654705596859373</v>
      </c>
      <c r="U63" s="571">
        <f>$U$16*('Table 2 StormwaterGroundwater'!Y54/'Table 13 Power Costs'!$U$11)</f>
        <v>0.11018361100216202</v>
      </c>
      <c r="V63" s="564">
        <f>$V$16*(('Table 2 StormwaterGroundwater'!Y54+'Table 2 StormwaterGroundwater'!AE54+'Table 2 StormwaterGroundwater'!W54+5)/$V$11)</f>
        <v>4.9876815185726731</v>
      </c>
      <c r="W63" s="564">
        <f>$W$16*(('Table 2 StormwaterGroundwater'!Y54+'Table 2 StormwaterGroundwater'!AE54+'Table 2 StormwaterGroundwater'!W54+'Table 2 StormwaterGroundwater'!U54+'Table 2 StormwaterGroundwater'!O54+'Table 2 StormwaterGroundwater'!S54+5)/$W$11)</f>
        <v>2.8428497293461734</v>
      </c>
      <c r="X63" s="565">
        <f>$X$16*(('Table 2 StormwaterGroundwater'!Q54+5)/'Table 13 Power Costs'!$X$11)</f>
        <v>0.39668650810496492</v>
      </c>
      <c r="Y63" s="566">
        <f>$Y$16*(('Table 2 StormwaterGroundwater'!AC54+'Table 2 StormwaterGroundwater'!AA54+'Table 2 StormwaterGroundwater'!Q54+'Table 2 StormwaterGroundwater'!M54+'Table 2 StormwaterGroundwater'!K54+5)/$Y$11)</f>
        <v>1.1039508742889963</v>
      </c>
      <c r="Z63" s="566">
        <f>$Z$16*(('Table 2 StormwaterGroundwater'!S54*0.3)/$Z$11)</f>
        <v>0.10624409431720903</v>
      </c>
      <c r="AA63" s="567">
        <v>0</v>
      </c>
      <c r="AB63" s="567">
        <f>$AB$16*(('Table 2 StormwaterGroundwater'!I54+'Table 2 StormwaterGroundwater'!G54)/$AB$11)</f>
        <v>31.036461193019704</v>
      </c>
      <c r="AC63" s="564">
        <f>$AC$16*(('Table 2 StormwaterGroundwater'!E54)/$AC$11)</f>
        <v>97.941239218847969</v>
      </c>
      <c r="AD63" s="564">
        <f>$AD$16*(('Table 2 StormwaterGroundwater'!E54)/$AD$11)</f>
        <v>61.024550425388071</v>
      </c>
      <c r="AE63" s="564">
        <f>$AE$16*(('Table 2 StormwaterGroundwater'!E54+'Table 2 StormwaterGroundwater'!C54)/$AE$11)</f>
        <v>121.62646893315693</v>
      </c>
      <c r="AF63" s="564">
        <f>$AF$16*(('Table 2 StormwaterGroundwater'!F54+'Table 2 StormwaterGroundwater'!E54+'Table 2 StormwaterGroundwater'!C54)/$AF$11)</f>
        <v>65.15264149939442</v>
      </c>
      <c r="AG63" s="564">
        <f>$AG$16*(('Table 2 StormwaterGroundwater'!F54+'Table 2 StormwaterGroundwater'!E54+'Table 2 StormwaterGroundwater'!C54)/$AG$11)</f>
        <v>325.6187409578032</v>
      </c>
      <c r="AH63" s="568">
        <f>30*'Table 5 Flows to Evap &amp; WTP'!F51</f>
        <v>164.33595458134718</v>
      </c>
    </row>
    <row r="64" spans="2:34" ht="14.25" x14ac:dyDescent="0.2">
      <c r="B64" s="345">
        <f t="shared" si="49"/>
        <v>37</v>
      </c>
      <c r="C64" s="628">
        <f t="shared" si="46"/>
        <v>98567.232899692011</v>
      </c>
      <c r="D64" s="628">
        <f t="shared" si="47"/>
        <v>183299.28163998053</v>
      </c>
      <c r="E64" s="629">
        <f t="shared" si="48"/>
        <v>281866.51453967253</v>
      </c>
      <c r="M64" s="155">
        <f t="shared" si="45"/>
        <v>47</v>
      </c>
      <c r="N64" s="562">
        <f t="shared" si="42"/>
        <v>321.12367080524569</v>
      </c>
      <c r="O64" s="341">
        <f t="shared" si="43"/>
        <v>691.20527028877825</v>
      </c>
      <c r="P64" s="569">
        <f t="shared" si="44"/>
        <v>1039.4485069221569</v>
      </c>
      <c r="Q64" s="156">
        <f t="shared" si="36"/>
        <v>136.52834962853723</v>
      </c>
      <c r="R64" s="156">
        <f t="shared" si="37"/>
        <v>27.119565828132657</v>
      </c>
      <c r="S64" s="564">
        <v>0</v>
      </c>
      <c r="T64" s="565">
        <f>$T$16*(('Table 2 StormwaterGroundwater'!H55/2)/'Table 13 Power Costs'!$T$11)</f>
        <v>0.13654705596859373</v>
      </c>
      <c r="U64" s="571">
        <f>$U$16*('Table 2 StormwaterGroundwater'!Y55/'Table 13 Power Costs'!$U$11)</f>
        <v>0.11018361100216202</v>
      </c>
      <c r="V64" s="564">
        <f>$V$16*(('Table 2 StormwaterGroundwater'!Y55+'Table 2 StormwaterGroundwater'!AE55+'Table 2 StormwaterGroundwater'!W55+5)/$V$11)</f>
        <v>4.9876815185726731</v>
      </c>
      <c r="W64" s="564">
        <f>$W$16*(('Table 2 StormwaterGroundwater'!Y55+'Table 2 StormwaterGroundwater'!AE55+'Table 2 StormwaterGroundwater'!W55+'Table 2 StormwaterGroundwater'!U55+'Table 2 StormwaterGroundwater'!O55+'Table 2 StormwaterGroundwater'!S55+5)/$W$11)</f>
        <v>2.8428497293461734</v>
      </c>
      <c r="X64" s="565">
        <f>$X$16*(('Table 2 StormwaterGroundwater'!Q55+5)/'Table 13 Power Costs'!$X$11)</f>
        <v>0.39668650810496492</v>
      </c>
      <c r="Y64" s="566">
        <f>$Y$16*(('Table 2 StormwaterGroundwater'!AC55+'Table 2 StormwaterGroundwater'!AA55+'Table 2 StormwaterGroundwater'!Q55+'Table 2 StormwaterGroundwater'!M55+'Table 2 StormwaterGroundwater'!K55+5)/$Y$11)</f>
        <v>1.1039508742889963</v>
      </c>
      <c r="Z64" s="566">
        <f>$Z$16*(('Table 2 StormwaterGroundwater'!S55*0.3)/$Z$11)</f>
        <v>0.10624409431720903</v>
      </c>
      <c r="AA64" s="567">
        <v>0</v>
      </c>
      <c r="AB64" s="567">
        <f>$AB$16*(('Table 2 StormwaterGroundwater'!I55+'Table 2 StormwaterGroundwater'!G55)/$AB$11)</f>
        <v>31.036461193019704</v>
      </c>
      <c r="AC64" s="564">
        <f>$AC$16*(('Table 2 StormwaterGroundwater'!E55)/$AC$11)</f>
        <v>97.941239218847969</v>
      </c>
      <c r="AD64" s="564">
        <f>$AD$16*(('Table 2 StormwaterGroundwater'!E55)/$AD$11)</f>
        <v>61.024550425388071</v>
      </c>
      <c r="AE64" s="564">
        <f>$AE$16*(('Table 2 StormwaterGroundwater'!E55+'Table 2 StormwaterGroundwater'!C55)/$AE$11)</f>
        <v>121.43727657638918</v>
      </c>
      <c r="AF64" s="564">
        <f>$AF$16*(('Table 2 StormwaterGroundwater'!F55+'Table 2 StormwaterGroundwater'!E55+'Table 2 StormwaterGroundwater'!C55)/$AF$11)</f>
        <v>65.091017797874557</v>
      </c>
      <c r="AG64" s="564">
        <f>$AG$16*(('Table 2 StormwaterGroundwater'!F55+'Table 2 StormwaterGroundwater'!E55+'Table 2 StormwaterGroundwater'!C55)/$AG$11)</f>
        <v>325.31075909183016</v>
      </c>
      <c r="AH64" s="568">
        <f>30*'Table 5 Flows to Evap &amp; WTP'!F52</f>
        <v>164.27514377053637</v>
      </c>
    </row>
    <row r="65" spans="2:34" ht="14.25" x14ac:dyDescent="0.2">
      <c r="B65" s="345">
        <f t="shared" si="49"/>
        <v>38</v>
      </c>
      <c r="C65" s="628">
        <f t="shared" si="46"/>
        <v>98501.121356228643</v>
      </c>
      <c r="D65" s="628">
        <f t="shared" si="47"/>
        <v>183171.74288773045</v>
      </c>
      <c r="E65" s="629">
        <f t="shared" si="48"/>
        <v>281672.86424395908</v>
      </c>
      <c r="M65" s="155">
        <f t="shared" si="45"/>
        <v>48</v>
      </c>
      <c r="N65" s="562">
        <f t="shared" si="42"/>
        <v>320.93813128509299</v>
      </c>
      <c r="O65" s="341">
        <f t="shared" si="43"/>
        <v>690.78199008010165</v>
      </c>
      <c r="P65" s="569">
        <f t="shared" si="44"/>
        <v>1038.8396871933273</v>
      </c>
      <c r="Q65" s="156">
        <f t="shared" si="36"/>
        <v>136.52834962853723</v>
      </c>
      <c r="R65" s="156">
        <f t="shared" si="37"/>
        <v>27.119565828132657</v>
      </c>
      <c r="S65" s="564">
        <v>0</v>
      </c>
      <c r="T65" s="565">
        <f>$T$16*(('Table 2 StormwaterGroundwater'!H56/2)/'Table 13 Power Costs'!$T$11)</f>
        <v>0.13654705596859373</v>
      </c>
      <c r="U65" s="571">
        <f>$U$16*('Table 2 StormwaterGroundwater'!Y56/'Table 13 Power Costs'!$U$11)</f>
        <v>0.11018361100216202</v>
      </c>
      <c r="V65" s="564">
        <f>$V$16*(('Table 2 StormwaterGroundwater'!Y56+'Table 2 StormwaterGroundwater'!AE56+'Table 2 StormwaterGroundwater'!W56+5)/$V$11)</f>
        <v>4.9876815185726731</v>
      </c>
      <c r="W65" s="564">
        <f>$W$16*(('Table 2 StormwaterGroundwater'!Y56+'Table 2 StormwaterGroundwater'!AE56+'Table 2 StormwaterGroundwater'!W56+'Table 2 StormwaterGroundwater'!U56+'Table 2 StormwaterGroundwater'!O56+'Table 2 StormwaterGroundwater'!S56+5)/$W$11)</f>
        <v>2.8428497293461734</v>
      </c>
      <c r="X65" s="565">
        <f>$X$16*(('Table 2 StormwaterGroundwater'!Q56+5)/'Table 13 Power Costs'!$X$11)</f>
        <v>0.39668650810496492</v>
      </c>
      <c r="Y65" s="566">
        <f>$Y$16*(('Table 2 StormwaterGroundwater'!AC56+'Table 2 StormwaterGroundwater'!AA56+'Table 2 StormwaterGroundwater'!Q56+'Table 2 StormwaterGroundwater'!M56+'Table 2 StormwaterGroundwater'!K56+5)/$Y$11)</f>
        <v>1.1039508742889963</v>
      </c>
      <c r="Z65" s="566">
        <f>$Z$16*(('Table 2 StormwaterGroundwater'!S56*0.3)/$Z$11)</f>
        <v>0.10624409431720903</v>
      </c>
      <c r="AA65" s="567">
        <v>0</v>
      </c>
      <c r="AB65" s="567">
        <f>$AB$16*(('Table 2 StormwaterGroundwater'!I56+'Table 2 StormwaterGroundwater'!G56)/$AB$11)</f>
        <v>31.036461193019704</v>
      </c>
      <c r="AC65" s="564">
        <f>$AC$16*(('Table 2 StormwaterGroundwater'!E56)/$AC$11)</f>
        <v>97.941239218847969</v>
      </c>
      <c r="AD65" s="564">
        <f>$AD$16*(('Table 2 StormwaterGroundwater'!E56)/$AD$11)</f>
        <v>61.024550425388071</v>
      </c>
      <c r="AE65" s="564">
        <f>$AE$16*(('Table 2 StormwaterGroundwater'!E56+'Table 2 StormwaterGroundwater'!C56)/$AE$11)</f>
        <v>121.25173705623645</v>
      </c>
      <c r="AF65" s="564">
        <f>$AF$16*(('Table 2 StormwaterGroundwater'!F56+'Table 2 StormwaterGroundwater'!E56+'Table 2 StormwaterGroundwater'!C56)/$AF$11)</f>
        <v>65.030583897661202</v>
      </c>
      <c r="AG65" s="564">
        <f>$AG$16*(('Table 2 StormwaterGroundwater'!F56+'Table 2 StormwaterGroundwater'!E56+'Table 2 StormwaterGroundwater'!C56)/$AG$11)</f>
        <v>325.0087235941777</v>
      </c>
      <c r="AH65" s="568">
        <f>30*'Table 5 Flows to Evap &amp; WTP'!F53</f>
        <v>164.21433295972554</v>
      </c>
    </row>
    <row r="66" spans="2:34" ht="14.25" x14ac:dyDescent="0.2">
      <c r="B66" s="345">
        <f t="shared" si="49"/>
        <v>39</v>
      </c>
      <c r="C66" s="628">
        <f t="shared" si="46"/>
        <v>98435.396859498112</v>
      </c>
      <c r="D66" s="628">
        <f t="shared" si="47"/>
        <v>183028.84191108658</v>
      </c>
      <c r="E66" s="629">
        <f t="shared" si="48"/>
        <v>281464.23877058469</v>
      </c>
      <c r="M66" s="155">
        <f t="shared" si="45"/>
        <v>49</v>
      </c>
      <c r="N66" s="562">
        <f t="shared" si="42"/>
        <v>320.75639677642948</v>
      </c>
      <c r="O66" s="341">
        <f t="shared" si="43"/>
        <v>690.36614332938723</v>
      </c>
      <c r="P66" s="569">
        <f t="shared" si="44"/>
        <v>1038.2421059339495</v>
      </c>
      <c r="Q66" s="156">
        <f t="shared" si="36"/>
        <v>136.52834962853723</v>
      </c>
      <c r="R66" s="156">
        <f t="shared" si="37"/>
        <v>27.119565828132657</v>
      </c>
      <c r="S66" s="564">
        <v>0</v>
      </c>
      <c r="T66" s="565">
        <f>$T$16*(('Table 2 StormwaterGroundwater'!H57/2)/'Table 13 Power Costs'!$T$11)</f>
        <v>0.13654705596859373</v>
      </c>
      <c r="U66" s="571">
        <f>$U$16*('Table 2 StormwaterGroundwater'!Y57/'Table 13 Power Costs'!$U$11)</f>
        <v>0.11018361100216202</v>
      </c>
      <c r="V66" s="564">
        <f>$V$16*(('Table 2 StormwaterGroundwater'!Y57+'Table 2 StormwaterGroundwater'!AE57+'Table 2 StormwaterGroundwater'!W57+5)/$V$11)</f>
        <v>4.9876815185726731</v>
      </c>
      <c r="W66" s="564">
        <f>$W$16*(('Table 2 StormwaterGroundwater'!Y57+'Table 2 StormwaterGroundwater'!AE57+'Table 2 StormwaterGroundwater'!W57+'Table 2 StormwaterGroundwater'!U57+'Table 2 StormwaterGroundwater'!O57+'Table 2 StormwaterGroundwater'!S57+5)/$W$11)</f>
        <v>2.8428497293461734</v>
      </c>
      <c r="X66" s="565">
        <f>$X$16*(('Table 2 StormwaterGroundwater'!Q57+5)/'Table 13 Power Costs'!$X$11)</f>
        <v>0.39668650810496492</v>
      </c>
      <c r="Y66" s="566">
        <f>$Y$16*(('Table 2 StormwaterGroundwater'!AC57+'Table 2 StormwaterGroundwater'!AA57+'Table 2 StormwaterGroundwater'!Q57+'Table 2 StormwaterGroundwater'!M57+'Table 2 StormwaterGroundwater'!K57+5)/$Y$11)</f>
        <v>1.1039508742889963</v>
      </c>
      <c r="Z66" s="566">
        <f>$Z$16*(('Table 2 StormwaterGroundwater'!S57*0.3)/$Z$11)</f>
        <v>0.10624409431720903</v>
      </c>
      <c r="AA66" s="567">
        <v>0</v>
      </c>
      <c r="AB66" s="567">
        <f>$AB$16*(('Table 2 StormwaterGroundwater'!I57+'Table 2 StormwaterGroundwater'!G57)/$AB$11)</f>
        <v>31.036461193019704</v>
      </c>
      <c r="AC66" s="564">
        <f>$AC$16*(('Table 2 StormwaterGroundwater'!E57)/$AC$11)</f>
        <v>97.941239218847969</v>
      </c>
      <c r="AD66" s="564">
        <f>$AD$16*(('Table 2 StormwaterGroundwater'!E57)/$AD$11)</f>
        <v>61.024550425388071</v>
      </c>
      <c r="AE66" s="564">
        <f>$AE$16*(('Table 2 StormwaterGroundwater'!E57+'Table 2 StormwaterGroundwater'!C57)/$AE$11)</f>
        <v>121.07000254757297</v>
      </c>
      <c r="AF66" s="564">
        <f>$AF$16*(('Table 2 StormwaterGroundwater'!F57+'Table 2 StormwaterGroundwater'!E57+'Table 2 StormwaterGroundwater'!C57)/$AF$11)</f>
        <v>64.971389365127919</v>
      </c>
      <c r="AG66" s="564">
        <f>$AG$16*(('Table 2 StormwaterGroundwater'!F57+'Table 2 StormwaterGroundwater'!E57+'Table 2 StormwaterGroundwater'!C57)/$AG$11)</f>
        <v>324.71288218680735</v>
      </c>
      <c r="AH66" s="568">
        <f>30*'Table 5 Flows to Evap &amp; WTP'!F54</f>
        <v>164.15352214891473</v>
      </c>
    </row>
    <row r="67" spans="2:34" ht="14.25" x14ac:dyDescent="0.2">
      <c r="B67" s="345">
        <f t="shared" si="49"/>
        <v>40</v>
      </c>
      <c r="C67" s="628">
        <f t="shared" si="46"/>
        <v>98370.172502721456</v>
      </c>
      <c r="D67" s="628">
        <f t="shared" si="47"/>
        <v>182902.79975480615</v>
      </c>
      <c r="E67" s="629">
        <f t="shared" si="48"/>
        <v>281272.97225752764</v>
      </c>
      <c r="M67" s="155">
        <f t="shared" si="45"/>
        <v>50</v>
      </c>
      <c r="N67" s="562">
        <f t="shared" si="42"/>
        <v>320.5785695113284</v>
      </c>
      <c r="O67" s="341">
        <f t="shared" si="43"/>
        <v>689.95792975687777</v>
      </c>
      <c r="P67" s="569">
        <f t="shared" si="44"/>
        <v>1037.6560650963388</v>
      </c>
      <c r="Q67" s="156">
        <f t="shared" si="36"/>
        <v>136.52834962853723</v>
      </c>
      <c r="R67" s="156">
        <f t="shared" si="37"/>
        <v>27.119565828132657</v>
      </c>
      <c r="S67" s="564">
        <v>0</v>
      </c>
      <c r="T67" s="565">
        <f>$T$16*(('Table 2 StormwaterGroundwater'!H58/2)/'Table 13 Power Costs'!$T$11)</f>
        <v>0.13654705596859373</v>
      </c>
      <c r="U67" s="571">
        <f>$U$16*('Table 2 StormwaterGroundwater'!Y58/'Table 13 Power Costs'!$U$11)</f>
        <v>0.11018361100216202</v>
      </c>
      <c r="V67" s="564">
        <f>$V$16*(('Table 2 StormwaterGroundwater'!Y58+'Table 2 StormwaterGroundwater'!AE58+'Table 2 StormwaterGroundwater'!W58+5)/$V$11)</f>
        <v>4.9876815185726731</v>
      </c>
      <c r="W67" s="564">
        <f>$W$16*(('Table 2 StormwaterGroundwater'!Y58+'Table 2 StormwaterGroundwater'!AE58+'Table 2 StormwaterGroundwater'!W58+'Table 2 StormwaterGroundwater'!U58+'Table 2 StormwaterGroundwater'!O58+'Table 2 StormwaterGroundwater'!S58+5)/$W$11)</f>
        <v>2.8428497293461734</v>
      </c>
      <c r="X67" s="565">
        <f>$X$16*(('Table 2 StormwaterGroundwater'!Q58+5)/'Table 13 Power Costs'!$X$11)</f>
        <v>0.39668650810496492</v>
      </c>
      <c r="Y67" s="566">
        <f>$Y$16*(('Table 2 StormwaterGroundwater'!AC58+'Table 2 StormwaterGroundwater'!AA58+'Table 2 StormwaterGroundwater'!Q58+'Table 2 StormwaterGroundwater'!M58+'Table 2 StormwaterGroundwater'!K58+5)/$Y$11)</f>
        <v>1.1039508742889963</v>
      </c>
      <c r="Z67" s="566">
        <f>$Z$16*(('Table 2 StormwaterGroundwater'!S58*0.3)/$Z$11)</f>
        <v>0.10624409431720903</v>
      </c>
      <c r="AA67" s="567">
        <v>0</v>
      </c>
      <c r="AB67" s="567">
        <f>$AB$16*(('Table 2 StormwaterGroundwater'!I58+'Table 2 StormwaterGroundwater'!G58)/$AB$11)</f>
        <v>31.036461193019704</v>
      </c>
      <c r="AC67" s="564">
        <f>$AC$16*(('Table 2 StormwaterGroundwater'!E58)/$AC$11)</f>
        <v>97.941239218847969</v>
      </c>
      <c r="AD67" s="564">
        <f>$AD$16*(('Table 2 StormwaterGroundwater'!E58)/$AD$11)</f>
        <v>61.024550425388071</v>
      </c>
      <c r="AE67" s="564">
        <f>$AE$16*(('Table 2 StormwaterGroundwater'!E58+'Table 2 StormwaterGroundwater'!C58)/$AE$11)</f>
        <v>120.89217528247188</v>
      </c>
      <c r="AF67" s="564">
        <f>$AF$16*(('Table 2 StormwaterGroundwater'!F58+'Table 2 StormwaterGroundwater'!E58+'Table 2 StormwaterGroundwater'!C58)/$AF$11)</f>
        <v>64.913467499287762</v>
      </c>
      <c r="AG67" s="564">
        <f>$AG$16*(('Table 2 StormwaterGroundwater'!F58+'Table 2 StormwaterGroundwater'!E58+'Table 2 StormwaterGroundwater'!C58)/$AG$11)</f>
        <v>324.42340129094879</v>
      </c>
      <c r="AH67" s="568">
        <f>30*'Table 5 Flows to Evap &amp; WTP'!F55</f>
        <v>164.09271133810395</v>
      </c>
    </row>
    <row r="68" spans="2:34" ht="14.25" x14ac:dyDescent="0.2">
      <c r="B68" s="345">
        <f t="shared" si="49"/>
        <v>41</v>
      </c>
      <c r="C68" s="628">
        <f t="shared" si="46"/>
        <v>98305.716772384956</v>
      </c>
      <c r="D68" s="628">
        <f t="shared" si="47"/>
        <v>182778.05419511555</v>
      </c>
      <c r="E68" s="629">
        <f t="shared" si="48"/>
        <v>281083.77096750052</v>
      </c>
      <c r="M68" s="155">
        <f t="shared" si="45"/>
        <v>51</v>
      </c>
      <c r="N68" s="562">
        <f t="shared" si="42"/>
        <v>320.40423801874061</v>
      </c>
      <c r="O68" s="341">
        <f t="shared" si="43"/>
        <v>689.55654551408145</v>
      </c>
      <c r="P68" s="569">
        <f t="shared" si="44"/>
        <v>1037.0803493609549</v>
      </c>
      <c r="Q68" s="156">
        <f t="shared" si="36"/>
        <v>136.52834962853723</v>
      </c>
      <c r="R68" s="156">
        <f t="shared" si="37"/>
        <v>27.119565828132657</v>
      </c>
      <c r="S68" s="564">
        <v>0</v>
      </c>
      <c r="T68" s="565">
        <f>$T$16*(('Table 2 StormwaterGroundwater'!H59/2)/'Table 13 Power Costs'!$T$11)</f>
        <v>0.13654705596859373</v>
      </c>
      <c r="U68" s="571">
        <f>$U$16*('Table 2 StormwaterGroundwater'!Y59/'Table 13 Power Costs'!$U$11)</f>
        <v>0.11018361100216202</v>
      </c>
      <c r="V68" s="564">
        <f>$V$16*(('Table 2 StormwaterGroundwater'!Y59+'Table 2 StormwaterGroundwater'!AE59+'Table 2 StormwaterGroundwater'!W59+5)/$V$11)</f>
        <v>4.9876815185726731</v>
      </c>
      <c r="W68" s="564">
        <f>$W$16*(('Table 2 StormwaterGroundwater'!Y59+'Table 2 StormwaterGroundwater'!AE59+'Table 2 StormwaterGroundwater'!W59+'Table 2 StormwaterGroundwater'!U59+'Table 2 StormwaterGroundwater'!O59+'Table 2 StormwaterGroundwater'!S59+5)/$W$11)</f>
        <v>2.8428497293461734</v>
      </c>
      <c r="X68" s="565">
        <f>$X$16*(('Table 2 StormwaterGroundwater'!Q59+5)/'Table 13 Power Costs'!$X$11)</f>
        <v>0.39668650810496492</v>
      </c>
      <c r="Y68" s="566">
        <f>$Y$16*(('Table 2 StormwaterGroundwater'!AC59+'Table 2 StormwaterGroundwater'!AA59+'Table 2 StormwaterGroundwater'!Q59+'Table 2 StormwaterGroundwater'!M59+'Table 2 StormwaterGroundwater'!K59+5)/$Y$11)</f>
        <v>1.1039508742889963</v>
      </c>
      <c r="Z68" s="566">
        <f>$Z$16*(('Table 2 StormwaterGroundwater'!S59*0.3)/$Z$11)</f>
        <v>0.10624409431720903</v>
      </c>
      <c r="AA68" s="567">
        <v>0</v>
      </c>
      <c r="AB68" s="567">
        <f>$AB$16*(('Table 2 StormwaterGroundwater'!I59+'Table 2 StormwaterGroundwater'!G59)/$AB$11)</f>
        <v>31.036461193019704</v>
      </c>
      <c r="AC68" s="564">
        <f>$AC$16*(('Table 2 StormwaterGroundwater'!E59)/$AC$11)</f>
        <v>97.941239218847969</v>
      </c>
      <c r="AD68" s="564">
        <f>$AD$16*(('Table 2 StormwaterGroundwater'!E59)/$AD$11)</f>
        <v>61.024550425388071</v>
      </c>
      <c r="AE68" s="564">
        <f>$AE$16*(('Table 2 StormwaterGroundwater'!E59+'Table 2 StormwaterGroundwater'!C59)/$AE$11)</f>
        <v>120.7178437898841</v>
      </c>
      <c r="AF68" s="564">
        <f>$AF$16*(('Table 2 StormwaterGroundwater'!F59+'Table 2 StormwaterGroundwater'!E59+'Table 2 StormwaterGroundwater'!C59)/$AF$11)</f>
        <v>64.85668427586225</v>
      </c>
      <c r="AG68" s="564">
        <f>$AG$16*(('Table 2 StormwaterGroundwater'!F59+'Table 2 StormwaterGroundwater'!E59+'Table 2 StormwaterGroundwater'!C59)/$AG$11)</f>
        <v>324.13961108238885</v>
      </c>
      <c r="AH68" s="568">
        <f>30*'Table 5 Flows to Evap &amp; WTP'!F56</f>
        <v>164.03190052729312</v>
      </c>
    </row>
    <row r="69" spans="2:34" ht="14.25" x14ac:dyDescent="0.2">
      <c r="B69" s="345">
        <f t="shared" si="49"/>
        <v>42</v>
      </c>
      <c r="C69" s="628">
        <f t="shared" si="46"/>
        <v>98242.266289754334</v>
      </c>
      <c r="D69" s="628">
        <f t="shared" si="47"/>
        <v>182638.98925477371</v>
      </c>
      <c r="E69" s="629">
        <f t="shared" si="48"/>
        <v>280881.25554452802</v>
      </c>
      <c r="M69" s="155">
        <f t="shared" si="45"/>
        <v>52</v>
      </c>
      <c r="N69" s="562">
        <f t="shared" si="42"/>
        <v>320.23300772835097</v>
      </c>
      <c r="O69" s="341">
        <f t="shared" si="43"/>
        <v>689.16121976972522</v>
      </c>
      <c r="P69" s="569">
        <f t="shared" si="44"/>
        <v>1036.513793326209</v>
      </c>
      <c r="Q69" s="156">
        <f t="shared" si="36"/>
        <v>136.52834962853723</v>
      </c>
      <c r="R69" s="156">
        <f t="shared" si="37"/>
        <v>27.119565828132657</v>
      </c>
      <c r="S69" s="564">
        <v>0</v>
      </c>
      <c r="T69" s="565">
        <f>$T$16*(('Table 2 StormwaterGroundwater'!H60/2)/'Table 13 Power Costs'!$T$11)</f>
        <v>0.13654705596859373</v>
      </c>
      <c r="U69" s="571">
        <f>$U$16*('Table 2 StormwaterGroundwater'!Y60/'Table 13 Power Costs'!$U$11)</f>
        <v>0.11018361100216202</v>
      </c>
      <c r="V69" s="564">
        <f>$V$16*(('Table 2 StormwaterGroundwater'!Y60+'Table 2 StormwaterGroundwater'!AE60+'Table 2 StormwaterGroundwater'!W60+5)/$V$11)</f>
        <v>4.9876815185726731</v>
      </c>
      <c r="W69" s="564">
        <f>$W$16*(('Table 2 StormwaterGroundwater'!Y60+'Table 2 StormwaterGroundwater'!AE60+'Table 2 StormwaterGroundwater'!W60+'Table 2 StormwaterGroundwater'!U60+'Table 2 StormwaterGroundwater'!O60+'Table 2 StormwaterGroundwater'!S60+5)/$W$11)</f>
        <v>2.8428497293461734</v>
      </c>
      <c r="X69" s="565">
        <f>$X$16*(('Table 2 StormwaterGroundwater'!Q60+5)/'Table 13 Power Costs'!$X$11)</f>
        <v>0.39668650810496492</v>
      </c>
      <c r="Y69" s="566">
        <f>$Y$16*(('Table 2 StormwaterGroundwater'!AC60+'Table 2 StormwaterGroundwater'!AA60+'Table 2 StormwaterGroundwater'!Q60+'Table 2 StormwaterGroundwater'!M60+'Table 2 StormwaterGroundwater'!K60+5)/$Y$11)</f>
        <v>1.1039508742889963</v>
      </c>
      <c r="Z69" s="566">
        <f>$Z$16*(('Table 2 StormwaterGroundwater'!S60*0.3)/$Z$11)</f>
        <v>0.10624409431720903</v>
      </c>
      <c r="AA69" s="567">
        <v>0</v>
      </c>
      <c r="AB69" s="567">
        <f>$AB$16*(('Table 2 StormwaterGroundwater'!I60+'Table 2 StormwaterGroundwater'!G60)/$AB$11)</f>
        <v>31.036461193019704</v>
      </c>
      <c r="AC69" s="564">
        <f>$AC$16*(('Table 2 StormwaterGroundwater'!E60)/$AC$11)</f>
        <v>97.941239218847969</v>
      </c>
      <c r="AD69" s="564">
        <f>$AD$16*(('Table 2 StormwaterGroundwater'!E60)/$AD$11)</f>
        <v>61.024550425388071</v>
      </c>
      <c r="AE69" s="564">
        <f>$AE$16*(('Table 2 StormwaterGroundwater'!E60+'Table 2 StormwaterGroundwater'!C60)/$AE$11)</f>
        <v>120.54661349949443</v>
      </c>
      <c r="AF69" s="564">
        <f>$AF$16*(('Table 2 StormwaterGroundwater'!F60+'Table 2 StormwaterGroundwater'!E60+'Table 2 StormwaterGroundwater'!C60)/$AF$11)</f>
        <v>64.800911175476969</v>
      </c>
      <c r="AG69" s="564">
        <f>$AG$16*(('Table 2 StormwaterGroundwater'!F60+'Table 2 StormwaterGroundwater'!E60+'Table 2 StormwaterGroundwater'!C60)/$AG$11)</f>
        <v>323.86086924922876</v>
      </c>
      <c r="AH69" s="568">
        <f>30*'Table 5 Flows to Evap &amp; WTP'!F57</f>
        <v>163.97108971648231</v>
      </c>
    </row>
    <row r="70" spans="2:34" ht="14.25" x14ac:dyDescent="0.2">
      <c r="B70" s="345">
        <f t="shared" si="49"/>
        <v>43</v>
      </c>
      <c r="C70" s="628">
        <f t="shared" si="46"/>
        <v>98179.85024332616</v>
      </c>
      <c r="D70" s="628">
        <f t="shared" si="47"/>
        <v>182517.68443958732</v>
      </c>
      <c r="E70" s="629">
        <f t="shared" si="48"/>
        <v>280697.53468291345</v>
      </c>
      <c r="M70" s="155">
        <f t="shared" si="45"/>
        <v>53</v>
      </c>
      <c r="N70" s="562">
        <f t="shared" si="42"/>
        <v>320.06496264328115</v>
      </c>
      <c r="O70" s="341">
        <f t="shared" si="43"/>
        <v>688.71130582122123</v>
      </c>
      <c r="P70" s="569">
        <f t="shared" si="44"/>
        <v>1035.8958342926351</v>
      </c>
      <c r="Q70" s="156">
        <f t="shared" si="36"/>
        <v>136.52834962853723</v>
      </c>
      <c r="R70" s="156">
        <f t="shared" si="37"/>
        <v>27.119565828132657</v>
      </c>
      <c r="S70" s="564">
        <v>0</v>
      </c>
      <c r="T70" s="565">
        <f>$T$16*(('Table 2 StormwaterGroundwater'!H61/2)/'Table 13 Power Costs'!$T$11)</f>
        <v>0.13654705596859373</v>
      </c>
      <c r="U70" s="571">
        <f>$U$16*('Table 2 StormwaterGroundwater'!Y61/'Table 13 Power Costs'!$U$11)</f>
        <v>0.11018361100216202</v>
      </c>
      <c r="V70" s="564">
        <f>$V$16*(('Table 2 StormwaterGroundwater'!Y61+'Table 2 StormwaterGroundwater'!AE61+'Table 2 StormwaterGroundwater'!W61+5)/$V$11)</f>
        <v>4.9876815185726731</v>
      </c>
      <c r="W70" s="564">
        <f>$W$16*(('Table 2 StormwaterGroundwater'!Y61+'Table 2 StormwaterGroundwater'!AE61+'Table 2 StormwaterGroundwater'!W61+'Table 2 StormwaterGroundwater'!U61+'Table 2 StormwaterGroundwater'!O61+'Table 2 StormwaterGroundwater'!S61+5)/$W$11)</f>
        <v>2.8428497293461734</v>
      </c>
      <c r="X70" s="565">
        <f>$X$16*(('Table 2 StormwaterGroundwater'!Q61+5)/'Table 13 Power Costs'!$X$11)</f>
        <v>0.39668650810496492</v>
      </c>
      <c r="Y70" s="566">
        <f>$Y$16*(('Table 2 StormwaterGroundwater'!AC61+'Table 2 StormwaterGroundwater'!AA61+'Table 2 StormwaterGroundwater'!Q61+'Table 2 StormwaterGroundwater'!M61+'Table 2 StormwaterGroundwater'!K61+5)/$Y$11)</f>
        <v>1.1039508742889963</v>
      </c>
      <c r="Z70" s="566">
        <f>$Z$16*(('Table 2 StormwaterGroundwater'!S61*0.3)/$Z$11)</f>
        <v>0.10624409431720903</v>
      </c>
      <c r="AA70" s="567">
        <v>0</v>
      </c>
      <c r="AB70" s="567">
        <f>$AB$16*(('Table 2 StormwaterGroundwater'!I61+'Table 2 StormwaterGroundwater'!G61)/$AB$11)</f>
        <v>31.036461193019704</v>
      </c>
      <c r="AC70" s="564">
        <f>$AC$16*(('Table 2 StormwaterGroundwater'!E61)/$AC$11)</f>
        <v>97.941239218847969</v>
      </c>
      <c r="AD70" s="564">
        <f>$AD$16*(('Table 2 StormwaterGroundwater'!E61)/$AD$11)</f>
        <v>61.024550425388071</v>
      </c>
      <c r="AE70" s="564">
        <f>$AE$16*(('Table 2 StormwaterGroundwater'!E61+'Table 2 StormwaterGroundwater'!C61)/$AE$11)</f>
        <v>120.37856841442462</v>
      </c>
      <c r="AF70" s="564">
        <f>$AF$16*(('Table 2 StormwaterGroundwater'!F61+'Table 2 StormwaterGroundwater'!E61+'Table 2 StormwaterGroundwater'!C61)/$AF$11)</f>
        <v>64.746175559614144</v>
      </c>
      <c r="AG70" s="564">
        <f>$AG$16*(('Table 2 StormwaterGroundwater'!F61+'Table 2 StormwaterGroundwater'!E61+'Table 2 StormwaterGroundwater'!C61)/$AG$11)</f>
        <v>323.58731253820923</v>
      </c>
      <c r="AH70" s="568">
        <f>30*'Table 5 Flows to Evap &amp; WTP'!F58</f>
        <v>163.8494680948607</v>
      </c>
    </row>
    <row r="71" spans="2:34" ht="14.25" x14ac:dyDescent="0.2">
      <c r="B71" s="345">
        <f t="shared" si="49"/>
        <v>44</v>
      </c>
      <c r="C71" s="628">
        <f t="shared" si="46"/>
        <v>98118.47219901887</v>
      </c>
      <c r="D71" s="628">
        <f t="shared" si="47"/>
        <v>182398.1306310537</v>
      </c>
      <c r="E71" s="629">
        <f t="shared" si="48"/>
        <v>280516.60283007257</v>
      </c>
      <c r="M71" s="155">
        <f t="shared" si="45"/>
        <v>54</v>
      </c>
      <c r="N71" s="562">
        <f t="shared" si="42"/>
        <v>319.90019296889068</v>
      </c>
      <c r="O71" s="341">
        <f t="shared" si="43"/>
        <v>688.32860151508578</v>
      </c>
      <c r="P71" s="569">
        <f t="shared" si="44"/>
        <v>1035.348360312109</v>
      </c>
      <c r="Q71" s="156">
        <f t="shared" si="36"/>
        <v>136.52834962853723</v>
      </c>
      <c r="R71" s="156">
        <f t="shared" si="37"/>
        <v>27.119565828132657</v>
      </c>
      <c r="S71" s="564">
        <v>0</v>
      </c>
      <c r="T71" s="565">
        <f>$T$16*(('Table 2 StormwaterGroundwater'!H62/2)/'Table 13 Power Costs'!$T$11)</f>
        <v>0.13654705596859373</v>
      </c>
      <c r="U71" s="571">
        <f>$U$16*('Table 2 StormwaterGroundwater'!Y62/'Table 13 Power Costs'!$U$11)</f>
        <v>0.11018361100216202</v>
      </c>
      <c r="V71" s="564">
        <f>$V$16*(('Table 2 StormwaterGroundwater'!Y62+'Table 2 StormwaterGroundwater'!AE62+'Table 2 StormwaterGroundwater'!W62+5)/$V$11)</f>
        <v>4.9876815185726731</v>
      </c>
      <c r="W71" s="564">
        <f>$W$16*(('Table 2 StormwaterGroundwater'!Y62+'Table 2 StormwaterGroundwater'!AE62+'Table 2 StormwaterGroundwater'!W62+'Table 2 StormwaterGroundwater'!U62+'Table 2 StormwaterGroundwater'!O62+'Table 2 StormwaterGroundwater'!S62+5)/$W$11)</f>
        <v>2.8428497293461734</v>
      </c>
      <c r="X71" s="565">
        <f>$X$16*(('Table 2 StormwaterGroundwater'!Q62+5)/'Table 13 Power Costs'!$X$11)</f>
        <v>0.39668650810496492</v>
      </c>
      <c r="Y71" s="566">
        <f>$Y$16*(('Table 2 StormwaterGroundwater'!AC62+'Table 2 StormwaterGroundwater'!AA62+'Table 2 StormwaterGroundwater'!Q62+'Table 2 StormwaterGroundwater'!M62+'Table 2 StormwaterGroundwater'!K62+5)/$Y$11)</f>
        <v>1.1039508742889963</v>
      </c>
      <c r="Z71" s="566">
        <f>$Z$16*(('Table 2 StormwaterGroundwater'!S62*0.3)/$Z$11)</f>
        <v>0.10624409431720903</v>
      </c>
      <c r="AA71" s="567">
        <v>0</v>
      </c>
      <c r="AB71" s="567">
        <f>$AB$16*(('Table 2 StormwaterGroundwater'!I62+'Table 2 StormwaterGroundwater'!G62)/$AB$11)</f>
        <v>31.036461193019704</v>
      </c>
      <c r="AC71" s="564">
        <f>$AC$16*(('Table 2 StormwaterGroundwater'!E62)/$AC$11)</f>
        <v>97.941239218847969</v>
      </c>
      <c r="AD71" s="564">
        <f>$AD$16*(('Table 2 StormwaterGroundwater'!E62)/$AD$11)</f>
        <v>61.024550425388071</v>
      </c>
      <c r="AE71" s="564">
        <f>$AE$16*(('Table 2 StormwaterGroundwater'!E62+'Table 2 StormwaterGroundwater'!C62)/$AE$11)</f>
        <v>120.21379874003416</v>
      </c>
      <c r="AF71" s="564">
        <f>$AF$16*(('Table 2 StormwaterGroundwater'!F62+'Table 2 StormwaterGroundwater'!E62+'Table 2 StormwaterGroundwater'!C62)/$AF$11)</f>
        <v>64.692506809947744</v>
      </c>
      <c r="AG71" s="564">
        <f>$AG$16*(('Table 2 StormwaterGroundwater'!F62+'Table 2 StormwaterGroundwater'!E62+'Table 2 StormwaterGroundwater'!C62)/$AG$11)</f>
        <v>323.31908779255082</v>
      </c>
      <c r="AH71" s="568">
        <f>30*'Table 5 Flows to Evap &amp; WTP'!F59</f>
        <v>163.78865728404992</v>
      </c>
    </row>
    <row r="72" spans="2:34" ht="14.25" x14ac:dyDescent="0.2">
      <c r="B72" s="345">
        <f t="shared" si="49"/>
        <v>45</v>
      </c>
      <c r="C72" s="628">
        <f t="shared" si="46"/>
        <v>98058.273645512658</v>
      </c>
      <c r="D72" s="628">
        <f t="shared" si="47"/>
        <v>182264.55137269301</v>
      </c>
      <c r="E72" s="629">
        <f t="shared" si="48"/>
        <v>280322.82501820568</v>
      </c>
      <c r="M72" s="155">
        <f t="shared" si="45"/>
        <v>55</v>
      </c>
      <c r="N72" s="562">
        <f t="shared" si="42"/>
        <v>319.73835755811018</v>
      </c>
      <c r="O72" s="341">
        <f t="shared" si="43"/>
        <v>687.95162957671198</v>
      </c>
      <c r="P72" s="569">
        <f t="shared" si="44"/>
        <v>1034.809552962955</v>
      </c>
      <c r="Q72" s="156">
        <f t="shared" si="36"/>
        <v>136.52834962853723</v>
      </c>
      <c r="R72" s="156">
        <f t="shared" si="37"/>
        <v>27.119565828132657</v>
      </c>
      <c r="S72" s="564">
        <v>0</v>
      </c>
      <c r="T72" s="565">
        <f>$T$16*(('Table 2 StormwaterGroundwater'!H63/2)/'Table 13 Power Costs'!$T$11)</f>
        <v>0.13654705596859373</v>
      </c>
      <c r="U72" s="571">
        <f>$U$16*('Table 2 StormwaterGroundwater'!Y63/'Table 13 Power Costs'!$U$11)</f>
        <v>0.11018361100216202</v>
      </c>
      <c r="V72" s="564">
        <f>$V$16*(('Table 2 StormwaterGroundwater'!Y63+'Table 2 StormwaterGroundwater'!AE63+'Table 2 StormwaterGroundwater'!W63+5)/$V$11)</f>
        <v>4.9876815185726731</v>
      </c>
      <c r="W72" s="564">
        <f>$W$16*(('Table 2 StormwaterGroundwater'!Y63+'Table 2 StormwaterGroundwater'!AE63+'Table 2 StormwaterGroundwater'!W63+'Table 2 StormwaterGroundwater'!U63+'Table 2 StormwaterGroundwater'!O63+'Table 2 StormwaterGroundwater'!S63+5)/$W$11)</f>
        <v>2.8428497293461734</v>
      </c>
      <c r="X72" s="565">
        <f>$X$16*(('Table 2 StormwaterGroundwater'!Q63+5)/'Table 13 Power Costs'!$X$11)</f>
        <v>0.39668650810496492</v>
      </c>
      <c r="Y72" s="566">
        <f>$Y$16*(('Table 2 StormwaterGroundwater'!AC63+'Table 2 StormwaterGroundwater'!AA63+'Table 2 StormwaterGroundwater'!Q63+'Table 2 StormwaterGroundwater'!M63+'Table 2 StormwaterGroundwater'!K63+5)/$Y$11)</f>
        <v>1.1039508742889963</v>
      </c>
      <c r="Z72" s="566">
        <f>$Z$16*(('Table 2 StormwaterGroundwater'!S63*0.3)/$Z$11)</f>
        <v>0.10624409431720903</v>
      </c>
      <c r="AA72" s="567">
        <v>0</v>
      </c>
      <c r="AB72" s="567">
        <f>$AB$16*(('Table 2 StormwaterGroundwater'!I63+'Table 2 StormwaterGroundwater'!G63)/$AB$11)</f>
        <v>31.036461193019704</v>
      </c>
      <c r="AC72" s="564">
        <f>$AC$16*(('Table 2 StormwaterGroundwater'!E63)/$AC$11)</f>
        <v>97.941239218847969</v>
      </c>
      <c r="AD72" s="564">
        <f>$AD$16*(('Table 2 StormwaterGroundwater'!E63)/$AD$11)</f>
        <v>61.024550425388071</v>
      </c>
      <c r="AE72" s="564">
        <f>$AE$16*(('Table 2 StormwaterGroundwater'!E63+'Table 2 StormwaterGroundwater'!C63)/$AE$11)</f>
        <v>120.05196332925365</v>
      </c>
      <c r="AF72" s="564">
        <f>$AF$16*(('Table 2 StormwaterGroundwater'!F63+'Table 2 StormwaterGroundwater'!E63+'Table 2 StormwaterGroundwater'!C63)/$AF$11)</f>
        <v>64.639793808113723</v>
      </c>
      <c r="AG72" s="564">
        <f>$AG$16*(('Table 2 StormwaterGroundwater'!F63+'Table 2 StormwaterGroundwater'!E63+'Table 2 StormwaterGroundwater'!C63)/$AG$11)</f>
        <v>323.05563966682189</v>
      </c>
      <c r="AH72" s="568">
        <f>30*'Table 5 Flows to Evap &amp; WTP'!F60</f>
        <v>163.72784647323908</v>
      </c>
    </row>
    <row r="73" spans="2:34" ht="14.25" x14ac:dyDescent="0.2">
      <c r="B73" s="345">
        <f t="shared" si="49"/>
        <v>46</v>
      </c>
      <c r="C73" s="628">
        <f t="shared" si="46"/>
        <v>97999.363026668158</v>
      </c>
      <c r="D73" s="628">
        <f t="shared" si="47"/>
        <v>182149.15986625242</v>
      </c>
      <c r="E73" s="629">
        <f t="shared" si="48"/>
        <v>280148.52289292059</v>
      </c>
      <c r="M73" s="155">
        <f t="shared" si="45"/>
        <v>56</v>
      </c>
      <c r="N73" s="562">
        <f t="shared" si="42"/>
        <v>319.57916369487714</v>
      </c>
      <c r="O73" s="341">
        <f t="shared" si="43"/>
        <v>687.57981815696064</v>
      </c>
      <c r="P73" s="569">
        <f t="shared" si="44"/>
        <v>1034.2785476799704</v>
      </c>
      <c r="Q73" s="156">
        <f t="shared" si="36"/>
        <v>136.52834962853723</v>
      </c>
      <c r="R73" s="156">
        <f t="shared" si="37"/>
        <v>27.119565828132657</v>
      </c>
      <c r="S73" s="564">
        <v>0</v>
      </c>
      <c r="T73" s="565">
        <f>$T$16*(('Table 2 StormwaterGroundwater'!H64/2)/'Table 13 Power Costs'!$T$11)</f>
        <v>0.13654705596859373</v>
      </c>
      <c r="U73" s="571">
        <f>$U$16*('Table 2 StormwaterGroundwater'!Y64/'Table 13 Power Costs'!$U$11)</f>
        <v>0.11018361100216202</v>
      </c>
      <c r="V73" s="564">
        <f>$V$16*(('Table 2 StormwaterGroundwater'!Y64+'Table 2 StormwaterGroundwater'!AE64+'Table 2 StormwaterGroundwater'!W64+5)/$V$11)</f>
        <v>4.9876815185726731</v>
      </c>
      <c r="W73" s="564">
        <f>$W$16*(('Table 2 StormwaterGroundwater'!Y64+'Table 2 StormwaterGroundwater'!AE64+'Table 2 StormwaterGroundwater'!W64+'Table 2 StormwaterGroundwater'!U64+'Table 2 StormwaterGroundwater'!O64+'Table 2 StormwaterGroundwater'!S64+5)/$W$11)</f>
        <v>2.8428497293461734</v>
      </c>
      <c r="X73" s="565">
        <f>$X$16*(('Table 2 StormwaterGroundwater'!Q64+5)/'Table 13 Power Costs'!$X$11)</f>
        <v>0.39668650810496492</v>
      </c>
      <c r="Y73" s="566">
        <f>$Y$16*(('Table 2 StormwaterGroundwater'!AC64+'Table 2 StormwaterGroundwater'!AA64+'Table 2 StormwaterGroundwater'!Q64+'Table 2 StormwaterGroundwater'!M64+'Table 2 StormwaterGroundwater'!K64+5)/$Y$11)</f>
        <v>1.1039508742889963</v>
      </c>
      <c r="Z73" s="566">
        <f>$Z$16*(('Table 2 StormwaterGroundwater'!S64*0.3)/$Z$11)</f>
        <v>0.10624409431720903</v>
      </c>
      <c r="AA73" s="567">
        <v>0</v>
      </c>
      <c r="AB73" s="567">
        <f>$AB$16*(('Table 2 StormwaterGroundwater'!I64+'Table 2 StormwaterGroundwater'!G64)/$AB$11)</f>
        <v>31.036461193019704</v>
      </c>
      <c r="AC73" s="564">
        <f>$AC$16*(('Table 2 StormwaterGroundwater'!E64)/$AC$11)</f>
        <v>97.941239218847969</v>
      </c>
      <c r="AD73" s="564">
        <f>$AD$16*(('Table 2 StormwaterGroundwater'!E64)/$AD$11)</f>
        <v>61.024550425388071</v>
      </c>
      <c r="AE73" s="564">
        <f>$AE$16*(('Table 2 StormwaterGroundwater'!E64+'Table 2 StormwaterGroundwater'!C64)/$AE$11)</f>
        <v>119.89276946602058</v>
      </c>
      <c r="AF73" s="564">
        <f>$AF$16*(('Table 2 StormwaterGroundwater'!F64+'Table 2 StormwaterGroundwater'!E64+'Table 2 StormwaterGroundwater'!C64)/$AF$11)</f>
        <v>64.587941210687106</v>
      </c>
      <c r="AG73" s="564">
        <f>$AG$16*(('Table 2 StormwaterGroundwater'!F64+'Table 2 StormwaterGroundwater'!E64+'Table 2 StormwaterGroundwater'!C64)/$AG$11)</f>
        <v>322.79649165530799</v>
      </c>
      <c r="AH73" s="568">
        <f>30*'Table 5 Flows to Evap &amp; WTP'!F61</f>
        <v>163.66703566242825</v>
      </c>
    </row>
    <row r="74" spans="2:34" ht="14.25" x14ac:dyDescent="0.2">
      <c r="B74" s="345">
        <f t="shared" si="49"/>
        <v>47</v>
      </c>
      <c r="C74" s="628">
        <f t="shared" si="46"/>
        <v>97941.659982133002</v>
      </c>
      <c r="D74" s="628">
        <f t="shared" si="47"/>
        <v>182035.80541793222</v>
      </c>
      <c r="E74" s="629">
        <f t="shared" si="48"/>
        <v>279977.46540006524</v>
      </c>
      <c r="M74" s="155">
        <f t="shared" si="45"/>
        <v>57</v>
      </c>
      <c r="N74" s="562">
        <f t="shared" si="42"/>
        <v>319.42278698735402</v>
      </c>
      <c r="O74" s="341">
        <f t="shared" si="43"/>
        <v>687.2135103233619</v>
      </c>
      <c r="P74" s="569">
        <f t="shared" si="44"/>
        <v>1033.7558631388488</v>
      </c>
      <c r="Q74" s="156">
        <f t="shared" si="36"/>
        <v>136.52834962853723</v>
      </c>
      <c r="R74" s="156">
        <f t="shared" si="37"/>
        <v>27.119565828132657</v>
      </c>
      <c r="S74" s="564">
        <v>0</v>
      </c>
      <c r="T74" s="565">
        <f>$T$16*(('Table 2 StormwaterGroundwater'!H65/2)/'Table 13 Power Costs'!$T$11)</f>
        <v>0.13654705596859373</v>
      </c>
      <c r="U74" s="571">
        <f>$U$16*('Table 2 StormwaterGroundwater'!Y65/'Table 13 Power Costs'!$U$11)</f>
        <v>0.11018361100216202</v>
      </c>
      <c r="V74" s="564">
        <f>$V$16*(('Table 2 StormwaterGroundwater'!Y65+'Table 2 StormwaterGroundwater'!AE65+'Table 2 StormwaterGroundwater'!W65+5)/$V$11)</f>
        <v>4.9876815185726731</v>
      </c>
      <c r="W74" s="564">
        <f>$W$16*(('Table 2 StormwaterGroundwater'!Y65+'Table 2 StormwaterGroundwater'!AE65+'Table 2 StormwaterGroundwater'!W65+'Table 2 StormwaterGroundwater'!U65+'Table 2 StormwaterGroundwater'!O65+'Table 2 StormwaterGroundwater'!S65+5)/$W$11)</f>
        <v>2.8428497293461734</v>
      </c>
      <c r="X74" s="565">
        <f>$X$16*(('Table 2 StormwaterGroundwater'!Q65+5)/'Table 13 Power Costs'!$X$11)</f>
        <v>0.39668650810496492</v>
      </c>
      <c r="Y74" s="566">
        <f>$Y$16*(('Table 2 StormwaterGroundwater'!AC65+'Table 2 StormwaterGroundwater'!AA65+'Table 2 StormwaterGroundwater'!Q65+'Table 2 StormwaterGroundwater'!M65+'Table 2 StormwaterGroundwater'!K65+5)/$Y$11)</f>
        <v>1.1039508742889963</v>
      </c>
      <c r="Z74" s="566">
        <f>$Z$16*(('Table 2 StormwaterGroundwater'!S65*0.3)/$Z$11)</f>
        <v>0.10624409431720903</v>
      </c>
      <c r="AA74" s="567">
        <v>0</v>
      </c>
      <c r="AB74" s="567">
        <f>$AB$16*(('Table 2 StormwaterGroundwater'!I65+'Table 2 StormwaterGroundwater'!G65)/$AB$11)</f>
        <v>31.036461193019704</v>
      </c>
      <c r="AC74" s="564">
        <f>$AC$16*(('Table 2 StormwaterGroundwater'!E65)/$AC$11)</f>
        <v>97.941239218847969</v>
      </c>
      <c r="AD74" s="564">
        <f>$AD$16*(('Table 2 StormwaterGroundwater'!E65)/$AD$11)</f>
        <v>61.024550425388071</v>
      </c>
      <c r="AE74" s="564">
        <f>$AE$16*(('Table 2 StormwaterGroundwater'!E65+'Table 2 StormwaterGroundwater'!C65)/$AE$11)</f>
        <v>119.73639275849749</v>
      </c>
      <c r="AF74" s="564">
        <f>$AF$16*(('Table 2 StormwaterGroundwater'!F65+'Table 2 StormwaterGroundwater'!E65+'Table 2 StormwaterGroundwater'!C65)/$AF$11)</f>
        <v>64.537006216728059</v>
      </c>
      <c r="AG74" s="564">
        <f>$AG$16*(('Table 2 StormwaterGroundwater'!F65+'Table 2 StormwaterGroundwater'!E65+'Table 2 StormwaterGroundwater'!C65)/$AG$11)</f>
        <v>322.54192962647926</v>
      </c>
      <c r="AH74" s="568">
        <f>30*'Table 5 Flows to Evap &amp; WTP'!F62</f>
        <v>163.60622485161744</v>
      </c>
    </row>
    <row r="75" spans="2:34" ht="14.25" x14ac:dyDescent="0.2">
      <c r="B75" s="345">
        <f t="shared" si="49"/>
        <v>48</v>
      </c>
      <c r="C75" s="628">
        <f t="shared" si="46"/>
        <v>97885.071040712151</v>
      </c>
      <c r="D75" s="628">
        <f t="shared" si="47"/>
        <v>181924.33035109463</v>
      </c>
      <c r="E75" s="629">
        <f t="shared" si="48"/>
        <v>279809.40139180678</v>
      </c>
      <c r="M75" s="155">
        <f t="shared" si="45"/>
        <v>58</v>
      </c>
      <c r="N75" s="562">
        <f t="shared" si="42"/>
        <v>319.26941992007221</v>
      </c>
      <c r="O75" s="341">
        <f t="shared" si="43"/>
        <v>686.85308211306506</v>
      </c>
      <c r="P75" s="569">
        <f t="shared" si="44"/>
        <v>1033.24206786127</v>
      </c>
      <c r="Q75" s="156">
        <f t="shared" si="36"/>
        <v>136.52834962853723</v>
      </c>
      <c r="R75" s="156">
        <f t="shared" si="37"/>
        <v>27.119565828132657</v>
      </c>
      <c r="S75" s="564">
        <v>0</v>
      </c>
      <c r="T75" s="565">
        <f>$T$16*(('Table 2 StormwaterGroundwater'!H66/2)/'Table 13 Power Costs'!$T$11)</f>
        <v>0.13654705596859373</v>
      </c>
      <c r="U75" s="571">
        <f>$U$16*('Table 2 StormwaterGroundwater'!Y66/'Table 13 Power Costs'!$U$11)</f>
        <v>0.11018361100216202</v>
      </c>
      <c r="V75" s="564">
        <f>$V$16*(('Table 2 StormwaterGroundwater'!Y66+'Table 2 StormwaterGroundwater'!AE66+'Table 2 StormwaterGroundwater'!W66+5)/$V$11)</f>
        <v>4.9876815185726731</v>
      </c>
      <c r="W75" s="564">
        <f>$W$16*(('Table 2 StormwaterGroundwater'!Y66+'Table 2 StormwaterGroundwater'!AE66+'Table 2 StormwaterGroundwater'!W66+'Table 2 StormwaterGroundwater'!U66+'Table 2 StormwaterGroundwater'!O66+'Table 2 StormwaterGroundwater'!S66+5)/$W$11)</f>
        <v>2.8428497293461734</v>
      </c>
      <c r="X75" s="565">
        <f>$X$16*(('Table 2 StormwaterGroundwater'!Q66+5)/'Table 13 Power Costs'!$X$11)</f>
        <v>0.39668650810496492</v>
      </c>
      <c r="Y75" s="566">
        <f>$Y$16*(('Table 2 StormwaterGroundwater'!AC66+'Table 2 StormwaterGroundwater'!AA66+'Table 2 StormwaterGroundwater'!Q66+'Table 2 StormwaterGroundwater'!M66+'Table 2 StormwaterGroundwater'!K66+5)/$Y$11)</f>
        <v>1.1039508742889963</v>
      </c>
      <c r="Z75" s="566">
        <f>$Z$16*(('Table 2 StormwaterGroundwater'!S66*0.3)/$Z$11)</f>
        <v>0.10624409431720903</v>
      </c>
      <c r="AA75" s="567">
        <v>0</v>
      </c>
      <c r="AB75" s="567">
        <f>$AB$16*(('Table 2 StormwaterGroundwater'!I66+'Table 2 StormwaterGroundwater'!G66)/$AB$11)</f>
        <v>31.036461193019704</v>
      </c>
      <c r="AC75" s="564">
        <f>$AC$16*(('Table 2 StormwaterGroundwater'!E66)/$AC$11)</f>
        <v>97.941239218847969</v>
      </c>
      <c r="AD75" s="564">
        <f>$AD$16*(('Table 2 StormwaterGroundwater'!E66)/$AD$11)</f>
        <v>61.024550425388071</v>
      </c>
      <c r="AE75" s="564">
        <f>$AE$16*(('Table 2 StormwaterGroundwater'!E66+'Table 2 StormwaterGroundwater'!C66)/$AE$11)</f>
        <v>119.58302569121568</v>
      </c>
      <c r="AF75" s="564">
        <f>$AF$16*(('Table 2 StormwaterGroundwater'!F66+'Table 2 StormwaterGroundwater'!E66+'Table 2 StormwaterGroundwater'!C66)/$AF$11)</f>
        <v>64.487051522264608</v>
      </c>
      <c r="AG75" s="564">
        <f>$AG$16*(('Table 2 StormwaterGroundwater'!F66+'Table 2 StormwaterGroundwater'!E66+'Table 2 StormwaterGroundwater'!C66)/$AG$11)</f>
        <v>322.29226692145647</v>
      </c>
      <c r="AH75" s="568">
        <f>30*'Table 5 Flows to Evap &amp; WTP'!F63</f>
        <v>163.54541404080663</v>
      </c>
    </row>
    <row r="76" spans="2:34" ht="14.25" x14ac:dyDescent="0.2">
      <c r="B76" s="345">
        <f t="shared" si="49"/>
        <v>49</v>
      </c>
      <c r="C76" s="628">
        <f t="shared" si="46"/>
        <v>97829.642615240096</v>
      </c>
      <c r="D76" s="628">
        <f t="shared" si="47"/>
        <v>181814.81295958936</v>
      </c>
      <c r="E76" s="629">
        <f t="shared" si="48"/>
        <v>279644.45557482948</v>
      </c>
      <c r="M76" s="155">
        <f t="shared" si="45"/>
        <v>59</v>
      </c>
      <c r="N76" s="562">
        <f t="shared" si="42"/>
        <v>319.11884960529687</v>
      </c>
      <c r="O76" s="341">
        <f t="shared" si="43"/>
        <v>686.49811762928925</v>
      </c>
      <c r="P76" s="569">
        <f t="shared" si="44"/>
        <v>1032.736533062719</v>
      </c>
      <c r="Q76" s="156">
        <f t="shared" si="36"/>
        <v>136.52834962853723</v>
      </c>
      <c r="R76" s="156">
        <f t="shared" si="37"/>
        <v>27.119565828132657</v>
      </c>
      <c r="S76" s="564">
        <v>0</v>
      </c>
      <c r="T76" s="565">
        <f>$T$16*(('Table 2 StormwaterGroundwater'!H67/2)/'Table 13 Power Costs'!$T$11)</f>
        <v>0.13654705596859373</v>
      </c>
      <c r="U76" s="571">
        <f>$U$16*('Table 2 StormwaterGroundwater'!Y67/'Table 13 Power Costs'!$U$11)</f>
        <v>0.11018361100216202</v>
      </c>
      <c r="V76" s="564">
        <f>$V$16*(('Table 2 StormwaterGroundwater'!Y67+'Table 2 StormwaterGroundwater'!AE67+'Table 2 StormwaterGroundwater'!W67+5)/$V$11)</f>
        <v>4.9876815185726731</v>
      </c>
      <c r="W76" s="564">
        <f>$W$16*(('Table 2 StormwaterGroundwater'!Y67+'Table 2 StormwaterGroundwater'!AE67+'Table 2 StormwaterGroundwater'!W67+'Table 2 StormwaterGroundwater'!U67+'Table 2 StormwaterGroundwater'!O67+'Table 2 StormwaterGroundwater'!S67+5)/$W$11)</f>
        <v>2.8428497293461734</v>
      </c>
      <c r="X76" s="565">
        <f>$X$16*(('Table 2 StormwaterGroundwater'!Q67+5)/'Table 13 Power Costs'!$X$11)</f>
        <v>0.39668650810496492</v>
      </c>
      <c r="Y76" s="566">
        <f>$Y$16*(('Table 2 StormwaterGroundwater'!AC67+'Table 2 StormwaterGroundwater'!AA67+'Table 2 StormwaterGroundwater'!Q67+'Table 2 StormwaterGroundwater'!M67+'Table 2 StormwaterGroundwater'!K67+5)/$Y$11)</f>
        <v>1.1039508742889963</v>
      </c>
      <c r="Z76" s="566">
        <f>$Z$16*(('Table 2 StormwaterGroundwater'!S67*0.3)/$Z$11)</f>
        <v>0.10624409431720903</v>
      </c>
      <c r="AA76" s="567">
        <v>0</v>
      </c>
      <c r="AB76" s="567">
        <f>$AB$16*(('Table 2 StormwaterGroundwater'!I67+'Table 2 StormwaterGroundwater'!G67)/$AB$11)</f>
        <v>31.036461193019704</v>
      </c>
      <c r="AC76" s="564">
        <f>$AC$16*(('Table 2 StormwaterGroundwater'!E67)/$AC$11)</f>
        <v>97.941239218847969</v>
      </c>
      <c r="AD76" s="564">
        <f>$AD$16*(('Table 2 StormwaterGroundwater'!E67)/$AD$11)</f>
        <v>61.024550425388071</v>
      </c>
      <c r="AE76" s="564">
        <f>$AE$16*(('Table 2 StormwaterGroundwater'!E67+'Table 2 StormwaterGroundwater'!C67)/$AE$11)</f>
        <v>119.43245537644037</v>
      </c>
      <c r="AF76" s="564">
        <f>$AF$16*(('Table 2 StormwaterGroundwater'!F67+'Table 2 StormwaterGroundwater'!E67+'Table 2 StormwaterGroundwater'!C67)/$AF$11)</f>
        <v>64.438007785540847</v>
      </c>
      <c r="AG76" s="564">
        <f>$AG$16*(('Table 2 StormwaterGroundwater'!F67+'Table 2 StormwaterGroundwater'!E67+'Table 2 StormwaterGroundwater'!C67)/$AG$11)</f>
        <v>322.04715698521534</v>
      </c>
      <c r="AH76" s="568">
        <f>30*'Table 5 Flows to Evap &amp; WTP'!F64</f>
        <v>163.48460322999586</v>
      </c>
    </row>
    <row r="77" spans="2:34" ht="14.25" x14ac:dyDescent="0.2">
      <c r="B77" s="345">
        <f t="shared" si="49"/>
        <v>50</v>
      </c>
      <c r="C77" s="628">
        <f t="shared" si="46"/>
        <v>97775.40588616184</v>
      </c>
      <c r="D77" s="628">
        <f t="shared" si="47"/>
        <v>181707.30584173527</v>
      </c>
      <c r="E77" s="629">
        <f t="shared" si="48"/>
        <v>279482.71172789711</v>
      </c>
      <c r="M77" s="155">
        <f t="shared" si="45"/>
        <v>60</v>
      </c>
      <c r="N77" s="562">
        <f t="shared" si="42"/>
        <v>318.97088910915761</v>
      </c>
      <c r="O77" s="341">
        <f t="shared" si="43"/>
        <v>686.14825167863876</v>
      </c>
      <c r="P77" s="569">
        <f t="shared" si="44"/>
        <v>1032.238706615929</v>
      </c>
      <c r="Q77" s="156">
        <f t="shared" si="36"/>
        <v>136.52834962853723</v>
      </c>
      <c r="R77" s="156">
        <f t="shared" si="37"/>
        <v>27.119565828132657</v>
      </c>
      <c r="S77" s="564">
        <v>0</v>
      </c>
      <c r="T77" s="565">
        <f>$T$16*(('Table 2 StormwaterGroundwater'!H68/2)/'Table 13 Power Costs'!$T$11)</f>
        <v>0.13654705596859373</v>
      </c>
      <c r="U77" s="571">
        <f>$U$16*('Table 2 StormwaterGroundwater'!Y68/'Table 13 Power Costs'!$U$11)</f>
        <v>0.11018361100216202</v>
      </c>
      <c r="V77" s="564">
        <f>$V$16*(('Table 2 StormwaterGroundwater'!Y68+'Table 2 StormwaterGroundwater'!AE68+'Table 2 StormwaterGroundwater'!W68+5)/$V$11)</f>
        <v>4.9876815185726731</v>
      </c>
      <c r="W77" s="564">
        <f>$W$16*(('Table 2 StormwaterGroundwater'!Y68+'Table 2 StormwaterGroundwater'!AE68+'Table 2 StormwaterGroundwater'!W68+'Table 2 StormwaterGroundwater'!U68+'Table 2 StormwaterGroundwater'!O68+'Table 2 StormwaterGroundwater'!S68+5)/$W$11)</f>
        <v>2.8428497293461734</v>
      </c>
      <c r="X77" s="565">
        <f>$X$16*(('Table 2 StormwaterGroundwater'!Q68+5)/'Table 13 Power Costs'!$X$11)</f>
        <v>0.39668650810496492</v>
      </c>
      <c r="Y77" s="566">
        <f>$Y$16*(('Table 2 StormwaterGroundwater'!AC68+'Table 2 StormwaterGroundwater'!AA68+'Table 2 StormwaterGroundwater'!Q68+'Table 2 StormwaterGroundwater'!M68+'Table 2 StormwaterGroundwater'!K68+5)/$Y$11)</f>
        <v>1.1039508742889963</v>
      </c>
      <c r="Z77" s="566">
        <f>$Z$16*(('Table 2 StormwaterGroundwater'!S68*0.3)/$Z$11)</f>
        <v>0.10624409431720903</v>
      </c>
      <c r="AA77" s="567">
        <v>0</v>
      </c>
      <c r="AB77" s="567">
        <f>$AB$16*(('Table 2 StormwaterGroundwater'!I68+'Table 2 StormwaterGroundwater'!G68)/$AB$11)</f>
        <v>31.036461193019704</v>
      </c>
      <c r="AC77" s="564">
        <f>$AC$16*(('Table 2 StormwaterGroundwater'!E68)/$AC$11)</f>
        <v>97.941239218847969</v>
      </c>
      <c r="AD77" s="564">
        <f>$AD$16*(('Table 2 StormwaterGroundwater'!E68)/$AD$11)</f>
        <v>61.024550425388071</v>
      </c>
      <c r="AE77" s="564">
        <f>$AE$16*(('Table 2 StormwaterGroundwater'!E68+'Table 2 StormwaterGroundwater'!C68)/$AE$11)</f>
        <v>119.28449488030108</v>
      </c>
      <c r="AF77" s="564">
        <f>$AF$16*(('Table 2 StormwaterGroundwater'!F68+'Table 2 StormwaterGroundwater'!E68+'Table 2 StormwaterGroundwater'!C68)/$AF$11)</f>
        <v>64.389814118488999</v>
      </c>
      <c r="AG77" s="564">
        <f>$AG$16*(('Table 2 StormwaterGroundwater'!F68+'Table 2 StormwaterGroundwater'!E68+'Table 2 StormwaterGroundwater'!C68)/$AG$11)</f>
        <v>321.80629551242748</v>
      </c>
      <c r="AH77" s="568">
        <f>30*'Table 5 Flows to Evap &amp; WTP'!F65</f>
        <v>163.42379241918502</v>
      </c>
    </row>
    <row r="78" spans="2:34" ht="14.25" x14ac:dyDescent="0.2">
      <c r="B78" s="345">
        <f t="shared" si="49"/>
        <v>51</v>
      </c>
      <c r="C78" s="628">
        <f t="shared" si="46"/>
        <v>97722.235356165096</v>
      </c>
      <c r="D78" s="628">
        <f t="shared" si="47"/>
        <v>181601.59729601056</v>
      </c>
      <c r="E78" s="629">
        <f t="shared" si="48"/>
        <v>279323.83265217568</v>
      </c>
      <c r="M78" s="155">
        <f t="shared" si="45"/>
        <v>61</v>
      </c>
      <c r="N78" s="562">
        <f t="shared" si="42"/>
        <v>318.82574963335168</v>
      </c>
      <c r="O78" s="341">
        <f t="shared" si="43"/>
        <v>685.80389686405647</v>
      </c>
      <c r="P78" s="569">
        <f t="shared" si="44"/>
        <v>1031.7492123255408</v>
      </c>
      <c r="Q78" s="156">
        <f t="shared" si="36"/>
        <v>136.52834962853723</v>
      </c>
      <c r="R78" s="156">
        <f t="shared" si="37"/>
        <v>27.119565828132657</v>
      </c>
      <c r="S78" s="564">
        <v>0</v>
      </c>
      <c r="T78" s="565">
        <f>$T$16*(('Table 2 StormwaterGroundwater'!H69/2)/'Table 13 Power Costs'!$T$11)</f>
        <v>0.13654705596859373</v>
      </c>
      <c r="U78" s="571">
        <f>$U$16*('Table 2 StormwaterGroundwater'!Y69/'Table 13 Power Costs'!$U$11)</f>
        <v>0.11018361100216202</v>
      </c>
      <c r="V78" s="564">
        <f>$V$16*(('Table 2 StormwaterGroundwater'!Y69+'Table 2 StormwaterGroundwater'!AE69+'Table 2 StormwaterGroundwater'!W69+5)/$V$11)</f>
        <v>4.9876815185726731</v>
      </c>
      <c r="W78" s="564">
        <f>$W$16*(('Table 2 StormwaterGroundwater'!Y69+'Table 2 StormwaterGroundwater'!AE69+'Table 2 StormwaterGroundwater'!W69+'Table 2 StormwaterGroundwater'!U69+'Table 2 StormwaterGroundwater'!O69+'Table 2 StormwaterGroundwater'!S69+5)/$W$11)</f>
        <v>2.8428497293461734</v>
      </c>
      <c r="X78" s="565">
        <f>$X$16*(('Table 2 StormwaterGroundwater'!Q69+5)/'Table 13 Power Costs'!$X$11)</f>
        <v>0.39668650810496492</v>
      </c>
      <c r="Y78" s="566">
        <f>$Y$16*(('Table 2 StormwaterGroundwater'!AC69+'Table 2 StormwaterGroundwater'!AA69+'Table 2 StormwaterGroundwater'!Q69+'Table 2 StormwaterGroundwater'!M69+'Table 2 StormwaterGroundwater'!K69+5)/$Y$11)</f>
        <v>1.1039508742889963</v>
      </c>
      <c r="Z78" s="566">
        <f>$Z$16*(('Table 2 StormwaterGroundwater'!S69*0.3)/$Z$11)</f>
        <v>0.10624409431720903</v>
      </c>
      <c r="AA78" s="567">
        <v>0</v>
      </c>
      <c r="AB78" s="567">
        <f>$AB$16*(('Table 2 StormwaterGroundwater'!I69+'Table 2 StormwaterGroundwater'!G69)/$AB$11)</f>
        <v>31.036461193019704</v>
      </c>
      <c r="AC78" s="564">
        <f>$AC$16*(('Table 2 StormwaterGroundwater'!E69)/$AC$11)</f>
        <v>97.941239218847969</v>
      </c>
      <c r="AD78" s="564">
        <f>$AD$16*(('Table 2 StormwaterGroundwater'!E69)/$AD$11)</f>
        <v>61.024550425388071</v>
      </c>
      <c r="AE78" s="564">
        <f>$AE$16*(('Table 2 StormwaterGroundwater'!E69+'Table 2 StormwaterGroundwater'!C69)/$AE$11)</f>
        <v>119.13935540449515</v>
      </c>
      <c r="AF78" s="564">
        <f>$AF$16*(('Table 2 StormwaterGroundwater'!F69+'Table 2 StormwaterGroundwater'!E69+'Table 2 StormwaterGroundwater'!C69)/$AF$11)</f>
        <v>64.342539313689173</v>
      </c>
      <c r="AG78" s="564">
        <f>$AG$16*(('Table 2 StormwaterGroundwater'!F69+'Table 2 StormwaterGroundwater'!E69+'Table 2 StormwaterGroundwater'!C69)/$AG$11)</f>
        <v>321.57002631345586</v>
      </c>
      <c r="AH78" s="568">
        <f>30*'Table 5 Flows to Evap &amp; WTP'!F66</f>
        <v>163.36298160837418</v>
      </c>
    </row>
    <row r="79" spans="2:34" ht="14.25" x14ac:dyDescent="0.2">
      <c r="B79" s="345">
        <f t="shared" si="49"/>
        <v>52</v>
      </c>
      <c r="C79" s="628">
        <f t="shared" si="46"/>
        <v>97670.01068260576</v>
      </c>
      <c r="D79" s="628">
        <f t="shared" si="47"/>
        <v>181497.48431630735</v>
      </c>
      <c r="E79" s="629">
        <f t="shared" si="48"/>
        <v>279167.49499891314</v>
      </c>
      <c r="M79" s="155">
        <f t="shared" si="45"/>
        <v>62</v>
      </c>
      <c r="N79" s="562">
        <f t="shared" si="42"/>
        <v>317.82362315680831</v>
      </c>
      <c r="O79" s="341">
        <f t="shared" si="43"/>
        <v>683.48128100231997</v>
      </c>
      <c r="P79" s="569">
        <f t="shared" si="44"/>
        <v>1028.4244699872611</v>
      </c>
      <c r="Q79" s="156">
        <f t="shared" si="36"/>
        <v>136.52834962853723</v>
      </c>
      <c r="R79" s="156">
        <f t="shared" si="37"/>
        <v>27.119565828132657</v>
      </c>
      <c r="S79" s="564">
        <v>0</v>
      </c>
      <c r="T79" s="565">
        <f>$T$16*(('Table 2 StormwaterGroundwater'!H70/2)/'Table 13 Power Costs'!$T$11)</f>
        <v>0.13654705596859373</v>
      </c>
      <c r="U79" s="571">
        <f>$U$16*('Table 2 StormwaterGroundwater'!Y70/'Table 13 Power Costs'!$U$11)</f>
        <v>0.11018361100216202</v>
      </c>
      <c r="V79" s="564">
        <f>$V$16*(('Table 2 StormwaterGroundwater'!Y70+'Table 2 StormwaterGroundwater'!AE70+'Table 2 StormwaterGroundwater'!W70+5)/$V$11)</f>
        <v>4.9876815185726731</v>
      </c>
      <c r="W79" s="564">
        <f>$W$16*(('Table 2 StormwaterGroundwater'!Y70+'Table 2 StormwaterGroundwater'!AE70+'Table 2 StormwaterGroundwater'!W70+'Table 2 StormwaterGroundwater'!U70+'Table 2 StormwaterGroundwater'!O70+'Table 2 StormwaterGroundwater'!S70+5)/$W$11)</f>
        <v>2.8428497293461734</v>
      </c>
      <c r="X79" s="565">
        <f>$X$16*(('Table 2 StormwaterGroundwater'!Q70+5)/'Table 13 Power Costs'!$X$11)</f>
        <v>0.39668650810496492</v>
      </c>
      <c r="Y79" s="566">
        <f>$Y$16*(('Table 2 StormwaterGroundwater'!AC70+'Table 2 StormwaterGroundwater'!AA70+'Table 2 StormwaterGroundwater'!Q70+'Table 2 StormwaterGroundwater'!M70+'Table 2 StormwaterGroundwater'!K70+5)/$Y$11)</f>
        <v>1.1039508742889963</v>
      </c>
      <c r="Z79" s="566">
        <f>$Z$16*(('Table 2 StormwaterGroundwater'!S70*0.3)/$Z$11)</f>
        <v>0.10624409431720903</v>
      </c>
      <c r="AA79" s="567">
        <v>0</v>
      </c>
      <c r="AB79" s="567">
        <f>$AB$16*(('Table 2 StormwaterGroundwater'!I70+'Table 2 StormwaterGroundwater'!G70)/$AB$11)</f>
        <v>31.036461193019704</v>
      </c>
      <c r="AC79" s="564">
        <f>$AC$16*(('Table 2 StormwaterGroundwater'!E70)/$AC$11)</f>
        <v>97.941239218847969</v>
      </c>
      <c r="AD79" s="564">
        <f>$AD$16*(('Table 2 StormwaterGroundwater'!E70)/$AD$11)</f>
        <v>61.024550425388071</v>
      </c>
      <c r="AE79" s="564">
        <f>$AE$16*(('Table 2 StormwaterGroundwater'!E70+'Table 2 StormwaterGroundwater'!C70)/$AE$11)</f>
        <v>118.1372289279518</v>
      </c>
      <c r="AF79" s="564">
        <f>$AF$16*(('Table 2 StormwaterGroundwater'!F70+'Table 2 StormwaterGroundwater'!E70+'Table 2 StormwaterGroundwater'!C70)/$AF$11)</f>
        <v>64.016126852156816</v>
      </c>
      <c r="AG79" s="564">
        <f>$AG$16*(('Table 2 StormwaterGroundwater'!F70+'Table 2 StormwaterGroundwater'!E70+'Table 2 StormwaterGroundwater'!C70)/$AG$11)</f>
        <v>319.93868777811667</v>
      </c>
      <c r="AH79" s="568">
        <f>30*'Table 5 Flows to Evap &amp; WTP'!F67</f>
        <v>162.99811674350934</v>
      </c>
    </row>
    <row r="80" spans="2:34" ht="14.25" x14ac:dyDescent="0.2">
      <c r="B80" s="345">
        <f t="shared" si="49"/>
        <v>53</v>
      </c>
      <c r="C80" s="628">
        <f t="shared" si="46"/>
        <v>97618.757486158705</v>
      </c>
      <c r="D80" s="628">
        <f t="shared" si="47"/>
        <v>181378.99498831009</v>
      </c>
      <c r="E80" s="629">
        <f t="shared" si="48"/>
        <v>278997.75247446878</v>
      </c>
      <c r="M80" s="155">
        <f t="shared" si="45"/>
        <v>63</v>
      </c>
      <c r="N80" s="562">
        <f t="shared" si="42"/>
        <v>317.28664682576414</v>
      </c>
      <c r="O80" s="341">
        <f t="shared" si="43"/>
        <v>682.24981337123256</v>
      </c>
      <c r="P80" s="569">
        <f t="shared" si="44"/>
        <v>1026.6560260251294</v>
      </c>
      <c r="Q80" s="156">
        <f t="shared" si="36"/>
        <v>136.52834962853723</v>
      </c>
      <c r="R80" s="156">
        <f t="shared" si="37"/>
        <v>27.119565828132657</v>
      </c>
      <c r="S80" s="564">
        <v>0</v>
      </c>
      <c r="T80" s="565">
        <f>$T$16*(('Table 2 StormwaterGroundwater'!H71/2)/'Table 13 Power Costs'!$T$11)</f>
        <v>0.13654705596859373</v>
      </c>
      <c r="U80" s="571">
        <f>$U$16*('Table 2 StormwaterGroundwater'!Y71/'Table 13 Power Costs'!$U$11)</f>
        <v>0.11018361100216202</v>
      </c>
      <c r="V80" s="564">
        <f>$V$16*(('Table 2 StormwaterGroundwater'!Y71+'Table 2 StormwaterGroundwater'!AE71+'Table 2 StormwaterGroundwater'!W71+5)/$V$11)</f>
        <v>4.9876815185726731</v>
      </c>
      <c r="W80" s="564">
        <f>$W$16*(('Table 2 StormwaterGroundwater'!Y71+'Table 2 StormwaterGroundwater'!AE71+'Table 2 StormwaterGroundwater'!W71+'Table 2 StormwaterGroundwater'!U71+'Table 2 StormwaterGroundwater'!O71+'Table 2 StormwaterGroundwater'!S71+5)/$W$11)</f>
        <v>2.8428497293461734</v>
      </c>
      <c r="X80" s="565">
        <f>$X$16*(('Table 2 StormwaterGroundwater'!Q71+5)/'Table 13 Power Costs'!$X$11)</f>
        <v>0.39668650810496492</v>
      </c>
      <c r="Y80" s="566">
        <f>$Y$16*(('Table 2 StormwaterGroundwater'!AC71+'Table 2 StormwaterGroundwater'!AA71+'Table 2 StormwaterGroundwater'!Q71+'Table 2 StormwaterGroundwater'!M71+'Table 2 StormwaterGroundwater'!K71+5)/$Y$11)</f>
        <v>1.1039508742889963</v>
      </c>
      <c r="Z80" s="566">
        <f>$Z$16*(('Table 2 StormwaterGroundwater'!S71*0.3)/$Z$11)</f>
        <v>0.10624409431720903</v>
      </c>
      <c r="AA80" s="567">
        <v>0</v>
      </c>
      <c r="AB80" s="567">
        <f>$AB$16*(('Table 2 StormwaterGroundwater'!I71+'Table 2 StormwaterGroundwater'!G71)/$AB$11)</f>
        <v>31.036461193019704</v>
      </c>
      <c r="AC80" s="564">
        <f>$AC$16*(('Table 2 StormwaterGroundwater'!E71)/$AC$11)</f>
        <v>97.941239218847969</v>
      </c>
      <c r="AD80" s="564">
        <f>$AD$16*(('Table 2 StormwaterGroundwater'!E71)/$AD$11)</f>
        <v>61.024550425388071</v>
      </c>
      <c r="AE80" s="564">
        <f>$AE$16*(('Table 2 StormwaterGroundwater'!E71+'Table 2 StormwaterGroundwater'!C71)/$AE$11)</f>
        <v>117.60025259690759</v>
      </c>
      <c r="AF80" s="564">
        <f>$AF$16*(('Table 2 StormwaterGroundwater'!F71+'Table 2 StormwaterGroundwater'!E71+'Table 2 StormwaterGroundwater'!C71)/$AF$11)</f>
        <v>63.841223015063008</v>
      </c>
      <c r="AG80" s="564">
        <f>$AG$16*(('Table 2 StormwaterGroundwater'!F71+'Table 2 StormwaterGroundwater'!E71+'Table 2 StormwaterGroundwater'!C71)/$AG$11)</f>
        <v>319.06455641655543</v>
      </c>
      <c r="AH80" s="568">
        <f>30*'Table 5 Flows to Evap &amp; WTP'!F68</f>
        <v>162.81568431107692</v>
      </c>
    </row>
    <row r="81" spans="2:34" ht="14.25" x14ac:dyDescent="0.2">
      <c r="B81" s="345">
        <f t="shared" si="49"/>
        <v>54</v>
      </c>
      <c r="C81" s="628">
        <f t="shared" si="46"/>
        <v>97568.503279160985</v>
      </c>
      <c r="D81" s="628">
        <f t="shared" si="47"/>
        <v>181278.20599031073</v>
      </c>
      <c r="E81" s="629">
        <f t="shared" si="48"/>
        <v>278846.7092694717</v>
      </c>
      <c r="M81" s="155">
        <f t="shared" si="45"/>
        <v>64</v>
      </c>
      <c r="N81" s="562">
        <f t="shared" si="42"/>
        <v>317.28664682576414</v>
      </c>
      <c r="O81" s="341">
        <f t="shared" si="43"/>
        <v>682.24981337123256</v>
      </c>
      <c r="P81" s="569">
        <f t="shared" si="44"/>
        <v>1026.6560260251294</v>
      </c>
      <c r="Q81" s="156">
        <f t="shared" si="36"/>
        <v>136.52834962853723</v>
      </c>
      <c r="R81" s="156">
        <f t="shared" si="37"/>
        <v>27.119565828132657</v>
      </c>
      <c r="S81" s="564">
        <v>0</v>
      </c>
      <c r="T81" s="565">
        <f>$T$16*(('Table 2 StormwaterGroundwater'!H72/2)/'Table 13 Power Costs'!$T$11)</f>
        <v>0.13654705596859373</v>
      </c>
      <c r="U81" s="571">
        <f>$U$16*('Table 2 StormwaterGroundwater'!Y72/'Table 13 Power Costs'!$U$11)</f>
        <v>0.11018361100216202</v>
      </c>
      <c r="V81" s="564">
        <f>$V$16*(('Table 2 StormwaterGroundwater'!Y72+'Table 2 StormwaterGroundwater'!AE72+'Table 2 StormwaterGroundwater'!W72+5)/$V$11)</f>
        <v>4.9876815185726731</v>
      </c>
      <c r="W81" s="564">
        <f>$W$16*(('Table 2 StormwaterGroundwater'!Y72+'Table 2 StormwaterGroundwater'!AE72+'Table 2 StormwaterGroundwater'!W72+'Table 2 StormwaterGroundwater'!U72+'Table 2 StormwaterGroundwater'!O72+'Table 2 StormwaterGroundwater'!S72+5)/$W$11)</f>
        <v>2.8428497293461734</v>
      </c>
      <c r="X81" s="565">
        <f>$X$16*(('Table 2 StormwaterGroundwater'!Q72+5)/'Table 13 Power Costs'!$X$11)</f>
        <v>0.39668650810496492</v>
      </c>
      <c r="Y81" s="566">
        <f>$Y$16*(('Table 2 StormwaterGroundwater'!AC72+'Table 2 StormwaterGroundwater'!AA72+'Table 2 StormwaterGroundwater'!Q72+'Table 2 StormwaterGroundwater'!M72+'Table 2 StormwaterGroundwater'!K72+5)/$Y$11)</f>
        <v>1.1039508742889963</v>
      </c>
      <c r="Z81" s="566">
        <f>$Z$16*(('Table 2 StormwaterGroundwater'!S72*0.3)/$Z$11)</f>
        <v>0.10624409431720903</v>
      </c>
      <c r="AA81" s="567">
        <v>0</v>
      </c>
      <c r="AB81" s="567">
        <f>$AB$16*(('Table 2 StormwaterGroundwater'!I72+'Table 2 StormwaterGroundwater'!G72)/$AB$11)</f>
        <v>31.036461193019704</v>
      </c>
      <c r="AC81" s="564">
        <f>$AC$16*(('Table 2 StormwaterGroundwater'!E72)/$AC$11)</f>
        <v>97.941239218847969</v>
      </c>
      <c r="AD81" s="564">
        <f>$AD$16*(('Table 2 StormwaterGroundwater'!E72)/$AD$11)</f>
        <v>61.024550425388071</v>
      </c>
      <c r="AE81" s="564">
        <f>$AE$16*(('Table 2 StormwaterGroundwater'!E72+'Table 2 StormwaterGroundwater'!C72)/$AE$11)</f>
        <v>117.60025259690759</v>
      </c>
      <c r="AF81" s="564">
        <f>$AF$16*(('Table 2 StormwaterGroundwater'!F72+'Table 2 StormwaterGroundwater'!E72+'Table 2 StormwaterGroundwater'!C72)/$AF$11)</f>
        <v>63.841223015063008</v>
      </c>
      <c r="AG81" s="564">
        <f>$AG$16*(('Table 2 StormwaterGroundwater'!F72+'Table 2 StormwaterGroundwater'!E72+'Table 2 StormwaterGroundwater'!C72)/$AG$11)</f>
        <v>319.06455641655543</v>
      </c>
      <c r="AH81" s="568">
        <f>30*'Table 5 Flows to Evap &amp; WTP'!F69</f>
        <v>162.81568431107692</v>
      </c>
    </row>
    <row r="82" spans="2:34" ht="14.25" x14ac:dyDescent="0.2">
      <c r="B82" s="345">
        <f t="shared" si="49"/>
        <v>55</v>
      </c>
      <c r="C82" s="628">
        <f t="shared" si="46"/>
        <v>97519.144012882083</v>
      </c>
      <c r="D82" s="628">
        <f t="shared" si="47"/>
        <v>181178.92666856429</v>
      </c>
      <c r="E82" s="629">
        <f t="shared" si="48"/>
        <v>278698.07068144635</v>
      </c>
      <c r="M82" s="155">
        <f t="shared" si="45"/>
        <v>65</v>
      </c>
      <c r="N82" s="562">
        <f t="shared" ref="N82:N117" si="50">SUM(S82:AE82)</f>
        <v>317.28664682576414</v>
      </c>
      <c r="O82" s="341">
        <f t="shared" ref="O82:O117" si="51">Q82+AF82+AG82+AH82</f>
        <v>682.24981337123256</v>
      </c>
      <c r="P82" s="569">
        <f t="shared" ref="P82:P113" si="52">SUM(Q82:AH82)</f>
        <v>1026.6560260251294</v>
      </c>
      <c r="Q82" s="156">
        <f t="shared" si="36"/>
        <v>136.52834962853723</v>
      </c>
      <c r="R82" s="156">
        <f t="shared" si="37"/>
        <v>27.119565828132657</v>
      </c>
      <c r="S82" s="564">
        <v>0</v>
      </c>
      <c r="T82" s="565">
        <f>$T$16*(('Table 2 StormwaterGroundwater'!H73/2)/'Table 13 Power Costs'!$T$11)</f>
        <v>0.13654705596859373</v>
      </c>
      <c r="U82" s="571">
        <f>$U$16*('Table 2 StormwaterGroundwater'!Y73/'Table 13 Power Costs'!$U$11)</f>
        <v>0.11018361100216202</v>
      </c>
      <c r="V82" s="564">
        <f>$V$16*(('Table 2 StormwaterGroundwater'!Y73+'Table 2 StormwaterGroundwater'!AE73+'Table 2 StormwaterGroundwater'!W73+5)/$V$11)</f>
        <v>4.9876815185726731</v>
      </c>
      <c r="W82" s="564">
        <f>$W$16*(('Table 2 StormwaterGroundwater'!Y73+'Table 2 StormwaterGroundwater'!AE73+'Table 2 StormwaterGroundwater'!W73+'Table 2 StormwaterGroundwater'!U73+'Table 2 StormwaterGroundwater'!O73+'Table 2 StormwaterGroundwater'!S73+5)/$W$11)</f>
        <v>2.8428497293461734</v>
      </c>
      <c r="X82" s="565">
        <f>$X$16*(('Table 2 StormwaterGroundwater'!Q73+5)/'Table 13 Power Costs'!$X$11)</f>
        <v>0.39668650810496492</v>
      </c>
      <c r="Y82" s="566">
        <f>$Y$16*(('Table 2 StormwaterGroundwater'!AC73+'Table 2 StormwaterGroundwater'!AA73+'Table 2 StormwaterGroundwater'!Q73+'Table 2 StormwaterGroundwater'!M73+'Table 2 StormwaterGroundwater'!K73+5)/$Y$11)</f>
        <v>1.1039508742889963</v>
      </c>
      <c r="Z82" s="566">
        <f>$Z$16*(('Table 2 StormwaterGroundwater'!S73*0.3)/$Z$11)</f>
        <v>0.10624409431720903</v>
      </c>
      <c r="AA82" s="567">
        <v>0</v>
      </c>
      <c r="AB82" s="567">
        <f>$AB$16*(('Table 2 StormwaterGroundwater'!I73+'Table 2 StormwaterGroundwater'!G73)/$AB$11)</f>
        <v>31.036461193019704</v>
      </c>
      <c r="AC82" s="564">
        <f>$AC$16*(('Table 2 StormwaterGroundwater'!E73)/$AC$11)</f>
        <v>97.941239218847969</v>
      </c>
      <c r="AD82" s="564">
        <f>$AD$16*(('Table 2 StormwaterGroundwater'!E73)/$AD$11)</f>
        <v>61.024550425388071</v>
      </c>
      <c r="AE82" s="564">
        <f>$AE$16*(('Table 2 StormwaterGroundwater'!E73+'Table 2 StormwaterGroundwater'!C73)/$AE$11)</f>
        <v>117.60025259690759</v>
      </c>
      <c r="AF82" s="564">
        <f>$AF$16*(('Table 2 StormwaterGroundwater'!F73+'Table 2 StormwaterGroundwater'!E73+'Table 2 StormwaterGroundwater'!C73)/$AF$11)</f>
        <v>63.841223015063008</v>
      </c>
      <c r="AG82" s="564">
        <f>$AG$16*(('Table 2 StormwaterGroundwater'!F73+'Table 2 StormwaterGroundwater'!E73+'Table 2 StormwaterGroundwater'!C73)/$AG$11)</f>
        <v>319.06455641655543</v>
      </c>
      <c r="AH82" s="568">
        <f>30*'Table 5 Flows to Evap &amp; WTP'!F70</f>
        <v>162.81568431107692</v>
      </c>
    </row>
    <row r="83" spans="2:34" ht="14.25" x14ac:dyDescent="0.2">
      <c r="B83" s="345">
        <f t="shared" si="49"/>
        <v>56</v>
      </c>
      <c r="C83" s="628">
        <f t="shared" si="46"/>
        <v>97470.590409888842</v>
      </c>
      <c r="D83" s="628">
        <f t="shared" si="47"/>
        <v>181081.00642089351</v>
      </c>
      <c r="E83" s="629">
        <f t="shared" si="48"/>
        <v>278551.59683078236</v>
      </c>
      <c r="M83" s="155">
        <f t="shared" ref="M83:M117" si="53">M82+1</f>
        <v>66</v>
      </c>
      <c r="N83" s="562">
        <f t="shared" si="50"/>
        <v>317.28664682576414</v>
      </c>
      <c r="O83" s="341">
        <f t="shared" si="51"/>
        <v>682.24981337123256</v>
      </c>
      <c r="P83" s="569">
        <f t="shared" si="52"/>
        <v>1026.6560260251294</v>
      </c>
      <c r="Q83" s="156">
        <f t="shared" si="36"/>
        <v>136.52834962853723</v>
      </c>
      <c r="R83" s="156">
        <f t="shared" si="37"/>
        <v>27.119565828132657</v>
      </c>
      <c r="S83" s="564">
        <v>0</v>
      </c>
      <c r="T83" s="565">
        <f>$T$16*(('Table 2 StormwaterGroundwater'!H74/2)/'Table 13 Power Costs'!$T$11)</f>
        <v>0.13654705596859373</v>
      </c>
      <c r="U83" s="571">
        <f>$U$16*('Table 2 StormwaterGroundwater'!Y74/'Table 13 Power Costs'!$U$11)</f>
        <v>0.11018361100216202</v>
      </c>
      <c r="V83" s="564">
        <f>$V$16*(('Table 2 StormwaterGroundwater'!Y74+'Table 2 StormwaterGroundwater'!AE74+'Table 2 StormwaterGroundwater'!W74+5)/$V$11)</f>
        <v>4.9876815185726731</v>
      </c>
      <c r="W83" s="564">
        <f>$W$16*(('Table 2 StormwaterGroundwater'!Y74+'Table 2 StormwaterGroundwater'!AE74+'Table 2 StormwaterGroundwater'!W74+'Table 2 StormwaterGroundwater'!U74+'Table 2 StormwaterGroundwater'!O74+'Table 2 StormwaterGroundwater'!S74+5)/$W$11)</f>
        <v>2.8428497293461734</v>
      </c>
      <c r="X83" s="565">
        <f>$X$16*(('Table 2 StormwaterGroundwater'!Q74+5)/'Table 13 Power Costs'!$X$11)</f>
        <v>0.39668650810496492</v>
      </c>
      <c r="Y83" s="566">
        <f>$Y$16*(('Table 2 StormwaterGroundwater'!AC74+'Table 2 StormwaterGroundwater'!AA74+'Table 2 StormwaterGroundwater'!Q74+'Table 2 StormwaterGroundwater'!M74+'Table 2 StormwaterGroundwater'!K74+5)/$Y$11)</f>
        <v>1.1039508742889963</v>
      </c>
      <c r="Z83" s="566">
        <f>$Z$16*(('Table 2 StormwaterGroundwater'!S74*0.3)/$Z$11)</f>
        <v>0.10624409431720903</v>
      </c>
      <c r="AA83" s="567">
        <v>0</v>
      </c>
      <c r="AB83" s="567">
        <f>$AB$16*(('Table 2 StormwaterGroundwater'!I74+'Table 2 StormwaterGroundwater'!G74)/$AB$11)</f>
        <v>31.036461193019704</v>
      </c>
      <c r="AC83" s="564">
        <f>$AC$16*(('Table 2 StormwaterGroundwater'!E74)/$AC$11)</f>
        <v>97.941239218847969</v>
      </c>
      <c r="AD83" s="564">
        <f>$AD$16*(('Table 2 StormwaterGroundwater'!E74)/$AD$11)</f>
        <v>61.024550425388071</v>
      </c>
      <c r="AE83" s="564">
        <f>$AE$16*(('Table 2 StormwaterGroundwater'!E74+'Table 2 StormwaterGroundwater'!C74)/$AE$11)</f>
        <v>117.60025259690759</v>
      </c>
      <c r="AF83" s="564">
        <f>$AF$16*(('Table 2 StormwaterGroundwater'!F74+'Table 2 StormwaterGroundwater'!E74+'Table 2 StormwaterGroundwater'!C74)/$AF$11)</f>
        <v>63.841223015063008</v>
      </c>
      <c r="AG83" s="564">
        <f>$AG$16*(('Table 2 StormwaterGroundwater'!F74+'Table 2 StormwaterGroundwater'!E74+'Table 2 StormwaterGroundwater'!C74)/$AG$11)</f>
        <v>319.06455641655543</v>
      </c>
      <c r="AH83" s="568">
        <f>30*'Table 5 Flows to Evap &amp; WTP'!F71</f>
        <v>162.81568431107692</v>
      </c>
    </row>
    <row r="84" spans="2:34" ht="14.25" x14ac:dyDescent="0.2">
      <c r="B84" s="345">
        <f t="shared" si="49"/>
        <v>57</v>
      </c>
      <c r="C84" s="628">
        <f t="shared" si="46"/>
        <v>97422.896030091317</v>
      </c>
      <c r="D84" s="628">
        <f t="shared" si="47"/>
        <v>180984.53559755592</v>
      </c>
      <c r="E84" s="629">
        <f t="shared" si="48"/>
        <v>278407.43162764725</v>
      </c>
      <c r="M84" s="155">
        <f t="shared" si="53"/>
        <v>67</v>
      </c>
      <c r="N84" s="562">
        <f t="shared" si="50"/>
        <v>317.28664682576414</v>
      </c>
      <c r="O84" s="341">
        <f t="shared" si="51"/>
        <v>682.24981337123256</v>
      </c>
      <c r="P84" s="569">
        <f t="shared" si="52"/>
        <v>1026.6560260251294</v>
      </c>
      <c r="Q84" s="156">
        <f t="shared" si="36"/>
        <v>136.52834962853723</v>
      </c>
      <c r="R84" s="156">
        <f t="shared" si="37"/>
        <v>27.119565828132657</v>
      </c>
      <c r="S84" s="564">
        <v>0</v>
      </c>
      <c r="T84" s="565">
        <f>$T$16*(('Table 2 StormwaterGroundwater'!H75/2)/'Table 13 Power Costs'!$T$11)</f>
        <v>0.13654705596859373</v>
      </c>
      <c r="U84" s="571">
        <f>$U$16*('Table 2 StormwaterGroundwater'!Y75/'Table 13 Power Costs'!$U$11)</f>
        <v>0.11018361100216202</v>
      </c>
      <c r="V84" s="564">
        <f>$V$16*(('Table 2 StormwaterGroundwater'!Y75+'Table 2 StormwaterGroundwater'!AE75+'Table 2 StormwaterGroundwater'!W75+5)/$V$11)</f>
        <v>4.9876815185726731</v>
      </c>
      <c r="W84" s="564">
        <f>$W$16*(('Table 2 StormwaterGroundwater'!Y75+'Table 2 StormwaterGroundwater'!AE75+'Table 2 StormwaterGroundwater'!W75+'Table 2 StormwaterGroundwater'!U75+'Table 2 StormwaterGroundwater'!O75+'Table 2 StormwaterGroundwater'!S75+5)/$W$11)</f>
        <v>2.8428497293461734</v>
      </c>
      <c r="X84" s="565">
        <f>$X$16*(('Table 2 StormwaterGroundwater'!Q75+5)/'Table 13 Power Costs'!$X$11)</f>
        <v>0.39668650810496492</v>
      </c>
      <c r="Y84" s="566">
        <f>$Y$16*(('Table 2 StormwaterGroundwater'!AC75+'Table 2 StormwaterGroundwater'!AA75+'Table 2 StormwaterGroundwater'!Q75+'Table 2 StormwaterGroundwater'!M75+'Table 2 StormwaterGroundwater'!K75+5)/$Y$11)</f>
        <v>1.1039508742889963</v>
      </c>
      <c r="Z84" s="566">
        <f>$Z$16*(('Table 2 StormwaterGroundwater'!S75*0.3)/$Z$11)</f>
        <v>0.10624409431720903</v>
      </c>
      <c r="AA84" s="567">
        <v>0</v>
      </c>
      <c r="AB84" s="567">
        <f>$AB$16*(('Table 2 StormwaterGroundwater'!I75+'Table 2 StormwaterGroundwater'!G75)/$AB$11)</f>
        <v>31.036461193019704</v>
      </c>
      <c r="AC84" s="564">
        <f>$AC$16*(('Table 2 StormwaterGroundwater'!E75)/$AC$11)</f>
        <v>97.941239218847969</v>
      </c>
      <c r="AD84" s="564">
        <f>$AD$16*(('Table 2 StormwaterGroundwater'!E75)/$AD$11)</f>
        <v>61.024550425388071</v>
      </c>
      <c r="AE84" s="564">
        <f>$AE$16*(('Table 2 StormwaterGroundwater'!E75+'Table 2 StormwaterGroundwater'!C75)/$AE$11)</f>
        <v>117.60025259690759</v>
      </c>
      <c r="AF84" s="564">
        <f>$AF$16*(('Table 2 StormwaterGroundwater'!F75+'Table 2 StormwaterGroundwater'!E75+'Table 2 StormwaterGroundwater'!C75)/$AF$11)</f>
        <v>63.841223015063008</v>
      </c>
      <c r="AG84" s="564">
        <f>$AG$16*(('Table 2 StormwaterGroundwater'!F75+'Table 2 StormwaterGroundwater'!E75+'Table 2 StormwaterGroundwater'!C75)/$AG$11)</f>
        <v>319.06455641655543</v>
      </c>
      <c r="AH84" s="568">
        <f>30*'Table 5 Flows to Evap &amp; WTP'!F72</f>
        <v>162.81568431107692</v>
      </c>
    </row>
    <row r="85" spans="2:34" ht="14.25" x14ac:dyDescent="0.2">
      <c r="B85" s="345">
        <f t="shared" si="49"/>
        <v>58</v>
      </c>
      <c r="C85" s="628">
        <f t="shared" si="46"/>
        <v>97376.119580636499</v>
      </c>
      <c r="D85" s="628">
        <f t="shared" si="47"/>
        <v>180889.61323168722</v>
      </c>
      <c r="E85" s="629">
        <f t="shared" si="48"/>
        <v>278265.73281232372</v>
      </c>
      <c r="M85" s="155">
        <f t="shared" si="53"/>
        <v>68</v>
      </c>
      <c r="N85" s="562">
        <f t="shared" si="50"/>
        <v>317.28664682576414</v>
      </c>
      <c r="O85" s="341">
        <f t="shared" si="51"/>
        <v>682.24981337123256</v>
      </c>
      <c r="P85" s="569">
        <f t="shared" si="52"/>
        <v>1026.6560260251294</v>
      </c>
      <c r="Q85" s="156">
        <f t="shared" si="36"/>
        <v>136.52834962853723</v>
      </c>
      <c r="R85" s="156">
        <f t="shared" si="37"/>
        <v>27.119565828132657</v>
      </c>
      <c r="S85" s="564">
        <v>0</v>
      </c>
      <c r="T85" s="565">
        <f>$T$16*(('Table 2 StormwaterGroundwater'!H76/2)/'Table 13 Power Costs'!$T$11)</f>
        <v>0.13654705596859373</v>
      </c>
      <c r="U85" s="571">
        <f>$U$16*('Table 2 StormwaterGroundwater'!Y76/'Table 13 Power Costs'!$U$11)</f>
        <v>0.11018361100216202</v>
      </c>
      <c r="V85" s="564">
        <f>$V$16*(('Table 2 StormwaterGroundwater'!Y76+'Table 2 StormwaterGroundwater'!AE76+'Table 2 StormwaterGroundwater'!W76+5)/$V$11)</f>
        <v>4.9876815185726731</v>
      </c>
      <c r="W85" s="564">
        <f>$W$16*(('Table 2 StormwaterGroundwater'!Y76+'Table 2 StormwaterGroundwater'!AE76+'Table 2 StormwaterGroundwater'!W76+'Table 2 StormwaterGroundwater'!U76+'Table 2 StormwaterGroundwater'!O76+'Table 2 StormwaterGroundwater'!S76+5)/$W$11)</f>
        <v>2.8428497293461734</v>
      </c>
      <c r="X85" s="565">
        <f>$X$16*(('Table 2 StormwaterGroundwater'!Q76+5)/'Table 13 Power Costs'!$X$11)</f>
        <v>0.39668650810496492</v>
      </c>
      <c r="Y85" s="566">
        <f>$Y$16*(('Table 2 StormwaterGroundwater'!AC76+'Table 2 StormwaterGroundwater'!AA76+'Table 2 StormwaterGroundwater'!Q76+'Table 2 StormwaterGroundwater'!M76+'Table 2 StormwaterGroundwater'!K76+5)/$Y$11)</f>
        <v>1.1039508742889963</v>
      </c>
      <c r="Z85" s="566">
        <f>$Z$16*(('Table 2 StormwaterGroundwater'!S76*0.3)/$Z$11)</f>
        <v>0.10624409431720903</v>
      </c>
      <c r="AA85" s="567">
        <v>0</v>
      </c>
      <c r="AB85" s="567">
        <f>$AB$16*(('Table 2 StormwaterGroundwater'!I76+'Table 2 StormwaterGroundwater'!G76)/$AB$11)</f>
        <v>31.036461193019704</v>
      </c>
      <c r="AC85" s="564">
        <f>$AC$16*(('Table 2 StormwaterGroundwater'!E76)/$AC$11)</f>
        <v>97.941239218847969</v>
      </c>
      <c r="AD85" s="564">
        <f>$AD$16*(('Table 2 StormwaterGroundwater'!E76)/$AD$11)</f>
        <v>61.024550425388071</v>
      </c>
      <c r="AE85" s="564">
        <f>$AE$16*(('Table 2 StormwaterGroundwater'!E76+'Table 2 StormwaterGroundwater'!C76)/$AE$11)</f>
        <v>117.60025259690759</v>
      </c>
      <c r="AF85" s="564">
        <f>$AF$16*(('Table 2 StormwaterGroundwater'!F76+'Table 2 StormwaterGroundwater'!E76+'Table 2 StormwaterGroundwater'!C76)/$AF$11)</f>
        <v>63.841223015063008</v>
      </c>
      <c r="AG85" s="564">
        <f>$AG$16*(('Table 2 StormwaterGroundwater'!F76+'Table 2 StormwaterGroundwater'!E76+'Table 2 StormwaterGroundwater'!C76)/$AG$11)</f>
        <v>319.06455641655543</v>
      </c>
      <c r="AH85" s="568">
        <f>30*'Table 5 Flows to Evap &amp; WTP'!F73</f>
        <v>162.81568431107692</v>
      </c>
    </row>
    <row r="86" spans="2:34" ht="14.25" x14ac:dyDescent="0.2">
      <c r="B86" s="345">
        <f t="shared" si="49"/>
        <v>59</v>
      </c>
      <c r="C86" s="628">
        <f t="shared" si="46"/>
        <v>97330.196131467688</v>
      </c>
      <c r="D86" s="628">
        <f t="shared" si="47"/>
        <v>180796.12979271996</v>
      </c>
      <c r="E86" s="629">
        <f t="shared" si="48"/>
        <v>278126.32592418767</v>
      </c>
      <c r="M86" s="155">
        <f t="shared" si="53"/>
        <v>69</v>
      </c>
      <c r="N86" s="562">
        <f t="shared" si="50"/>
        <v>317.28664682576414</v>
      </c>
      <c r="O86" s="341">
        <f t="shared" si="51"/>
        <v>682.24981337123256</v>
      </c>
      <c r="P86" s="569">
        <f t="shared" si="52"/>
        <v>1026.6560260251294</v>
      </c>
      <c r="Q86" s="156">
        <f t="shared" si="36"/>
        <v>136.52834962853723</v>
      </c>
      <c r="R86" s="156">
        <f t="shared" si="37"/>
        <v>27.119565828132657</v>
      </c>
      <c r="S86" s="564">
        <v>0</v>
      </c>
      <c r="T86" s="565">
        <f>$T$16*(('Table 2 StormwaterGroundwater'!H77/2)/'Table 13 Power Costs'!$T$11)</f>
        <v>0.13654705596859373</v>
      </c>
      <c r="U86" s="571">
        <f>$U$16*('Table 2 StormwaterGroundwater'!Y77/'Table 13 Power Costs'!$U$11)</f>
        <v>0.11018361100216202</v>
      </c>
      <c r="V86" s="564">
        <f>$V$16*(('Table 2 StormwaterGroundwater'!Y77+'Table 2 StormwaterGroundwater'!AE77+'Table 2 StormwaterGroundwater'!W77+5)/$V$11)</f>
        <v>4.9876815185726731</v>
      </c>
      <c r="W86" s="564">
        <f>$W$16*(('Table 2 StormwaterGroundwater'!Y77+'Table 2 StormwaterGroundwater'!AE77+'Table 2 StormwaterGroundwater'!W77+'Table 2 StormwaterGroundwater'!U77+'Table 2 StormwaterGroundwater'!O77+'Table 2 StormwaterGroundwater'!S77+5)/$W$11)</f>
        <v>2.8428497293461734</v>
      </c>
      <c r="X86" s="565">
        <f>$X$16*(('Table 2 StormwaterGroundwater'!Q77+5)/'Table 13 Power Costs'!$X$11)</f>
        <v>0.39668650810496492</v>
      </c>
      <c r="Y86" s="566">
        <f>$Y$16*(('Table 2 StormwaterGroundwater'!AC77+'Table 2 StormwaterGroundwater'!AA77+'Table 2 StormwaterGroundwater'!Q77+'Table 2 StormwaterGroundwater'!M77+'Table 2 StormwaterGroundwater'!K77+5)/$Y$11)</f>
        <v>1.1039508742889963</v>
      </c>
      <c r="Z86" s="566">
        <f>$Z$16*(('Table 2 StormwaterGroundwater'!S77*0.3)/$Z$11)</f>
        <v>0.10624409431720903</v>
      </c>
      <c r="AA86" s="567">
        <v>0</v>
      </c>
      <c r="AB86" s="567">
        <f>$AB$16*(('Table 2 StormwaterGroundwater'!I77+'Table 2 StormwaterGroundwater'!G77)/$AB$11)</f>
        <v>31.036461193019704</v>
      </c>
      <c r="AC86" s="564">
        <f>$AC$16*(('Table 2 StormwaterGroundwater'!E77)/$AC$11)</f>
        <v>97.941239218847969</v>
      </c>
      <c r="AD86" s="564">
        <f>$AD$16*(('Table 2 StormwaterGroundwater'!E77)/$AD$11)</f>
        <v>61.024550425388071</v>
      </c>
      <c r="AE86" s="564">
        <f>$AE$16*(('Table 2 StormwaterGroundwater'!E77+'Table 2 StormwaterGroundwater'!C77)/$AE$11)</f>
        <v>117.60025259690759</v>
      </c>
      <c r="AF86" s="564">
        <f>$AF$16*(('Table 2 StormwaterGroundwater'!F77+'Table 2 StormwaterGroundwater'!E77+'Table 2 StormwaterGroundwater'!C77)/$AF$11)</f>
        <v>63.841223015063008</v>
      </c>
      <c r="AG86" s="564">
        <f>$AG$16*(('Table 2 StormwaterGroundwater'!F77+'Table 2 StormwaterGroundwater'!E77+'Table 2 StormwaterGroundwater'!C77)/$AG$11)</f>
        <v>319.06455641655543</v>
      </c>
      <c r="AH86" s="568">
        <f>30*'Table 5 Flows to Evap &amp; WTP'!F74</f>
        <v>162.81568431107692</v>
      </c>
    </row>
    <row r="87" spans="2:34" ht="14.25" x14ac:dyDescent="0.2">
      <c r="B87" s="345">
        <f t="shared" si="49"/>
        <v>60</v>
      </c>
      <c r="C87" s="628">
        <f t="shared" si="46"/>
        <v>97285.068668371241</v>
      </c>
      <c r="D87" s="628">
        <f t="shared" si="47"/>
        <v>180703.98910332914</v>
      </c>
      <c r="E87" s="629">
        <f t="shared" si="48"/>
        <v>277989.05777170038</v>
      </c>
      <c r="M87" s="155">
        <f t="shared" si="53"/>
        <v>70</v>
      </c>
      <c r="N87" s="562">
        <f t="shared" si="50"/>
        <v>317.28664682576414</v>
      </c>
      <c r="O87" s="341">
        <f t="shared" si="51"/>
        <v>682.24981337123256</v>
      </c>
      <c r="P87" s="569">
        <f t="shared" si="52"/>
        <v>1026.6560260251294</v>
      </c>
      <c r="Q87" s="156">
        <f t="shared" si="36"/>
        <v>136.52834962853723</v>
      </c>
      <c r="R87" s="156">
        <f t="shared" si="37"/>
        <v>27.119565828132657</v>
      </c>
      <c r="S87" s="564">
        <v>0</v>
      </c>
      <c r="T87" s="565">
        <f>$T$16*(('Table 2 StormwaterGroundwater'!H78/2)/'Table 13 Power Costs'!$T$11)</f>
        <v>0.13654705596859373</v>
      </c>
      <c r="U87" s="571">
        <f>$U$16*('Table 2 StormwaterGroundwater'!Y78/'Table 13 Power Costs'!$U$11)</f>
        <v>0.11018361100216202</v>
      </c>
      <c r="V87" s="564">
        <f>$V$16*(('Table 2 StormwaterGroundwater'!Y78+'Table 2 StormwaterGroundwater'!AE78+'Table 2 StormwaterGroundwater'!W78+5)/$V$11)</f>
        <v>4.9876815185726731</v>
      </c>
      <c r="W87" s="564">
        <f>$W$16*(('Table 2 StormwaterGroundwater'!Y78+'Table 2 StormwaterGroundwater'!AE78+'Table 2 StormwaterGroundwater'!W78+'Table 2 StormwaterGroundwater'!U78+'Table 2 StormwaterGroundwater'!O78+'Table 2 StormwaterGroundwater'!S78+5)/$W$11)</f>
        <v>2.8428497293461734</v>
      </c>
      <c r="X87" s="565">
        <f>$X$16*(('Table 2 StormwaterGroundwater'!Q78+5)/'Table 13 Power Costs'!$X$11)</f>
        <v>0.39668650810496492</v>
      </c>
      <c r="Y87" s="566">
        <f>$Y$16*(('Table 2 StormwaterGroundwater'!AC78+'Table 2 StormwaterGroundwater'!AA78+'Table 2 StormwaterGroundwater'!Q78+'Table 2 StormwaterGroundwater'!M78+'Table 2 StormwaterGroundwater'!K78+5)/$Y$11)</f>
        <v>1.1039508742889963</v>
      </c>
      <c r="Z87" s="566">
        <f>$Z$16*(('Table 2 StormwaterGroundwater'!S78*0.3)/$Z$11)</f>
        <v>0.10624409431720903</v>
      </c>
      <c r="AA87" s="567">
        <v>0</v>
      </c>
      <c r="AB87" s="567">
        <f>$AB$16*(('Table 2 StormwaterGroundwater'!I78+'Table 2 StormwaterGroundwater'!G78)/$AB$11)</f>
        <v>31.036461193019704</v>
      </c>
      <c r="AC87" s="564">
        <f>$AC$16*(('Table 2 StormwaterGroundwater'!E78)/$AC$11)</f>
        <v>97.941239218847969</v>
      </c>
      <c r="AD87" s="564">
        <f>$AD$16*(('Table 2 StormwaterGroundwater'!E78)/$AD$11)</f>
        <v>61.024550425388071</v>
      </c>
      <c r="AE87" s="564">
        <f>$AE$16*(('Table 2 StormwaterGroundwater'!E78+'Table 2 StormwaterGroundwater'!C78)/$AE$11)</f>
        <v>117.60025259690759</v>
      </c>
      <c r="AF87" s="564">
        <f>$AF$16*(('Table 2 StormwaterGroundwater'!F78+'Table 2 StormwaterGroundwater'!E78+'Table 2 StormwaterGroundwater'!C78)/$AF$11)</f>
        <v>63.841223015063008</v>
      </c>
      <c r="AG87" s="564">
        <f>$AG$16*(('Table 2 StormwaterGroundwater'!F78+'Table 2 StormwaterGroundwater'!E78+'Table 2 StormwaterGroundwater'!C78)/$AG$11)</f>
        <v>319.06455641655543</v>
      </c>
      <c r="AH87" s="568">
        <f>30*'Table 5 Flows to Evap &amp; WTP'!F75</f>
        <v>162.81568431107692</v>
      </c>
    </row>
    <row r="88" spans="2:34" ht="14.25" x14ac:dyDescent="0.2">
      <c r="B88" s="345">
        <f t="shared" si="49"/>
        <v>61</v>
      </c>
      <c r="C88" s="628">
        <f t="shared" si="46"/>
        <v>97240.801607167916</v>
      </c>
      <c r="D88" s="628">
        <f t="shared" si="47"/>
        <v>180613.29982661712</v>
      </c>
      <c r="E88" s="629">
        <f t="shared" si="48"/>
        <v>277854.10143378505</v>
      </c>
      <c r="M88" s="155">
        <f t="shared" si="53"/>
        <v>71</v>
      </c>
      <c r="N88" s="562">
        <f t="shared" si="50"/>
        <v>317.28664682576414</v>
      </c>
      <c r="O88" s="341">
        <f t="shared" si="51"/>
        <v>682.24981337123256</v>
      </c>
      <c r="P88" s="569">
        <f t="shared" si="52"/>
        <v>1026.6560260251294</v>
      </c>
      <c r="Q88" s="156">
        <f t="shared" ref="Q88:Q117" si="54">$Q$16*(284/$Q$11)</f>
        <v>136.52834962853723</v>
      </c>
      <c r="R88" s="156">
        <f t="shared" ref="R88:R117" si="55">$R$16*(66/$R$11)</f>
        <v>27.119565828132657</v>
      </c>
      <c r="S88" s="564">
        <v>0</v>
      </c>
      <c r="T88" s="565">
        <f>$T$16*(('Table 2 StormwaterGroundwater'!H79/2)/'Table 13 Power Costs'!$T$11)</f>
        <v>0.13654705596859373</v>
      </c>
      <c r="U88" s="571">
        <f>$U$16*('Table 2 StormwaterGroundwater'!Y79/'Table 13 Power Costs'!$U$11)</f>
        <v>0.11018361100216202</v>
      </c>
      <c r="V88" s="564">
        <f>$V$16*(('Table 2 StormwaterGroundwater'!Y79+'Table 2 StormwaterGroundwater'!AE79+'Table 2 StormwaterGroundwater'!W79+5)/$V$11)</f>
        <v>4.9876815185726731</v>
      </c>
      <c r="W88" s="564">
        <f>$W$16*(('Table 2 StormwaterGroundwater'!Y79+'Table 2 StormwaterGroundwater'!AE79+'Table 2 StormwaterGroundwater'!W79+'Table 2 StormwaterGroundwater'!U79+'Table 2 StormwaterGroundwater'!O79+'Table 2 StormwaterGroundwater'!S79+5)/$W$11)</f>
        <v>2.8428497293461734</v>
      </c>
      <c r="X88" s="565">
        <f>$X$16*(('Table 2 StormwaterGroundwater'!Q79+5)/'Table 13 Power Costs'!$X$11)</f>
        <v>0.39668650810496492</v>
      </c>
      <c r="Y88" s="566">
        <f>$Y$16*(('Table 2 StormwaterGroundwater'!AC79+'Table 2 StormwaterGroundwater'!AA79+'Table 2 StormwaterGroundwater'!Q79+'Table 2 StormwaterGroundwater'!M79+'Table 2 StormwaterGroundwater'!K79+5)/$Y$11)</f>
        <v>1.1039508742889963</v>
      </c>
      <c r="Z88" s="566">
        <f>$Z$16*(('Table 2 StormwaterGroundwater'!S79*0.3)/$Z$11)</f>
        <v>0.10624409431720903</v>
      </c>
      <c r="AA88" s="567">
        <v>0</v>
      </c>
      <c r="AB88" s="567">
        <f>$AB$16*(('Table 2 StormwaterGroundwater'!I79+'Table 2 StormwaterGroundwater'!G79)/$AB$11)</f>
        <v>31.036461193019704</v>
      </c>
      <c r="AC88" s="564">
        <f>$AC$16*(('Table 2 StormwaterGroundwater'!E79)/$AC$11)</f>
        <v>97.941239218847969</v>
      </c>
      <c r="AD88" s="564">
        <f>$AD$16*(('Table 2 StormwaterGroundwater'!E79)/$AD$11)</f>
        <v>61.024550425388071</v>
      </c>
      <c r="AE88" s="564">
        <f>$AE$16*(('Table 2 StormwaterGroundwater'!E79+'Table 2 StormwaterGroundwater'!C79)/$AE$11)</f>
        <v>117.60025259690759</v>
      </c>
      <c r="AF88" s="564">
        <f>$AF$16*(('Table 2 StormwaterGroundwater'!F79+'Table 2 StormwaterGroundwater'!E79+'Table 2 StormwaterGroundwater'!C79)/$AF$11)</f>
        <v>63.841223015063008</v>
      </c>
      <c r="AG88" s="564">
        <f>$AG$16*(('Table 2 StormwaterGroundwater'!F79+'Table 2 StormwaterGroundwater'!E79+'Table 2 StormwaterGroundwater'!C79)/$AG$11)</f>
        <v>319.06455641655543</v>
      </c>
      <c r="AH88" s="568">
        <f>30*'Table 5 Flows to Evap &amp; WTP'!F76</f>
        <v>162.81568431107692</v>
      </c>
    </row>
    <row r="89" spans="2:34" ht="14.25" x14ac:dyDescent="0.2">
      <c r="B89" s="345">
        <f t="shared" si="49"/>
        <v>62</v>
      </c>
      <c r="C89" s="628">
        <f t="shared" si="46"/>
        <v>96935.156338544184</v>
      </c>
      <c r="D89" s="628">
        <f t="shared" si="47"/>
        <v>180001.61576221316</v>
      </c>
      <c r="E89" s="629">
        <f t="shared" si="48"/>
        <v>276936.77210075734</v>
      </c>
      <c r="M89" s="155">
        <f t="shared" si="53"/>
        <v>72</v>
      </c>
      <c r="N89" s="562">
        <f t="shared" si="50"/>
        <v>317.28664682576414</v>
      </c>
      <c r="O89" s="341">
        <f t="shared" si="51"/>
        <v>682.24981337123256</v>
      </c>
      <c r="P89" s="569">
        <f t="shared" si="52"/>
        <v>1026.6560260251294</v>
      </c>
      <c r="Q89" s="156">
        <f t="shared" si="54"/>
        <v>136.52834962853723</v>
      </c>
      <c r="R89" s="156">
        <f t="shared" si="55"/>
        <v>27.119565828132657</v>
      </c>
      <c r="S89" s="564">
        <v>0</v>
      </c>
      <c r="T89" s="565">
        <f>$T$16*(('Table 2 StormwaterGroundwater'!H80/2)/'Table 13 Power Costs'!$T$11)</f>
        <v>0.13654705596859373</v>
      </c>
      <c r="U89" s="571">
        <f>$U$16*('Table 2 StormwaterGroundwater'!Y80/'Table 13 Power Costs'!$U$11)</f>
        <v>0.11018361100216202</v>
      </c>
      <c r="V89" s="564">
        <f>$V$16*(('Table 2 StormwaterGroundwater'!Y80+'Table 2 StormwaterGroundwater'!AE80+'Table 2 StormwaterGroundwater'!W80+5)/$V$11)</f>
        <v>4.9876815185726731</v>
      </c>
      <c r="W89" s="564">
        <f>$W$16*(('Table 2 StormwaterGroundwater'!Y80+'Table 2 StormwaterGroundwater'!AE80+'Table 2 StormwaterGroundwater'!W80+'Table 2 StormwaterGroundwater'!U80+'Table 2 StormwaterGroundwater'!O80+'Table 2 StormwaterGroundwater'!S80+5)/$W$11)</f>
        <v>2.8428497293461734</v>
      </c>
      <c r="X89" s="565">
        <f>$X$16*(('Table 2 StormwaterGroundwater'!Q80+5)/'Table 13 Power Costs'!$X$11)</f>
        <v>0.39668650810496492</v>
      </c>
      <c r="Y89" s="566">
        <f>$Y$16*(('Table 2 StormwaterGroundwater'!AC80+'Table 2 StormwaterGroundwater'!AA80+'Table 2 StormwaterGroundwater'!Q80+'Table 2 StormwaterGroundwater'!M80+'Table 2 StormwaterGroundwater'!K80+5)/$Y$11)</f>
        <v>1.1039508742889963</v>
      </c>
      <c r="Z89" s="566">
        <f>$Z$16*(('Table 2 StormwaterGroundwater'!S80*0.3)/$Z$11)</f>
        <v>0.10624409431720903</v>
      </c>
      <c r="AA89" s="567">
        <v>0</v>
      </c>
      <c r="AB89" s="567">
        <f>$AB$16*(('Table 2 StormwaterGroundwater'!I80+'Table 2 StormwaterGroundwater'!G80)/$AB$11)</f>
        <v>31.036461193019704</v>
      </c>
      <c r="AC89" s="564">
        <f>$AC$16*(('Table 2 StormwaterGroundwater'!E80)/$AC$11)</f>
        <v>97.941239218847969</v>
      </c>
      <c r="AD89" s="564">
        <f>$AD$16*(('Table 2 StormwaterGroundwater'!E80)/$AD$11)</f>
        <v>61.024550425388071</v>
      </c>
      <c r="AE89" s="564">
        <f>$AE$16*(('Table 2 StormwaterGroundwater'!E80+'Table 2 StormwaterGroundwater'!C80)/$AE$11)</f>
        <v>117.60025259690759</v>
      </c>
      <c r="AF89" s="564">
        <f>$AF$16*(('Table 2 StormwaterGroundwater'!F80+'Table 2 StormwaterGroundwater'!E80+'Table 2 StormwaterGroundwater'!C80)/$AF$11)</f>
        <v>63.841223015063008</v>
      </c>
      <c r="AG89" s="564">
        <f>$AG$16*(('Table 2 StormwaterGroundwater'!F80+'Table 2 StormwaterGroundwater'!E80+'Table 2 StormwaterGroundwater'!C80)/$AG$11)</f>
        <v>319.06455641655543</v>
      </c>
      <c r="AH89" s="568">
        <f>30*'Table 5 Flows to Evap &amp; WTP'!F77</f>
        <v>162.81568431107692</v>
      </c>
    </row>
    <row r="90" spans="2:34" ht="15" thickBot="1" x14ac:dyDescent="0.25">
      <c r="B90" s="348" t="s">
        <v>75</v>
      </c>
      <c r="C90" s="630">
        <f t="shared" si="46"/>
        <v>96771.380329439358</v>
      </c>
      <c r="D90" s="630">
        <f t="shared" si="47"/>
        <v>179677.29647283992</v>
      </c>
      <c r="E90" s="631">
        <f t="shared" si="48"/>
        <v>276448.67680227931</v>
      </c>
      <c r="M90" s="155">
        <f t="shared" si="53"/>
        <v>73</v>
      </c>
      <c r="N90" s="562">
        <f t="shared" si="50"/>
        <v>317.28664682576414</v>
      </c>
      <c r="O90" s="341">
        <f t="shared" si="51"/>
        <v>682.24981337123256</v>
      </c>
      <c r="P90" s="569">
        <f t="shared" si="52"/>
        <v>1026.6560260251294</v>
      </c>
      <c r="Q90" s="156">
        <f t="shared" si="54"/>
        <v>136.52834962853723</v>
      </c>
      <c r="R90" s="156">
        <f t="shared" si="55"/>
        <v>27.119565828132657</v>
      </c>
      <c r="S90" s="564">
        <v>0</v>
      </c>
      <c r="T90" s="565">
        <f>$T$16*(('Table 2 StormwaterGroundwater'!H81/2)/'Table 13 Power Costs'!$T$11)</f>
        <v>0.13654705596859373</v>
      </c>
      <c r="U90" s="571">
        <f>$U$16*('Table 2 StormwaterGroundwater'!Y81/'Table 13 Power Costs'!$U$11)</f>
        <v>0.11018361100216202</v>
      </c>
      <c r="V90" s="564">
        <f>$V$16*(('Table 2 StormwaterGroundwater'!Y81+'Table 2 StormwaterGroundwater'!AE81+'Table 2 StormwaterGroundwater'!W81+5)/$V$11)</f>
        <v>4.9876815185726731</v>
      </c>
      <c r="W90" s="564">
        <f>$W$16*(('Table 2 StormwaterGroundwater'!Y81+'Table 2 StormwaterGroundwater'!AE81+'Table 2 StormwaterGroundwater'!W81+'Table 2 StormwaterGroundwater'!U81+'Table 2 StormwaterGroundwater'!O81+'Table 2 StormwaterGroundwater'!S81+5)/$W$11)</f>
        <v>2.8428497293461734</v>
      </c>
      <c r="X90" s="565">
        <f>$X$16*(('Table 2 StormwaterGroundwater'!Q81+5)/'Table 13 Power Costs'!$X$11)</f>
        <v>0.39668650810496492</v>
      </c>
      <c r="Y90" s="566">
        <f>$Y$16*(('Table 2 StormwaterGroundwater'!AC81+'Table 2 StormwaterGroundwater'!AA81+'Table 2 StormwaterGroundwater'!Q81+'Table 2 StormwaterGroundwater'!M81+'Table 2 StormwaterGroundwater'!K81+5)/$Y$11)</f>
        <v>1.1039508742889963</v>
      </c>
      <c r="Z90" s="566">
        <f>$Z$16*(('Table 2 StormwaterGroundwater'!S81*0.3)/$Z$11)</f>
        <v>0.10624409431720903</v>
      </c>
      <c r="AA90" s="567">
        <v>0</v>
      </c>
      <c r="AB90" s="567">
        <f>$AB$16*(('Table 2 StormwaterGroundwater'!I81+'Table 2 StormwaterGroundwater'!G81)/$AB$11)</f>
        <v>31.036461193019704</v>
      </c>
      <c r="AC90" s="564">
        <f>$AC$16*(('Table 2 StormwaterGroundwater'!E81)/$AC$11)</f>
        <v>97.941239218847969</v>
      </c>
      <c r="AD90" s="564">
        <f>$AD$16*(('Table 2 StormwaterGroundwater'!E81)/$AD$11)</f>
        <v>61.024550425388071</v>
      </c>
      <c r="AE90" s="564">
        <f>$AE$16*(('Table 2 StormwaterGroundwater'!E81+'Table 2 StormwaterGroundwater'!C81)/$AE$11)</f>
        <v>117.60025259690759</v>
      </c>
      <c r="AF90" s="564">
        <f>$AF$16*(('Table 2 StormwaterGroundwater'!F81+'Table 2 StormwaterGroundwater'!E81+'Table 2 StormwaterGroundwater'!C81)/$AF$11)</f>
        <v>63.841223015063008</v>
      </c>
      <c r="AG90" s="564">
        <f>$AG$16*(('Table 2 StormwaterGroundwater'!F81+'Table 2 StormwaterGroundwater'!E81+'Table 2 StormwaterGroundwater'!C81)/$AG$11)</f>
        <v>319.06455641655543</v>
      </c>
      <c r="AH90" s="568">
        <f>30*'Table 5 Flows to Evap &amp; WTP'!F78</f>
        <v>162.81568431107692</v>
      </c>
    </row>
    <row r="91" spans="2:34" ht="15" thickTop="1" x14ac:dyDescent="0.2">
      <c r="M91" s="155">
        <f t="shared" si="53"/>
        <v>74</v>
      </c>
      <c r="N91" s="562">
        <f t="shared" si="50"/>
        <v>317.28664682576414</v>
      </c>
      <c r="O91" s="341">
        <f t="shared" si="51"/>
        <v>682.24981337123256</v>
      </c>
      <c r="P91" s="569">
        <f t="shared" si="52"/>
        <v>1026.6560260251294</v>
      </c>
      <c r="Q91" s="156">
        <f t="shared" si="54"/>
        <v>136.52834962853723</v>
      </c>
      <c r="R91" s="156">
        <f t="shared" si="55"/>
        <v>27.119565828132657</v>
      </c>
      <c r="S91" s="564">
        <v>0</v>
      </c>
      <c r="T91" s="565">
        <f>$T$16*(('Table 2 StormwaterGroundwater'!H82/2)/'Table 13 Power Costs'!$T$11)</f>
        <v>0.13654705596859373</v>
      </c>
      <c r="U91" s="571">
        <f>$U$16*('Table 2 StormwaterGroundwater'!Y82/'Table 13 Power Costs'!$U$11)</f>
        <v>0.11018361100216202</v>
      </c>
      <c r="V91" s="564">
        <f>$V$16*(('Table 2 StormwaterGroundwater'!Y82+'Table 2 StormwaterGroundwater'!AE82+'Table 2 StormwaterGroundwater'!W82+5)/$V$11)</f>
        <v>4.9876815185726731</v>
      </c>
      <c r="W91" s="564">
        <f>$W$16*(('Table 2 StormwaterGroundwater'!Y82+'Table 2 StormwaterGroundwater'!AE82+'Table 2 StormwaterGroundwater'!W82+'Table 2 StormwaterGroundwater'!U82+'Table 2 StormwaterGroundwater'!O82+'Table 2 StormwaterGroundwater'!S82+5)/$W$11)</f>
        <v>2.8428497293461734</v>
      </c>
      <c r="X91" s="565">
        <f>$X$16*(('Table 2 StormwaterGroundwater'!Q82+5)/'Table 13 Power Costs'!$X$11)</f>
        <v>0.39668650810496492</v>
      </c>
      <c r="Y91" s="566">
        <f>$Y$16*(('Table 2 StormwaterGroundwater'!AC82+'Table 2 StormwaterGroundwater'!AA82+'Table 2 StormwaterGroundwater'!Q82+'Table 2 StormwaterGroundwater'!M82+'Table 2 StormwaterGroundwater'!K82+5)/$Y$11)</f>
        <v>1.1039508742889963</v>
      </c>
      <c r="Z91" s="566">
        <f>$Z$16*(('Table 2 StormwaterGroundwater'!S82*0.3)/$Z$11)</f>
        <v>0.10624409431720903</v>
      </c>
      <c r="AA91" s="567">
        <v>0</v>
      </c>
      <c r="AB91" s="567">
        <f>$AB$16*(('Table 2 StormwaterGroundwater'!I82+'Table 2 StormwaterGroundwater'!G82)/$AB$11)</f>
        <v>31.036461193019704</v>
      </c>
      <c r="AC91" s="564">
        <f>$AC$16*(('Table 2 StormwaterGroundwater'!E82)/$AC$11)</f>
        <v>97.941239218847969</v>
      </c>
      <c r="AD91" s="564">
        <f>$AD$16*(('Table 2 StormwaterGroundwater'!E82)/$AD$11)</f>
        <v>61.024550425388071</v>
      </c>
      <c r="AE91" s="564">
        <f>$AE$16*(('Table 2 StormwaterGroundwater'!E82+'Table 2 StormwaterGroundwater'!C82)/$AE$11)</f>
        <v>117.60025259690759</v>
      </c>
      <c r="AF91" s="564">
        <f>$AF$16*(('Table 2 StormwaterGroundwater'!F82+'Table 2 StormwaterGroundwater'!E82+'Table 2 StormwaterGroundwater'!C82)/$AF$11)</f>
        <v>63.841223015063008</v>
      </c>
      <c r="AG91" s="564">
        <f>$AG$16*(('Table 2 StormwaterGroundwater'!F82+'Table 2 StormwaterGroundwater'!E82+'Table 2 StormwaterGroundwater'!C82)/$AG$11)</f>
        <v>319.06455641655543</v>
      </c>
      <c r="AH91" s="568">
        <f>30*'Table 5 Flows to Evap &amp; WTP'!F79</f>
        <v>162.81568431107692</v>
      </c>
    </row>
    <row r="92" spans="2:34" ht="14.25" x14ac:dyDescent="0.2">
      <c r="M92" s="155">
        <f t="shared" si="53"/>
        <v>75</v>
      </c>
      <c r="N92" s="562">
        <f t="shared" si="50"/>
        <v>317.28664682576414</v>
      </c>
      <c r="O92" s="341">
        <f t="shared" si="51"/>
        <v>682.24981337123256</v>
      </c>
      <c r="P92" s="569">
        <f t="shared" si="52"/>
        <v>1026.6560260251294</v>
      </c>
      <c r="Q92" s="156">
        <f t="shared" si="54"/>
        <v>136.52834962853723</v>
      </c>
      <c r="R92" s="156">
        <f t="shared" si="55"/>
        <v>27.119565828132657</v>
      </c>
      <c r="S92" s="564">
        <v>0</v>
      </c>
      <c r="T92" s="565">
        <f>$T$16*(('Table 2 StormwaterGroundwater'!H83/2)/'Table 13 Power Costs'!$T$11)</f>
        <v>0.13654705596859373</v>
      </c>
      <c r="U92" s="571">
        <f>$U$16*('Table 2 StormwaterGroundwater'!Y83/'Table 13 Power Costs'!$U$11)</f>
        <v>0.11018361100216202</v>
      </c>
      <c r="V92" s="564">
        <f>$V$16*(('Table 2 StormwaterGroundwater'!Y83+'Table 2 StormwaterGroundwater'!AE83+'Table 2 StormwaterGroundwater'!W83+5)/$V$11)</f>
        <v>4.9876815185726731</v>
      </c>
      <c r="W92" s="564">
        <f>$W$16*(('Table 2 StormwaterGroundwater'!Y83+'Table 2 StormwaterGroundwater'!AE83+'Table 2 StormwaterGroundwater'!W83+'Table 2 StormwaterGroundwater'!U83+'Table 2 StormwaterGroundwater'!O83+'Table 2 StormwaterGroundwater'!S83+5)/$W$11)</f>
        <v>2.8428497293461734</v>
      </c>
      <c r="X92" s="565">
        <f>$X$16*(('Table 2 StormwaterGroundwater'!Q83+5)/'Table 13 Power Costs'!$X$11)</f>
        <v>0.39668650810496492</v>
      </c>
      <c r="Y92" s="566">
        <f>$Y$16*(('Table 2 StormwaterGroundwater'!AC83+'Table 2 StormwaterGroundwater'!AA83+'Table 2 StormwaterGroundwater'!Q83+'Table 2 StormwaterGroundwater'!M83+'Table 2 StormwaterGroundwater'!K83+5)/$Y$11)</f>
        <v>1.1039508742889963</v>
      </c>
      <c r="Z92" s="566">
        <f>$Z$16*(('Table 2 StormwaterGroundwater'!S83*0.3)/$Z$11)</f>
        <v>0.10624409431720903</v>
      </c>
      <c r="AA92" s="567">
        <v>0</v>
      </c>
      <c r="AB92" s="567">
        <f>$AB$16*(('Table 2 StormwaterGroundwater'!I83+'Table 2 StormwaterGroundwater'!G83)/$AB$11)</f>
        <v>31.036461193019704</v>
      </c>
      <c r="AC92" s="564">
        <f>$AC$16*(('Table 2 StormwaterGroundwater'!E83)/$AC$11)</f>
        <v>97.941239218847969</v>
      </c>
      <c r="AD92" s="564">
        <f>$AD$16*(('Table 2 StormwaterGroundwater'!E83)/$AD$11)</f>
        <v>61.024550425388071</v>
      </c>
      <c r="AE92" s="564">
        <f>$AE$16*(('Table 2 StormwaterGroundwater'!E83+'Table 2 StormwaterGroundwater'!C83)/$AE$11)</f>
        <v>117.60025259690759</v>
      </c>
      <c r="AF92" s="564">
        <f>$AF$16*(('Table 2 StormwaterGroundwater'!F83+'Table 2 StormwaterGroundwater'!E83+'Table 2 StormwaterGroundwater'!C83)/$AF$11)</f>
        <v>63.841223015063008</v>
      </c>
      <c r="AG92" s="564">
        <f>$AG$16*(('Table 2 StormwaterGroundwater'!F83+'Table 2 StormwaterGroundwater'!E83+'Table 2 StormwaterGroundwater'!C83)/$AG$11)</f>
        <v>319.06455641655543</v>
      </c>
      <c r="AH92" s="568">
        <f>30*'Table 5 Flows to Evap &amp; WTP'!F80</f>
        <v>162.81568431107692</v>
      </c>
    </row>
    <row r="93" spans="2:34" ht="14.25" x14ac:dyDescent="0.2">
      <c r="M93" s="155">
        <f t="shared" si="53"/>
        <v>76</v>
      </c>
      <c r="N93" s="562">
        <f t="shared" si="50"/>
        <v>317.28664682576414</v>
      </c>
      <c r="O93" s="341">
        <f t="shared" si="51"/>
        <v>682.24981337123256</v>
      </c>
      <c r="P93" s="569">
        <f t="shared" si="52"/>
        <v>1026.6560260251294</v>
      </c>
      <c r="Q93" s="156">
        <f t="shared" si="54"/>
        <v>136.52834962853723</v>
      </c>
      <c r="R93" s="156">
        <f t="shared" si="55"/>
        <v>27.119565828132657</v>
      </c>
      <c r="S93" s="564">
        <v>0</v>
      </c>
      <c r="T93" s="565">
        <f>$T$16*(('Table 2 StormwaterGroundwater'!H84/2)/'Table 13 Power Costs'!$T$11)</f>
        <v>0.13654705596859373</v>
      </c>
      <c r="U93" s="571">
        <f>$U$16*('Table 2 StormwaterGroundwater'!Y84/'Table 13 Power Costs'!$U$11)</f>
        <v>0.11018361100216202</v>
      </c>
      <c r="V93" s="564">
        <f>$V$16*(('Table 2 StormwaterGroundwater'!Y84+'Table 2 StormwaterGroundwater'!AE84+'Table 2 StormwaterGroundwater'!W84+5)/$V$11)</f>
        <v>4.9876815185726731</v>
      </c>
      <c r="W93" s="564">
        <f>$W$16*(('Table 2 StormwaterGroundwater'!Y84+'Table 2 StormwaterGroundwater'!AE84+'Table 2 StormwaterGroundwater'!W84+'Table 2 StormwaterGroundwater'!U84+'Table 2 StormwaterGroundwater'!O84+'Table 2 StormwaterGroundwater'!S84+5)/$W$11)</f>
        <v>2.8428497293461734</v>
      </c>
      <c r="X93" s="565">
        <f>$X$16*(('Table 2 StormwaterGroundwater'!Q84+5)/'Table 13 Power Costs'!$X$11)</f>
        <v>0.39668650810496492</v>
      </c>
      <c r="Y93" s="566">
        <f>$Y$16*(('Table 2 StormwaterGroundwater'!AC84+'Table 2 StormwaterGroundwater'!AA84+'Table 2 StormwaterGroundwater'!Q84+'Table 2 StormwaterGroundwater'!M84+'Table 2 StormwaterGroundwater'!K84+5)/$Y$11)</f>
        <v>1.1039508742889963</v>
      </c>
      <c r="Z93" s="566">
        <f>$Z$16*(('Table 2 StormwaterGroundwater'!S84*0.3)/$Z$11)</f>
        <v>0.10624409431720903</v>
      </c>
      <c r="AA93" s="567">
        <v>0</v>
      </c>
      <c r="AB93" s="567">
        <f>$AB$16*(('Table 2 StormwaterGroundwater'!I84+'Table 2 StormwaterGroundwater'!G84)/$AB$11)</f>
        <v>31.036461193019704</v>
      </c>
      <c r="AC93" s="564">
        <f>$AC$16*(('Table 2 StormwaterGroundwater'!E84)/$AC$11)</f>
        <v>97.941239218847969</v>
      </c>
      <c r="AD93" s="564">
        <f>$AD$16*(('Table 2 StormwaterGroundwater'!E84)/$AD$11)</f>
        <v>61.024550425388071</v>
      </c>
      <c r="AE93" s="564">
        <f>$AE$16*(('Table 2 StormwaterGroundwater'!E84+'Table 2 StormwaterGroundwater'!C84)/$AE$11)</f>
        <v>117.60025259690759</v>
      </c>
      <c r="AF93" s="564">
        <f>$AF$16*(('Table 2 StormwaterGroundwater'!F84+'Table 2 StormwaterGroundwater'!E84+'Table 2 StormwaterGroundwater'!C84)/$AF$11)</f>
        <v>63.841223015063008</v>
      </c>
      <c r="AG93" s="564">
        <f>$AG$16*(('Table 2 StormwaterGroundwater'!F84+'Table 2 StormwaterGroundwater'!E84+'Table 2 StormwaterGroundwater'!C84)/$AG$11)</f>
        <v>319.06455641655543</v>
      </c>
      <c r="AH93" s="568">
        <f>30*'Table 5 Flows to Evap &amp; WTP'!F81</f>
        <v>162.81568431107692</v>
      </c>
    </row>
    <row r="94" spans="2:34" ht="14.25" x14ac:dyDescent="0.2">
      <c r="M94" s="155">
        <f t="shared" si="53"/>
        <v>77</v>
      </c>
      <c r="N94" s="562">
        <f t="shared" si="50"/>
        <v>317.28664682576414</v>
      </c>
      <c r="O94" s="341">
        <f t="shared" si="51"/>
        <v>682.24981337123256</v>
      </c>
      <c r="P94" s="569">
        <f t="shared" si="52"/>
        <v>1026.6560260251294</v>
      </c>
      <c r="Q94" s="156">
        <f t="shared" si="54"/>
        <v>136.52834962853723</v>
      </c>
      <c r="R94" s="156">
        <f t="shared" si="55"/>
        <v>27.119565828132657</v>
      </c>
      <c r="S94" s="564">
        <v>0</v>
      </c>
      <c r="T94" s="565">
        <f>$T$16*(('Table 2 StormwaterGroundwater'!H85/2)/'Table 13 Power Costs'!$T$11)</f>
        <v>0.13654705596859373</v>
      </c>
      <c r="U94" s="571">
        <f>$U$16*('Table 2 StormwaterGroundwater'!Y85/'Table 13 Power Costs'!$U$11)</f>
        <v>0.11018361100216202</v>
      </c>
      <c r="V94" s="564">
        <f>$V$16*(('Table 2 StormwaterGroundwater'!Y85+'Table 2 StormwaterGroundwater'!AE85+'Table 2 StormwaterGroundwater'!W85+5)/$V$11)</f>
        <v>4.9876815185726731</v>
      </c>
      <c r="W94" s="564">
        <f>$W$16*(('Table 2 StormwaterGroundwater'!Y85+'Table 2 StormwaterGroundwater'!AE85+'Table 2 StormwaterGroundwater'!W85+'Table 2 StormwaterGroundwater'!U85+'Table 2 StormwaterGroundwater'!O85+'Table 2 StormwaterGroundwater'!S85+5)/$W$11)</f>
        <v>2.8428497293461734</v>
      </c>
      <c r="X94" s="565">
        <f>$X$16*(('Table 2 StormwaterGroundwater'!Q85+5)/'Table 13 Power Costs'!$X$11)</f>
        <v>0.39668650810496492</v>
      </c>
      <c r="Y94" s="566">
        <f>$Y$16*(('Table 2 StormwaterGroundwater'!AC85+'Table 2 StormwaterGroundwater'!AA85+'Table 2 StormwaterGroundwater'!Q85+'Table 2 StormwaterGroundwater'!M85+'Table 2 StormwaterGroundwater'!K85+5)/$Y$11)</f>
        <v>1.1039508742889963</v>
      </c>
      <c r="Z94" s="566">
        <f>$Z$16*(('Table 2 StormwaterGroundwater'!S85*0.3)/$Z$11)</f>
        <v>0.10624409431720903</v>
      </c>
      <c r="AA94" s="567">
        <v>0</v>
      </c>
      <c r="AB94" s="567">
        <f>$AB$16*(('Table 2 StormwaterGroundwater'!I85+'Table 2 StormwaterGroundwater'!G85)/$AB$11)</f>
        <v>31.036461193019704</v>
      </c>
      <c r="AC94" s="564">
        <f>$AC$16*(('Table 2 StormwaterGroundwater'!E85)/$AC$11)</f>
        <v>97.941239218847969</v>
      </c>
      <c r="AD94" s="564">
        <f>$AD$16*(('Table 2 StormwaterGroundwater'!E85)/$AD$11)</f>
        <v>61.024550425388071</v>
      </c>
      <c r="AE94" s="564">
        <f>$AE$16*(('Table 2 StormwaterGroundwater'!E85+'Table 2 StormwaterGroundwater'!C85)/$AE$11)</f>
        <v>117.60025259690759</v>
      </c>
      <c r="AF94" s="564">
        <f>$AF$16*(('Table 2 StormwaterGroundwater'!F85+'Table 2 StormwaterGroundwater'!E85+'Table 2 StormwaterGroundwater'!C85)/$AF$11)</f>
        <v>63.841223015063008</v>
      </c>
      <c r="AG94" s="564">
        <f>$AG$16*(('Table 2 StormwaterGroundwater'!F85+'Table 2 StormwaterGroundwater'!E85+'Table 2 StormwaterGroundwater'!C85)/$AG$11)</f>
        <v>319.06455641655543</v>
      </c>
      <c r="AH94" s="568">
        <f>30*'Table 5 Flows to Evap &amp; WTP'!F82</f>
        <v>162.81568431107692</v>
      </c>
    </row>
    <row r="95" spans="2:34" ht="14.25" x14ac:dyDescent="0.2">
      <c r="M95" s="155">
        <f t="shared" si="53"/>
        <v>78</v>
      </c>
      <c r="N95" s="562">
        <f t="shared" si="50"/>
        <v>317.28664682576414</v>
      </c>
      <c r="O95" s="341">
        <f t="shared" si="51"/>
        <v>682.24981337123256</v>
      </c>
      <c r="P95" s="569">
        <f t="shared" si="52"/>
        <v>1026.6560260251294</v>
      </c>
      <c r="Q95" s="156">
        <f t="shared" si="54"/>
        <v>136.52834962853723</v>
      </c>
      <c r="R95" s="156">
        <f t="shared" si="55"/>
        <v>27.119565828132657</v>
      </c>
      <c r="S95" s="564">
        <v>0</v>
      </c>
      <c r="T95" s="565">
        <f>$T$16*(('Table 2 StormwaterGroundwater'!H86/2)/'Table 13 Power Costs'!$T$11)</f>
        <v>0.13654705596859373</v>
      </c>
      <c r="U95" s="571">
        <f>$U$16*('Table 2 StormwaterGroundwater'!Y86/'Table 13 Power Costs'!$U$11)</f>
        <v>0.11018361100216202</v>
      </c>
      <c r="V95" s="564">
        <f>$V$16*(('Table 2 StormwaterGroundwater'!Y86+'Table 2 StormwaterGroundwater'!AE86+'Table 2 StormwaterGroundwater'!W86+5)/$V$11)</f>
        <v>4.9876815185726731</v>
      </c>
      <c r="W95" s="564">
        <f>$W$16*(('Table 2 StormwaterGroundwater'!Y86+'Table 2 StormwaterGroundwater'!AE86+'Table 2 StormwaterGroundwater'!W86+'Table 2 StormwaterGroundwater'!U86+'Table 2 StormwaterGroundwater'!O86+'Table 2 StormwaterGroundwater'!S86+5)/$W$11)</f>
        <v>2.8428497293461734</v>
      </c>
      <c r="X95" s="565">
        <f>$X$16*(('Table 2 StormwaterGroundwater'!Q86+5)/'Table 13 Power Costs'!$X$11)</f>
        <v>0.39668650810496492</v>
      </c>
      <c r="Y95" s="566">
        <f>$Y$16*(('Table 2 StormwaterGroundwater'!AC86+'Table 2 StormwaterGroundwater'!AA86+'Table 2 StormwaterGroundwater'!Q86+'Table 2 StormwaterGroundwater'!M86+'Table 2 StormwaterGroundwater'!K86+5)/$Y$11)</f>
        <v>1.1039508742889963</v>
      </c>
      <c r="Z95" s="566">
        <f>$Z$16*(('Table 2 StormwaterGroundwater'!S86*0.3)/$Z$11)</f>
        <v>0.10624409431720903</v>
      </c>
      <c r="AA95" s="567">
        <v>0</v>
      </c>
      <c r="AB95" s="567">
        <f>$AB$16*(('Table 2 StormwaterGroundwater'!I86+'Table 2 StormwaterGroundwater'!G86)/$AB$11)</f>
        <v>31.036461193019704</v>
      </c>
      <c r="AC95" s="564">
        <f>$AC$16*(('Table 2 StormwaterGroundwater'!E86)/$AC$11)</f>
        <v>97.941239218847969</v>
      </c>
      <c r="AD95" s="564">
        <f>$AD$16*(('Table 2 StormwaterGroundwater'!E86)/$AD$11)</f>
        <v>61.024550425388071</v>
      </c>
      <c r="AE95" s="564">
        <f>$AE$16*(('Table 2 StormwaterGroundwater'!E86+'Table 2 StormwaterGroundwater'!C86)/$AE$11)</f>
        <v>117.60025259690759</v>
      </c>
      <c r="AF95" s="564">
        <f>$AF$16*(('Table 2 StormwaterGroundwater'!F86+'Table 2 StormwaterGroundwater'!E86+'Table 2 StormwaterGroundwater'!C86)/$AF$11)</f>
        <v>63.841223015063008</v>
      </c>
      <c r="AG95" s="564">
        <f>$AG$16*(('Table 2 StormwaterGroundwater'!F86+'Table 2 StormwaterGroundwater'!E86+'Table 2 StormwaterGroundwater'!C86)/$AG$11)</f>
        <v>319.06455641655543</v>
      </c>
      <c r="AH95" s="568">
        <f>30*'Table 5 Flows to Evap &amp; WTP'!F83</f>
        <v>162.81568431107692</v>
      </c>
    </row>
    <row r="96" spans="2:34" ht="14.25" x14ac:dyDescent="0.2">
      <c r="M96" s="155">
        <f t="shared" si="53"/>
        <v>79</v>
      </c>
      <c r="N96" s="562">
        <f t="shared" si="50"/>
        <v>317.28664682576414</v>
      </c>
      <c r="O96" s="341">
        <f t="shared" si="51"/>
        <v>682.24981337123256</v>
      </c>
      <c r="P96" s="569">
        <f t="shared" si="52"/>
        <v>1026.6560260251294</v>
      </c>
      <c r="Q96" s="156">
        <f t="shared" si="54"/>
        <v>136.52834962853723</v>
      </c>
      <c r="R96" s="156">
        <f t="shared" si="55"/>
        <v>27.119565828132657</v>
      </c>
      <c r="S96" s="564">
        <v>0</v>
      </c>
      <c r="T96" s="565">
        <f>$T$16*(('Table 2 StormwaterGroundwater'!H87/2)/'Table 13 Power Costs'!$T$11)</f>
        <v>0.13654705596859373</v>
      </c>
      <c r="U96" s="571">
        <f>$U$16*('Table 2 StormwaterGroundwater'!Y87/'Table 13 Power Costs'!$U$11)</f>
        <v>0.11018361100216202</v>
      </c>
      <c r="V96" s="564">
        <f>$V$16*(('Table 2 StormwaterGroundwater'!Y87+'Table 2 StormwaterGroundwater'!AE87+'Table 2 StormwaterGroundwater'!W87+5)/$V$11)</f>
        <v>4.9876815185726731</v>
      </c>
      <c r="W96" s="564">
        <f>$W$16*(('Table 2 StormwaterGroundwater'!Y87+'Table 2 StormwaterGroundwater'!AE87+'Table 2 StormwaterGroundwater'!W87+'Table 2 StormwaterGroundwater'!U87+'Table 2 StormwaterGroundwater'!O87+'Table 2 StormwaterGroundwater'!S87+5)/$W$11)</f>
        <v>2.8428497293461734</v>
      </c>
      <c r="X96" s="565">
        <f>$X$16*(('Table 2 StormwaterGroundwater'!Q87+5)/'Table 13 Power Costs'!$X$11)</f>
        <v>0.39668650810496492</v>
      </c>
      <c r="Y96" s="566">
        <f>$Y$16*(('Table 2 StormwaterGroundwater'!AC87+'Table 2 StormwaterGroundwater'!AA87+'Table 2 StormwaterGroundwater'!Q87+'Table 2 StormwaterGroundwater'!M87+'Table 2 StormwaterGroundwater'!K87+5)/$Y$11)</f>
        <v>1.1039508742889963</v>
      </c>
      <c r="Z96" s="566">
        <f>$Z$16*(('Table 2 StormwaterGroundwater'!S87*0.3)/$Z$11)</f>
        <v>0.10624409431720903</v>
      </c>
      <c r="AA96" s="567">
        <v>0</v>
      </c>
      <c r="AB96" s="567">
        <f>$AB$16*(('Table 2 StormwaterGroundwater'!I87+'Table 2 StormwaterGroundwater'!G87)/$AB$11)</f>
        <v>31.036461193019704</v>
      </c>
      <c r="AC96" s="564">
        <f>$AC$16*(('Table 2 StormwaterGroundwater'!E87)/$AC$11)</f>
        <v>97.941239218847969</v>
      </c>
      <c r="AD96" s="564">
        <f>$AD$16*(('Table 2 StormwaterGroundwater'!E87)/$AD$11)</f>
        <v>61.024550425388071</v>
      </c>
      <c r="AE96" s="564">
        <f>$AE$16*(('Table 2 StormwaterGroundwater'!E87+'Table 2 StormwaterGroundwater'!C87)/$AE$11)</f>
        <v>117.60025259690759</v>
      </c>
      <c r="AF96" s="564">
        <f>$AF$16*(('Table 2 StormwaterGroundwater'!F87+'Table 2 StormwaterGroundwater'!E87+'Table 2 StormwaterGroundwater'!C87)/$AF$11)</f>
        <v>63.841223015063008</v>
      </c>
      <c r="AG96" s="564">
        <f>$AG$16*(('Table 2 StormwaterGroundwater'!F87+'Table 2 StormwaterGroundwater'!E87+'Table 2 StormwaterGroundwater'!C87)/$AG$11)</f>
        <v>319.06455641655543</v>
      </c>
      <c r="AH96" s="568">
        <f>30*'Table 5 Flows to Evap &amp; WTP'!F84</f>
        <v>162.81568431107692</v>
      </c>
    </row>
    <row r="97" spans="13:34" ht="14.25" x14ac:dyDescent="0.2">
      <c r="M97" s="155">
        <f t="shared" si="53"/>
        <v>80</v>
      </c>
      <c r="N97" s="562">
        <f t="shared" si="50"/>
        <v>317.28664682576414</v>
      </c>
      <c r="O97" s="341">
        <f t="shared" si="51"/>
        <v>682.24981337123256</v>
      </c>
      <c r="P97" s="569">
        <f t="shared" si="52"/>
        <v>1026.6560260251294</v>
      </c>
      <c r="Q97" s="156">
        <f t="shared" si="54"/>
        <v>136.52834962853723</v>
      </c>
      <c r="R97" s="156">
        <f t="shared" si="55"/>
        <v>27.119565828132657</v>
      </c>
      <c r="S97" s="564">
        <v>0</v>
      </c>
      <c r="T97" s="565">
        <f>$T$16*(('Table 2 StormwaterGroundwater'!H88/2)/'Table 13 Power Costs'!$T$11)</f>
        <v>0.13654705596859373</v>
      </c>
      <c r="U97" s="571">
        <f>$U$16*('Table 2 StormwaterGroundwater'!Y88/'Table 13 Power Costs'!$U$11)</f>
        <v>0.11018361100216202</v>
      </c>
      <c r="V97" s="564">
        <f>$V$16*(('Table 2 StormwaterGroundwater'!Y88+'Table 2 StormwaterGroundwater'!AE88+'Table 2 StormwaterGroundwater'!W88+5)/$V$11)</f>
        <v>4.9876815185726731</v>
      </c>
      <c r="W97" s="564">
        <f>$W$16*(('Table 2 StormwaterGroundwater'!Y88+'Table 2 StormwaterGroundwater'!AE88+'Table 2 StormwaterGroundwater'!W88+'Table 2 StormwaterGroundwater'!U88+'Table 2 StormwaterGroundwater'!O88+'Table 2 StormwaterGroundwater'!S88+5)/$W$11)</f>
        <v>2.8428497293461734</v>
      </c>
      <c r="X97" s="565">
        <f>$X$16*(('Table 2 StormwaterGroundwater'!Q88+5)/'Table 13 Power Costs'!$X$11)</f>
        <v>0.39668650810496492</v>
      </c>
      <c r="Y97" s="566">
        <f>$Y$16*(('Table 2 StormwaterGroundwater'!AC88+'Table 2 StormwaterGroundwater'!AA88+'Table 2 StormwaterGroundwater'!Q88+'Table 2 StormwaterGroundwater'!M88+'Table 2 StormwaterGroundwater'!K88+5)/$Y$11)</f>
        <v>1.1039508742889963</v>
      </c>
      <c r="Z97" s="566">
        <f>$Z$16*(('Table 2 StormwaterGroundwater'!S88*0.3)/$Z$11)</f>
        <v>0.10624409431720903</v>
      </c>
      <c r="AA97" s="567">
        <v>0</v>
      </c>
      <c r="AB97" s="567">
        <f>$AB$16*(('Table 2 StormwaterGroundwater'!I88+'Table 2 StormwaterGroundwater'!G88)/$AB$11)</f>
        <v>31.036461193019704</v>
      </c>
      <c r="AC97" s="564">
        <f>$AC$16*(('Table 2 StormwaterGroundwater'!E88)/$AC$11)</f>
        <v>97.941239218847969</v>
      </c>
      <c r="AD97" s="564">
        <f>$AD$16*(('Table 2 StormwaterGroundwater'!E88)/$AD$11)</f>
        <v>61.024550425388071</v>
      </c>
      <c r="AE97" s="564">
        <f>$AE$16*(('Table 2 StormwaterGroundwater'!E88+'Table 2 StormwaterGroundwater'!C88)/$AE$11)</f>
        <v>117.60025259690759</v>
      </c>
      <c r="AF97" s="564">
        <f>$AF$16*(('Table 2 StormwaterGroundwater'!F88+'Table 2 StormwaterGroundwater'!E88+'Table 2 StormwaterGroundwater'!C88)/$AF$11)</f>
        <v>63.841223015063008</v>
      </c>
      <c r="AG97" s="564">
        <f>$AG$16*(('Table 2 StormwaterGroundwater'!F88+'Table 2 StormwaterGroundwater'!E88+'Table 2 StormwaterGroundwater'!C88)/$AG$11)</f>
        <v>319.06455641655543</v>
      </c>
      <c r="AH97" s="568">
        <f>30*'Table 5 Flows to Evap &amp; WTP'!F85</f>
        <v>162.81568431107692</v>
      </c>
    </row>
    <row r="98" spans="13:34" ht="14.25" x14ac:dyDescent="0.2">
      <c r="M98" s="155">
        <f t="shared" si="53"/>
        <v>81</v>
      </c>
      <c r="N98" s="562">
        <f t="shared" si="50"/>
        <v>317.28664682576414</v>
      </c>
      <c r="O98" s="341">
        <f t="shared" si="51"/>
        <v>682.24981337123256</v>
      </c>
      <c r="P98" s="569">
        <f t="shared" si="52"/>
        <v>1026.6560260251294</v>
      </c>
      <c r="Q98" s="156">
        <f t="shared" si="54"/>
        <v>136.52834962853723</v>
      </c>
      <c r="R98" s="156">
        <f t="shared" si="55"/>
        <v>27.119565828132657</v>
      </c>
      <c r="S98" s="564">
        <v>0</v>
      </c>
      <c r="T98" s="565">
        <f>$T$16*(('Table 2 StormwaterGroundwater'!H89/2)/'Table 13 Power Costs'!$T$11)</f>
        <v>0.13654705596859373</v>
      </c>
      <c r="U98" s="571">
        <f>$U$16*('Table 2 StormwaterGroundwater'!Y89/'Table 13 Power Costs'!$U$11)</f>
        <v>0.11018361100216202</v>
      </c>
      <c r="V98" s="564">
        <f>$V$16*(('Table 2 StormwaterGroundwater'!Y89+'Table 2 StormwaterGroundwater'!AE89+'Table 2 StormwaterGroundwater'!W89+5)/$V$11)</f>
        <v>4.9876815185726731</v>
      </c>
      <c r="W98" s="564">
        <f>$W$16*(('Table 2 StormwaterGroundwater'!Y89+'Table 2 StormwaterGroundwater'!AE89+'Table 2 StormwaterGroundwater'!W89+'Table 2 StormwaterGroundwater'!U89+'Table 2 StormwaterGroundwater'!O89+'Table 2 StormwaterGroundwater'!S89+5)/$W$11)</f>
        <v>2.8428497293461734</v>
      </c>
      <c r="X98" s="565">
        <f>$X$16*(('Table 2 StormwaterGroundwater'!Q89+5)/'Table 13 Power Costs'!$X$11)</f>
        <v>0.39668650810496492</v>
      </c>
      <c r="Y98" s="566">
        <f>$Y$16*(('Table 2 StormwaterGroundwater'!AC89+'Table 2 StormwaterGroundwater'!AA89+'Table 2 StormwaterGroundwater'!Q89+'Table 2 StormwaterGroundwater'!M89+'Table 2 StormwaterGroundwater'!K89+5)/$Y$11)</f>
        <v>1.1039508742889963</v>
      </c>
      <c r="Z98" s="566">
        <f>$Z$16*(('Table 2 StormwaterGroundwater'!S89*0.3)/$Z$11)</f>
        <v>0.10624409431720903</v>
      </c>
      <c r="AA98" s="567">
        <v>0</v>
      </c>
      <c r="AB98" s="567">
        <f>$AB$16*(('Table 2 StormwaterGroundwater'!I89+'Table 2 StormwaterGroundwater'!G89)/$AB$11)</f>
        <v>31.036461193019704</v>
      </c>
      <c r="AC98" s="564">
        <f>$AC$16*(('Table 2 StormwaterGroundwater'!E89)/$AC$11)</f>
        <v>97.941239218847969</v>
      </c>
      <c r="AD98" s="564">
        <f>$AD$16*(('Table 2 StormwaterGroundwater'!E89)/$AD$11)</f>
        <v>61.024550425388071</v>
      </c>
      <c r="AE98" s="564">
        <f>$AE$16*(('Table 2 StormwaterGroundwater'!E89+'Table 2 StormwaterGroundwater'!C89)/$AE$11)</f>
        <v>117.60025259690759</v>
      </c>
      <c r="AF98" s="564">
        <f>$AF$16*(('Table 2 StormwaterGroundwater'!F89+'Table 2 StormwaterGroundwater'!E89+'Table 2 StormwaterGroundwater'!C89)/$AF$11)</f>
        <v>63.841223015063008</v>
      </c>
      <c r="AG98" s="564">
        <f>$AG$16*(('Table 2 StormwaterGroundwater'!F89+'Table 2 StormwaterGroundwater'!E89+'Table 2 StormwaterGroundwater'!C89)/$AG$11)</f>
        <v>319.06455641655543</v>
      </c>
      <c r="AH98" s="568">
        <f>30*'Table 5 Flows to Evap &amp; WTP'!F86</f>
        <v>162.81568431107692</v>
      </c>
    </row>
    <row r="99" spans="13:34" ht="14.25" x14ac:dyDescent="0.2">
      <c r="M99" s="155">
        <f t="shared" si="53"/>
        <v>82</v>
      </c>
      <c r="N99" s="562">
        <f t="shared" si="50"/>
        <v>317.28664682576414</v>
      </c>
      <c r="O99" s="341">
        <f t="shared" si="51"/>
        <v>682.24981337123256</v>
      </c>
      <c r="P99" s="569">
        <f t="shared" si="52"/>
        <v>1026.6560260251294</v>
      </c>
      <c r="Q99" s="156">
        <f t="shared" si="54"/>
        <v>136.52834962853723</v>
      </c>
      <c r="R99" s="156">
        <f t="shared" si="55"/>
        <v>27.119565828132657</v>
      </c>
      <c r="S99" s="564">
        <v>0</v>
      </c>
      <c r="T99" s="565">
        <f>$T$16*(('Table 2 StormwaterGroundwater'!H90/2)/'Table 13 Power Costs'!$T$11)</f>
        <v>0.13654705596859373</v>
      </c>
      <c r="U99" s="571">
        <f>$U$16*('Table 2 StormwaterGroundwater'!Y90/'Table 13 Power Costs'!$U$11)</f>
        <v>0.11018361100216202</v>
      </c>
      <c r="V99" s="564">
        <f>$V$16*(('Table 2 StormwaterGroundwater'!Y90+'Table 2 StormwaterGroundwater'!AE90+'Table 2 StormwaterGroundwater'!W90+5)/$V$11)</f>
        <v>4.9876815185726731</v>
      </c>
      <c r="W99" s="564">
        <f>$W$16*(('Table 2 StormwaterGroundwater'!Y90+'Table 2 StormwaterGroundwater'!AE90+'Table 2 StormwaterGroundwater'!W90+'Table 2 StormwaterGroundwater'!U90+'Table 2 StormwaterGroundwater'!O90+'Table 2 StormwaterGroundwater'!S90+5)/$W$11)</f>
        <v>2.8428497293461734</v>
      </c>
      <c r="X99" s="565">
        <f>$X$16*(('Table 2 StormwaterGroundwater'!Q90+5)/'Table 13 Power Costs'!$X$11)</f>
        <v>0.39668650810496492</v>
      </c>
      <c r="Y99" s="566">
        <f>$Y$16*(('Table 2 StormwaterGroundwater'!AC90+'Table 2 StormwaterGroundwater'!AA90+'Table 2 StormwaterGroundwater'!Q90+'Table 2 StormwaterGroundwater'!M90+'Table 2 StormwaterGroundwater'!K90+5)/$Y$11)</f>
        <v>1.1039508742889963</v>
      </c>
      <c r="Z99" s="566">
        <f>$Z$16*(('Table 2 StormwaterGroundwater'!S90*0.3)/$Z$11)</f>
        <v>0.10624409431720903</v>
      </c>
      <c r="AA99" s="567">
        <v>0</v>
      </c>
      <c r="AB99" s="567">
        <f>$AB$16*(('Table 2 StormwaterGroundwater'!I90+'Table 2 StormwaterGroundwater'!G90)/$AB$11)</f>
        <v>31.036461193019704</v>
      </c>
      <c r="AC99" s="564">
        <f>$AC$16*(('Table 2 StormwaterGroundwater'!E90)/$AC$11)</f>
        <v>97.941239218847969</v>
      </c>
      <c r="AD99" s="564">
        <f>$AD$16*(('Table 2 StormwaterGroundwater'!E90)/$AD$11)</f>
        <v>61.024550425388071</v>
      </c>
      <c r="AE99" s="564">
        <f>$AE$16*(('Table 2 StormwaterGroundwater'!E90+'Table 2 StormwaterGroundwater'!C90)/$AE$11)</f>
        <v>117.60025259690759</v>
      </c>
      <c r="AF99" s="564">
        <f>$AF$16*(('Table 2 StormwaterGroundwater'!F90+'Table 2 StormwaterGroundwater'!E90+'Table 2 StormwaterGroundwater'!C90)/$AF$11)</f>
        <v>63.841223015063008</v>
      </c>
      <c r="AG99" s="564">
        <f>$AG$16*(('Table 2 StormwaterGroundwater'!F90+'Table 2 StormwaterGroundwater'!E90+'Table 2 StormwaterGroundwater'!C90)/$AG$11)</f>
        <v>319.06455641655543</v>
      </c>
      <c r="AH99" s="568">
        <f>30*'Table 5 Flows to Evap &amp; WTP'!F87</f>
        <v>162.81568431107692</v>
      </c>
    </row>
    <row r="100" spans="13:34" ht="14.25" x14ac:dyDescent="0.2">
      <c r="M100" s="155">
        <f t="shared" si="53"/>
        <v>83</v>
      </c>
      <c r="N100" s="562">
        <f t="shared" si="50"/>
        <v>317.28664682576414</v>
      </c>
      <c r="O100" s="341">
        <f t="shared" si="51"/>
        <v>682.24981337123256</v>
      </c>
      <c r="P100" s="569">
        <f t="shared" si="52"/>
        <v>1026.6560260251294</v>
      </c>
      <c r="Q100" s="156">
        <f t="shared" si="54"/>
        <v>136.52834962853723</v>
      </c>
      <c r="R100" s="156">
        <f t="shared" si="55"/>
        <v>27.119565828132657</v>
      </c>
      <c r="S100" s="564">
        <v>0</v>
      </c>
      <c r="T100" s="565">
        <f>$T$16*(('Table 2 StormwaterGroundwater'!H91/2)/'Table 13 Power Costs'!$T$11)</f>
        <v>0.13654705596859373</v>
      </c>
      <c r="U100" s="571">
        <f>$U$16*('Table 2 StormwaterGroundwater'!Y91/'Table 13 Power Costs'!$U$11)</f>
        <v>0.11018361100216202</v>
      </c>
      <c r="V100" s="564">
        <f>$V$16*(('Table 2 StormwaterGroundwater'!Y91+'Table 2 StormwaterGroundwater'!AE91+'Table 2 StormwaterGroundwater'!W91+5)/$V$11)</f>
        <v>4.9876815185726731</v>
      </c>
      <c r="W100" s="564">
        <f>$W$16*(('Table 2 StormwaterGroundwater'!Y91+'Table 2 StormwaterGroundwater'!AE91+'Table 2 StormwaterGroundwater'!W91+'Table 2 StormwaterGroundwater'!U91+'Table 2 StormwaterGroundwater'!O91+'Table 2 StormwaterGroundwater'!S91+5)/$W$11)</f>
        <v>2.8428497293461734</v>
      </c>
      <c r="X100" s="565">
        <f>$X$16*(('Table 2 StormwaterGroundwater'!Q91+5)/'Table 13 Power Costs'!$X$11)</f>
        <v>0.39668650810496492</v>
      </c>
      <c r="Y100" s="566">
        <f>$Y$16*(('Table 2 StormwaterGroundwater'!AC91+'Table 2 StormwaterGroundwater'!AA91+'Table 2 StormwaterGroundwater'!Q91+'Table 2 StormwaterGroundwater'!M91+'Table 2 StormwaterGroundwater'!K91+5)/$Y$11)</f>
        <v>1.1039508742889963</v>
      </c>
      <c r="Z100" s="566">
        <f>$Z$16*(('Table 2 StormwaterGroundwater'!S91*0.3)/$Z$11)</f>
        <v>0.10624409431720903</v>
      </c>
      <c r="AA100" s="567">
        <v>0</v>
      </c>
      <c r="AB100" s="567">
        <f>$AB$16*(('Table 2 StormwaterGroundwater'!I91+'Table 2 StormwaterGroundwater'!G91)/$AB$11)</f>
        <v>31.036461193019704</v>
      </c>
      <c r="AC100" s="564">
        <f>$AC$16*(('Table 2 StormwaterGroundwater'!E91)/$AC$11)</f>
        <v>97.941239218847969</v>
      </c>
      <c r="AD100" s="564">
        <f>$AD$16*(('Table 2 StormwaterGroundwater'!E91)/$AD$11)</f>
        <v>61.024550425388071</v>
      </c>
      <c r="AE100" s="564">
        <f>$AE$16*(('Table 2 StormwaterGroundwater'!E91+'Table 2 StormwaterGroundwater'!C91)/$AE$11)</f>
        <v>117.60025259690759</v>
      </c>
      <c r="AF100" s="564">
        <f>$AF$16*(('Table 2 StormwaterGroundwater'!F91+'Table 2 StormwaterGroundwater'!E91+'Table 2 StormwaterGroundwater'!C91)/$AF$11)</f>
        <v>63.841223015063008</v>
      </c>
      <c r="AG100" s="564">
        <f>$AG$16*(('Table 2 StormwaterGroundwater'!F91+'Table 2 StormwaterGroundwater'!E91+'Table 2 StormwaterGroundwater'!C91)/$AG$11)</f>
        <v>319.06455641655543</v>
      </c>
      <c r="AH100" s="568">
        <f>30*'Table 5 Flows to Evap &amp; WTP'!F88</f>
        <v>162.81568431107692</v>
      </c>
    </row>
    <row r="101" spans="13:34" ht="14.25" x14ac:dyDescent="0.2">
      <c r="M101" s="155">
        <f t="shared" si="53"/>
        <v>84</v>
      </c>
      <c r="N101" s="562">
        <f t="shared" si="50"/>
        <v>317.28664682576414</v>
      </c>
      <c r="O101" s="341">
        <f t="shared" si="51"/>
        <v>682.24981337123256</v>
      </c>
      <c r="P101" s="569">
        <f t="shared" si="52"/>
        <v>1026.6560260251294</v>
      </c>
      <c r="Q101" s="156">
        <f t="shared" si="54"/>
        <v>136.52834962853723</v>
      </c>
      <c r="R101" s="156">
        <f t="shared" si="55"/>
        <v>27.119565828132657</v>
      </c>
      <c r="S101" s="564">
        <v>0</v>
      </c>
      <c r="T101" s="565">
        <f>$T$16*(('Table 2 StormwaterGroundwater'!H92/2)/'Table 13 Power Costs'!$T$11)</f>
        <v>0.13654705596859373</v>
      </c>
      <c r="U101" s="571">
        <f>$U$16*('Table 2 StormwaterGroundwater'!Y92/'Table 13 Power Costs'!$U$11)</f>
        <v>0.11018361100216202</v>
      </c>
      <c r="V101" s="564">
        <f>$V$16*(('Table 2 StormwaterGroundwater'!Y92+'Table 2 StormwaterGroundwater'!AE92+'Table 2 StormwaterGroundwater'!W92+5)/$V$11)</f>
        <v>4.9876815185726731</v>
      </c>
      <c r="W101" s="564">
        <f>$W$16*(('Table 2 StormwaterGroundwater'!Y92+'Table 2 StormwaterGroundwater'!AE92+'Table 2 StormwaterGroundwater'!W92+'Table 2 StormwaterGroundwater'!U92+'Table 2 StormwaterGroundwater'!O92+'Table 2 StormwaterGroundwater'!S92+5)/$W$11)</f>
        <v>2.8428497293461734</v>
      </c>
      <c r="X101" s="565">
        <f>$X$16*(('Table 2 StormwaterGroundwater'!Q92+5)/'Table 13 Power Costs'!$X$11)</f>
        <v>0.39668650810496492</v>
      </c>
      <c r="Y101" s="566">
        <f>$Y$16*(('Table 2 StormwaterGroundwater'!AC92+'Table 2 StormwaterGroundwater'!AA92+'Table 2 StormwaterGroundwater'!Q92+'Table 2 StormwaterGroundwater'!M92+'Table 2 StormwaterGroundwater'!K92+5)/$Y$11)</f>
        <v>1.1039508742889963</v>
      </c>
      <c r="Z101" s="566">
        <f>$Z$16*(('Table 2 StormwaterGroundwater'!S92*0.3)/$Z$11)</f>
        <v>0.10624409431720903</v>
      </c>
      <c r="AA101" s="567">
        <v>0</v>
      </c>
      <c r="AB101" s="567">
        <f>$AB$16*(('Table 2 StormwaterGroundwater'!I92+'Table 2 StormwaterGroundwater'!G92)/$AB$11)</f>
        <v>31.036461193019704</v>
      </c>
      <c r="AC101" s="564">
        <f>$AC$16*(('Table 2 StormwaterGroundwater'!E92)/$AC$11)</f>
        <v>97.941239218847969</v>
      </c>
      <c r="AD101" s="564">
        <f>$AD$16*(('Table 2 StormwaterGroundwater'!E92)/$AD$11)</f>
        <v>61.024550425388071</v>
      </c>
      <c r="AE101" s="564">
        <f>$AE$16*(('Table 2 StormwaterGroundwater'!E92+'Table 2 StormwaterGroundwater'!C92)/$AE$11)</f>
        <v>117.60025259690759</v>
      </c>
      <c r="AF101" s="564">
        <f>$AF$16*(('Table 2 StormwaterGroundwater'!F92+'Table 2 StormwaterGroundwater'!E92+'Table 2 StormwaterGroundwater'!C92)/$AF$11)</f>
        <v>63.841223015063008</v>
      </c>
      <c r="AG101" s="564">
        <f>$AG$16*(('Table 2 StormwaterGroundwater'!F92+'Table 2 StormwaterGroundwater'!E92+'Table 2 StormwaterGroundwater'!C92)/$AG$11)</f>
        <v>319.06455641655543</v>
      </c>
      <c r="AH101" s="568">
        <f>30*'Table 5 Flows to Evap &amp; WTP'!F89</f>
        <v>162.81568431107692</v>
      </c>
    </row>
    <row r="102" spans="13:34" ht="14.25" x14ac:dyDescent="0.2">
      <c r="M102" s="155">
        <f t="shared" si="53"/>
        <v>85</v>
      </c>
      <c r="N102" s="562">
        <f t="shared" si="50"/>
        <v>317.28664682576414</v>
      </c>
      <c r="O102" s="341">
        <f t="shared" si="51"/>
        <v>682.24981337123256</v>
      </c>
      <c r="P102" s="569">
        <f t="shared" si="52"/>
        <v>1026.6560260251294</v>
      </c>
      <c r="Q102" s="156">
        <f t="shared" si="54"/>
        <v>136.52834962853723</v>
      </c>
      <c r="R102" s="156">
        <f t="shared" si="55"/>
        <v>27.119565828132657</v>
      </c>
      <c r="S102" s="564">
        <v>0</v>
      </c>
      <c r="T102" s="565">
        <f>$T$16*(('Table 2 StormwaterGroundwater'!H93/2)/'Table 13 Power Costs'!$T$11)</f>
        <v>0.13654705596859373</v>
      </c>
      <c r="U102" s="571">
        <f>$U$16*('Table 2 StormwaterGroundwater'!Y93/'Table 13 Power Costs'!$U$11)</f>
        <v>0.11018361100216202</v>
      </c>
      <c r="V102" s="564">
        <f>$V$16*(('Table 2 StormwaterGroundwater'!Y93+'Table 2 StormwaterGroundwater'!AE93+'Table 2 StormwaterGroundwater'!W93+5)/$V$11)</f>
        <v>4.9876815185726731</v>
      </c>
      <c r="W102" s="564">
        <f>$W$16*(('Table 2 StormwaterGroundwater'!Y93+'Table 2 StormwaterGroundwater'!AE93+'Table 2 StormwaterGroundwater'!W93+'Table 2 StormwaterGroundwater'!U93+'Table 2 StormwaterGroundwater'!O93+'Table 2 StormwaterGroundwater'!S93+5)/$W$11)</f>
        <v>2.8428497293461734</v>
      </c>
      <c r="X102" s="565">
        <f>$X$16*(('Table 2 StormwaterGroundwater'!Q93+5)/'Table 13 Power Costs'!$X$11)</f>
        <v>0.39668650810496492</v>
      </c>
      <c r="Y102" s="566">
        <f>$Y$16*(('Table 2 StormwaterGroundwater'!AC93+'Table 2 StormwaterGroundwater'!AA93+'Table 2 StormwaterGroundwater'!Q93+'Table 2 StormwaterGroundwater'!M93+'Table 2 StormwaterGroundwater'!K93+5)/$Y$11)</f>
        <v>1.1039508742889963</v>
      </c>
      <c r="Z102" s="566">
        <f>$Z$16*(('Table 2 StormwaterGroundwater'!S93*0.3)/$Z$11)</f>
        <v>0.10624409431720903</v>
      </c>
      <c r="AA102" s="567">
        <v>0</v>
      </c>
      <c r="AB102" s="567">
        <f>$AB$16*(('Table 2 StormwaterGroundwater'!I93+'Table 2 StormwaterGroundwater'!G93)/$AB$11)</f>
        <v>31.036461193019704</v>
      </c>
      <c r="AC102" s="564">
        <f>$AC$16*(('Table 2 StormwaterGroundwater'!E93)/$AC$11)</f>
        <v>97.941239218847969</v>
      </c>
      <c r="AD102" s="564">
        <f>$AD$16*(('Table 2 StormwaterGroundwater'!E93)/$AD$11)</f>
        <v>61.024550425388071</v>
      </c>
      <c r="AE102" s="564">
        <f>$AE$16*(('Table 2 StormwaterGroundwater'!E93+'Table 2 StormwaterGroundwater'!C93)/$AE$11)</f>
        <v>117.60025259690759</v>
      </c>
      <c r="AF102" s="564">
        <f>$AF$16*(('Table 2 StormwaterGroundwater'!F93+'Table 2 StormwaterGroundwater'!E93+'Table 2 StormwaterGroundwater'!C93)/$AF$11)</f>
        <v>63.841223015063008</v>
      </c>
      <c r="AG102" s="564">
        <f>$AG$16*(('Table 2 StormwaterGroundwater'!F93+'Table 2 StormwaterGroundwater'!E93+'Table 2 StormwaterGroundwater'!C93)/$AG$11)</f>
        <v>319.06455641655543</v>
      </c>
      <c r="AH102" s="568">
        <f>30*'Table 5 Flows to Evap &amp; WTP'!F90</f>
        <v>162.81568431107692</v>
      </c>
    </row>
    <row r="103" spans="13:34" ht="14.25" x14ac:dyDescent="0.2">
      <c r="M103" s="155">
        <f t="shared" si="53"/>
        <v>86</v>
      </c>
      <c r="N103" s="562">
        <f t="shared" si="50"/>
        <v>317.28664682576414</v>
      </c>
      <c r="O103" s="341">
        <f t="shared" si="51"/>
        <v>682.24981337123256</v>
      </c>
      <c r="P103" s="569">
        <f t="shared" si="52"/>
        <v>1026.6560260251294</v>
      </c>
      <c r="Q103" s="156">
        <f t="shared" si="54"/>
        <v>136.52834962853723</v>
      </c>
      <c r="R103" s="156">
        <f t="shared" si="55"/>
        <v>27.119565828132657</v>
      </c>
      <c r="S103" s="564">
        <v>0</v>
      </c>
      <c r="T103" s="565">
        <f>$T$16*(('Table 2 StormwaterGroundwater'!H94/2)/'Table 13 Power Costs'!$T$11)</f>
        <v>0.13654705596859373</v>
      </c>
      <c r="U103" s="571">
        <f>$U$16*('Table 2 StormwaterGroundwater'!Y94/'Table 13 Power Costs'!$U$11)</f>
        <v>0.11018361100216202</v>
      </c>
      <c r="V103" s="564">
        <f>$V$16*(('Table 2 StormwaterGroundwater'!Y94+'Table 2 StormwaterGroundwater'!AE94+'Table 2 StormwaterGroundwater'!W94+5)/$V$11)</f>
        <v>4.9876815185726731</v>
      </c>
      <c r="W103" s="564">
        <f>$W$16*(('Table 2 StormwaterGroundwater'!Y94+'Table 2 StormwaterGroundwater'!AE94+'Table 2 StormwaterGroundwater'!W94+'Table 2 StormwaterGroundwater'!U94+'Table 2 StormwaterGroundwater'!O94+'Table 2 StormwaterGroundwater'!S94+5)/$W$11)</f>
        <v>2.8428497293461734</v>
      </c>
      <c r="X103" s="565">
        <f>$X$16*(('Table 2 StormwaterGroundwater'!Q94+5)/'Table 13 Power Costs'!$X$11)</f>
        <v>0.39668650810496492</v>
      </c>
      <c r="Y103" s="566">
        <f>$Y$16*(('Table 2 StormwaterGroundwater'!AC94+'Table 2 StormwaterGroundwater'!AA94+'Table 2 StormwaterGroundwater'!Q94+'Table 2 StormwaterGroundwater'!M94+'Table 2 StormwaterGroundwater'!K94+5)/$Y$11)</f>
        <v>1.1039508742889963</v>
      </c>
      <c r="Z103" s="566">
        <f>$Z$16*(('Table 2 StormwaterGroundwater'!S94*0.3)/$Z$11)</f>
        <v>0.10624409431720903</v>
      </c>
      <c r="AA103" s="567">
        <v>0</v>
      </c>
      <c r="AB103" s="567">
        <f>$AB$16*(('Table 2 StormwaterGroundwater'!I94+'Table 2 StormwaterGroundwater'!G94)/$AB$11)</f>
        <v>31.036461193019704</v>
      </c>
      <c r="AC103" s="564">
        <f>$AC$16*(('Table 2 StormwaterGroundwater'!E94)/$AC$11)</f>
        <v>97.941239218847969</v>
      </c>
      <c r="AD103" s="564">
        <f>$AD$16*(('Table 2 StormwaterGroundwater'!E94)/$AD$11)</f>
        <v>61.024550425388071</v>
      </c>
      <c r="AE103" s="564">
        <f>$AE$16*(('Table 2 StormwaterGroundwater'!E94+'Table 2 StormwaterGroundwater'!C94)/$AE$11)</f>
        <v>117.60025259690759</v>
      </c>
      <c r="AF103" s="564">
        <f>$AF$16*(('Table 2 StormwaterGroundwater'!F94+'Table 2 StormwaterGroundwater'!E94+'Table 2 StormwaterGroundwater'!C94)/$AF$11)</f>
        <v>63.841223015063008</v>
      </c>
      <c r="AG103" s="564">
        <f>$AG$16*(('Table 2 StormwaterGroundwater'!F94+'Table 2 StormwaterGroundwater'!E94+'Table 2 StormwaterGroundwater'!C94)/$AG$11)</f>
        <v>319.06455641655543</v>
      </c>
      <c r="AH103" s="568">
        <f>30*'Table 5 Flows to Evap &amp; WTP'!F91</f>
        <v>162.81568431107692</v>
      </c>
    </row>
    <row r="104" spans="13:34" ht="14.25" x14ac:dyDescent="0.2">
      <c r="M104" s="155">
        <f t="shared" si="53"/>
        <v>87</v>
      </c>
      <c r="N104" s="562">
        <f t="shared" si="50"/>
        <v>317.28664682576414</v>
      </c>
      <c r="O104" s="341">
        <f t="shared" si="51"/>
        <v>682.24981337123256</v>
      </c>
      <c r="P104" s="569">
        <f t="shared" si="52"/>
        <v>1026.6560260251294</v>
      </c>
      <c r="Q104" s="156">
        <f t="shared" si="54"/>
        <v>136.52834962853723</v>
      </c>
      <c r="R104" s="156">
        <f t="shared" si="55"/>
        <v>27.119565828132657</v>
      </c>
      <c r="S104" s="564">
        <v>0</v>
      </c>
      <c r="T104" s="565">
        <f>$T$16*(('Table 2 StormwaterGroundwater'!H95/2)/'Table 13 Power Costs'!$T$11)</f>
        <v>0.13654705596859373</v>
      </c>
      <c r="U104" s="571">
        <f>$U$16*('Table 2 StormwaterGroundwater'!Y95/'Table 13 Power Costs'!$U$11)</f>
        <v>0.11018361100216202</v>
      </c>
      <c r="V104" s="564">
        <f>$V$16*(('Table 2 StormwaterGroundwater'!Y95+'Table 2 StormwaterGroundwater'!AE95+'Table 2 StormwaterGroundwater'!W95+5)/$V$11)</f>
        <v>4.9876815185726731</v>
      </c>
      <c r="W104" s="564">
        <f>$W$16*(('Table 2 StormwaterGroundwater'!Y95+'Table 2 StormwaterGroundwater'!AE95+'Table 2 StormwaterGroundwater'!W95+'Table 2 StormwaterGroundwater'!U95+'Table 2 StormwaterGroundwater'!O95+'Table 2 StormwaterGroundwater'!S95+5)/$W$11)</f>
        <v>2.8428497293461734</v>
      </c>
      <c r="X104" s="565">
        <f>$X$16*(('Table 2 StormwaterGroundwater'!Q95+5)/'Table 13 Power Costs'!$X$11)</f>
        <v>0.39668650810496492</v>
      </c>
      <c r="Y104" s="566">
        <f>$Y$16*(('Table 2 StormwaterGroundwater'!AC95+'Table 2 StormwaterGroundwater'!AA95+'Table 2 StormwaterGroundwater'!Q95+'Table 2 StormwaterGroundwater'!M95+'Table 2 StormwaterGroundwater'!K95+5)/$Y$11)</f>
        <v>1.1039508742889963</v>
      </c>
      <c r="Z104" s="566">
        <f>$Z$16*(('Table 2 StormwaterGroundwater'!S95*0.3)/$Z$11)</f>
        <v>0.10624409431720903</v>
      </c>
      <c r="AA104" s="567">
        <v>0</v>
      </c>
      <c r="AB104" s="567">
        <f>$AB$16*(('Table 2 StormwaterGroundwater'!I95+'Table 2 StormwaterGroundwater'!G95)/$AB$11)</f>
        <v>31.036461193019704</v>
      </c>
      <c r="AC104" s="564">
        <f>$AC$16*(('Table 2 StormwaterGroundwater'!E95)/$AC$11)</f>
        <v>97.941239218847969</v>
      </c>
      <c r="AD104" s="564">
        <f>$AD$16*(('Table 2 StormwaterGroundwater'!E95)/$AD$11)</f>
        <v>61.024550425388071</v>
      </c>
      <c r="AE104" s="564">
        <f>$AE$16*(('Table 2 StormwaterGroundwater'!E95+'Table 2 StormwaterGroundwater'!C95)/$AE$11)</f>
        <v>117.60025259690759</v>
      </c>
      <c r="AF104" s="564">
        <f>$AF$16*(('Table 2 StormwaterGroundwater'!F95+'Table 2 StormwaterGroundwater'!E95+'Table 2 StormwaterGroundwater'!C95)/$AF$11)</f>
        <v>63.841223015063008</v>
      </c>
      <c r="AG104" s="564">
        <f>$AG$16*(('Table 2 StormwaterGroundwater'!F95+'Table 2 StormwaterGroundwater'!E95+'Table 2 StormwaterGroundwater'!C95)/$AG$11)</f>
        <v>319.06455641655543</v>
      </c>
      <c r="AH104" s="568">
        <f>30*'Table 5 Flows to Evap &amp; WTP'!F92</f>
        <v>162.81568431107692</v>
      </c>
    </row>
    <row r="105" spans="13:34" ht="14.25" x14ac:dyDescent="0.2">
      <c r="M105" s="155">
        <f t="shared" si="53"/>
        <v>88</v>
      </c>
      <c r="N105" s="562">
        <f t="shared" si="50"/>
        <v>317.28664682576414</v>
      </c>
      <c r="O105" s="341">
        <f t="shared" si="51"/>
        <v>682.24981337123256</v>
      </c>
      <c r="P105" s="569">
        <f t="shared" si="52"/>
        <v>1026.6560260251294</v>
      </c>
      <c r="Q105" s="156">
        <f t="shared" si="54"/>
        <v>136.52834962853723</v>
      </c>
      <c r="R105" s="156">
        <f t="shared" si="55"/>
        <v>27.119565828132657</v>
      </c>
      <c r="S105" s="564">
        <v>0</v>
      </c>
      <c r="T105" s="565">
        <f>$T$16*(('Table 2 StormwaterGroundwater'!H96/2)/'Table 13 Power Costs'!$T$11)</f>
        <v>0.13654705596859373</v>
      </c>
      <c r="U105" s="571">
        <f>$U$16*('Table 2 StormwaterGroundwater'!Y96/'Table 13 Power Costs'!$U$11)</f>
        <v>0.11018361100216202</v>
      </c>
      <c r="V105" s="564">
        <f>$V$16*(('Table 2 StormwaterGroundwater'!Y96+'Table 2 StormwaterGroundwater'!AE96+'Table 2 StormwaterGroundwater'!W96+5)/$V$11)</f>
        <v>4.9876815185726731</v>
      </c>
      <c r="W105" s="564">
        <f>$W$16*(('Table 2 StormwaterGroundwater'!Y96+'Table 2 StormwaterGroundwater'!AE96+'Table 2 StormwaterGroundwater'!W96+'Table 2 StormwaterGroundwater'!U96+'Table 2 StormwaterGroundwater'!O96+'Table 2 StormwaterGroundwater'!S96+5)/$W$11)</f>
        <v>2.8428497293461734</v>
      </c>
      <c r="X105" s="565">
        <f>$X$16*(('Table 2 StormwaterGroundwater'!Q96+5)/'Table 13 Power Costs'!$X$11)</f>
        <v>0.39668650810496492</v>
      </c>
      <c r="Y105" s="566">
        <f>$Y$16*(('Table 2 StormwaterGroundwater'!AC96+'Table 2 StormwaterGroundwater'!AA96+'Table 2 StormwaterGroundwater'!Q96+'Table 2 StormwaterGroundwater'!M96+'Table 2 StormwaterGroundwater'!K96+5)/$Y$11)</f>
        <v>1.1039508742889963</v>
      </c>
      <c r="Z105" s="566">
        <f>$Z$16*(('Table 2 StormwaterGroundwater'!S96*0.3)/$Z$11)</f>
        <v>0.10624409431720903</v>
      </c>
      <c r="AA105" s="567">
        <v>0</v>
      </c>
      <c r="AB105" s="567">
        <f>$AB$16*(('Table 2 StormwaterGroundwater'!I96+'Table 2 StormwaterGroundwater'!G96)/$AB$11)</f>
        <v>31.036461193019704</v>
      </c>
      <c r="AC105" s="564">
        <f>$AC$16*(('Table 2 StormwaterGroundwater'!E96)/$AC$11)</f>
        <v>97.941239218847969</v>
      </c>
      <c r="AD105" s="564">
        <f>$AD$16*(('Table 2 StormwaterGroundwater'!E96)/$AD$11)</f>
        <v>61.024550425388071</v>
      </c>
      <c r="AE105" s="564">
        <f>$AE$16*(('Table 2 StormwaterGroundwater'!E96+'Table 2 StormwaterGroundwater'!C96)/$AE$11)</f>
        <v>117.60025259690759</v>
      </c>
      <c r="AF105" s="564">
        <f>$AF$16*(('Table 2 StormwaterGroundwater'!F96+'Table 2 StormwaterGroundwater'!E96+'Table 2 StormwaterGroundwater'!C96)/$AF$11)</f>
        <v>63.841223015063008</v>
      </c>
      <c r="AG105" s="564">
        <f>$AG$16*(('Table 2 StormwaterGroundwater'!F96+'Table 2 StormwaterGroundwater'!E96+'Table 2 StormwaterGroundwater'!C96)/$AG$11)</f>
        <v>319.06455641655543</v>
      </c>
      <c r="AH105" s="568">
        <f>30*'Table 5 Flows to Evap &amp; WTP'!F93</f>
        <v>162.81568431107692</v>
      </c>
    </row>
    <row r="106" spans="13:34" ht="14.25" x14ac:dyDescent="0.2">
      <c r="M106" s="155">
        <f t="shared" si="53"/>
        <v>89</v>
      </c>
      <c r="N106" s="562">
        <f t="shared" si="50"/>
        <v>317.28664682576414</v>
      </c>
      <c r="O106" s="341">
        <f t="shared" si="51"/>
        <v>682.24981337123256</v>
      </c>
      <c r="P106" s="569">
        <f t="shared" si="52"/>
        <v>1026.6560260251294</v>
      </c>
      <c r="Q106" s="156">
        <f t="shared" si="54"/>
        <v>136.52834962853723</v>
      </c>
      <c r="R106" s="156">
        <f t="shared" si="55"/>
        <v>27.119565828132657</v>
      </c>
      <c r="S106" s="564">
        <v>0</v>
      </c>
      <c r="T106" s="565">
        <f>$T$16*(('Table 2 StormwaterGroundwater'!H97/2)/'Table 13 Power Costs'!$T$11)</f>
        <v>0.13654705596859373</v>
      </c>
      <c r="U106" s="571">
        <f>$U$16*('Table 2 StormwaterGroundwater'!Y97/'Table 13 Power Costs'!$U$11)</f>
        <v>0.11018361100216202</v>
      </c>
      <c r="V106" s="564">
        <f>$V$16*(('Table 2 StormwaterGroundwater'!Y97+'Table 2 StormwaterGroundwater'!AE97+'Table 2 StormwaterGroundwater'!W97+5)/$V$11)</f>
        <v>4.9876815185726731</v>
      </c>
      <c r="W106" s="564">
        <f>$W$16*(('Table 2 StormwaterGroundwater'!Y97+'Table 2 StormwaterGroundwater'!AE97+'Table 2 StormwaterGroundwater'!W97+'Table 2 StormwaterGroundwater'!U97+'Table 2 StormwaterGroundwater'!O97+'Table 2 StormwaterGroundwater'!S97+5)/$W$11)</f>
        <v>2.8428497293461734</v>
      </c>
      <c r="X106" s="565">
        <f>$X$16*(('Table 2 StormwaterGroundwater'!Q97+5)/'Table 13 Power Costs'!$X$11)</f>
        <v>0.39668650810496492</v>
      </c>
      <c r="Y106" s="566">
        <f>$Y$16*(('Table 2 StormwaterGroundwater'!AC97+'Table 2 StormwaterGroundwater'!AA97+'Table 2 StormwaterGroundwater'!Q97+'Table 2 StormwaterGroundwater'!M97+'Table 2 StormwaterGroundwater'!K97+5)/$Y$11)</f>
        <v>1.1039508742889963</v>
      </c>
      <c r="Z106" s="566">
        <f>$Z$16*(('Table 2 StormwaterGroundwater'!S97*0.3)/$Z$11)</f>
        <v>0.10624409431720903</v>
      </c>
      <c r="AA106" s="567">
        <v>0</v>
      </c>
      <c r="AB106" s="567">
        <f>$AB$16*(('Table 2 StormwaterGroundwater'!I97+'Table 2 StormwaterGroundwater'!G97)/$AB$11)</f>
        <v>31.036461193019704</v>
      </c>
      <c r="AC106" s="564">
        <f>$AC$16*(('Table 2 StormwaterGroundwater'!E97)/$AC$11)</f>
        <v>97.941239218847969</v>
      </c>
      <c r="AD106" s="564">
        <f>$AD$16*(('Table 2 StormwaterGroundwater'!E97)/$AD$11)</f>
        <v>61.024550425388071</v>
      </c>
      <c r="AE106" s="564">
        <f>$AE$16*(('Table 2 StormwaterGroundwater'!E97+'Table 2 StormwaterGroundwater'!C97)/$AE$11)</f>
        <v>117.60025259690759</v>
      </c>
      <c r="AF106" s="564">
        <f>$AF$16*(('Table 2 StormwaterGroundwater'!F97+'Table 2 StormwaterGroundwater'!E97+'Table 2 StormwaterGroundwater'!C97)/$AF$11)</f>
        <v>63.841223015063008</v>
      </c>
      <c r="AG106" s="564">
        <f>$AG$16*(('Table 2 StormwaterGroundwater'!F97+'Table 2 StormwaterGroundwater'!E97+'Table 2 StormwaterGroundwater'!C97)/$AG$11)</f>
        <v>319.06455641655543</v>
      </c>
      <c r="AH106" s="568">
        <f>30*'Table 5 Flows to Evap &amp; WTP'!F94</f>
        <v>162.81568431107692</v>
      </c>
    </row>
    <row r="107" spans="13:34" ht="14.25" x14ac:dyDescent="0.2">
      <c r="M107" s="155">
        <f t="shared" si="53"/>
        <v>90</v>
      </c>
      <c r="N107" s="562">
        <f t="shared" si="50"/>
        <v>317.28664682576414</v>
      </c>
      <c r="O107" s="341">
        <f t="shared" si="51"/>
        <v>682.24981337123256</v>
      </c>
      <c r="P107" s="569">
        <f t="shared" si="52"/>
        <v>1026.6560260251294</v>
      </c>
      <c r="Q107" s="156">
        <f t="shared" si="54"/>
        <v>136.52834962853723</v>
      </c>
      <c r="R107" s="156">
        <f t="shared" si="55"/>
        <v>27.119565828132657</v>
      </c>
      <c r="S107" s="564">
        <v>0</v>
      </c>
      <c r="T107" s="565">
        <f>$T$16*(('Table 2 StormwaterGroundwater'!H98/2)/'Table 13 Power Costs'!$T$11)</f>
        <v>0.13654705596859373</v>
      </c>
      <c r="U107" s="571">
        <f>$U$16*('Table 2 StormwaterGroundwater'!Y98/'Table 13 Power Costs'!$U$11)</f>
        <v>0.11018361100216202</v>
      </c>
      <c r="V107" s="564">
        <f>$V$16*(('Table 2 StormwaterGroundwater'!Y98+'Table 2 StormwaterGroundwater'!AE98+'Table 2 StormwaterGroundwater'!W98+5)/$V$11)</f>
        <v>4.9876815185726731</v>
      </c>
      <c r="W107" s="564">
        <f>$W$16*(('Table 2 StormwaterGroundwater'!Y98+'Table 2 StormwaterGroundwater'!AE98+'Table 2 StormwaterGroundwater'!W98+'Table 2 StormwaterGroundwater'!U98+'Table 2 StormwaterGroundwater'!O98+'Table 2 StormwaterGroundwater'!S98+5)/$W$11)</f>
        <v>2.8428497293461734</v>
      </c>
      <c r="X107" s="565">
        <f>$X$16*(('Table 2 StormwaterGroundwater'!Q98+5)/'Table 13 Power Costs'!$X$11)</f>
        <v>0.39668650810496492</v>
      </c>
      <c r="Y107" s="566">
        <f>$Y$16*(('Table 2 StormwaterGroundwater'!AC98+'Table 2 StormwaterGroundwater'!AA98+'Table 2 StormwaterGroundwater'!Q98+'Table 2 StormwaterGroundwater'!M98+'Table 2 StormwaterGroundwater'!K98+5)/$Y$11)</f>
        <v>1.1039508742889963</v>
      </c>
      <c r="Z107" s="566">
        <f>$Z$16*(('Table 2 StormwaterGroundwater'!S98*0.3)/$Z$11)</f>
        <v>0.10624409431720903</v>
      </c>
      <c r="AA107" s="567">
        <v>0</v>
      </c>
      <c r="AB107" s="567">
        <f>$AB$16*(('Table 2 StormwaterGroundwater'!I98+'Table 2 StormwaterGroundwater'!G98)/$AB$11)</f>
        <v>31.036461193019704</v>
      </c>
      <c r="AC107" s="564">
        <f>$AC$16*(('Table 2 StormwaterGroundwater'!E98)/$AC$11)</f>
        <v>97.941239218847969</v>
      </c>
      <c r="AD107" s="564">
        <f>$AD$16*(('Table 2 StormwaterGroundwater'!E98)/$AD$11)</f>
        <v>61.024550425388071</v>
      </c>
      <c r="AE107" s="564">
        <f>$AE$16*(('Table 2 StormwaterGroundwater'!E98+'Table 2 StormwaterGroundwater'!C98)/$AE$11)</f>
        <v>117.60025259690759</v>
      </c>
      <c r="AF107" s="564">
        <f>$AF$16*(('Table 2 StormwaterGroundwater'!F98+'Table 2 StormwaterGroundwater'!E98+'Table 2 StormwaterGroundwater'!C98)/$AF$11)</f>
        <v>63.841223015063008</v>
      </c>
      <c r="AG107" s="564">
        <f>$AG$16*(('Table 2 StormwaterGroundwater'!F98+'Table 2 StormwaterGroundwater'!E98+'Table 2 StormwaterGroundwater'!C98)/$AG$11)</f>
        <v>319.06455641655543</v>
      </c>
      <c r="AH107" s="568">
        <f>30*'Table 5 Flows to Evap &amp; WTP'!F95</f>
        <v>162.81568431107692</v>
      </c>
    </row>
    <row r="108" spans="13:34" ht="14.25" x14ac:dyDescent="0.2">
      <c r="M108" s="155">
        <f t="shared" si="53"/>
        <v>91</v>
      </c>
      <c r="N108" s="562">
        <f t="shared" si="50"/>
        <v>317.28664682576414</v>
      </c>
      <c r="O108" s="341">
        <f t="shared" si="51"/>
        <v>682.24981337123256</v>
      </c>
      <c r="P108" s="569">
        <f t="shared" si="52"/>
        <v>1026.6560260251294</v>
      </c>
      <c r="Q108" s="156">
        <f t="shared" si="54"/>
        <v>136.52834962853723</v>
      </c>
      <c r="R108" s="156">
        <f t="shared" si="55"/>
        <v>27.119565828132657</v>
      </c>
      <c r="S108" s="564">
        <v>0</v>
      </c>
      <c r="T108" s="565">
        <f>$T$16*(('Table 2 StormwaterGroundwater'!H99/2)/'Table 13 Power Costs'!$T$11)</f>
        <v>0.13654705596859373</v>
      </c>
      <c r="U108" s="571">
        <f>$U$16*('Table 2 StormwaterGroundwater'!Y99/'Table 13 Power Costs'!$U$11)</f>
        <v>0.11018361100216202</v>
      </c>
      <c r="V108" s="564">
        <f>$V$16*(('Table 2 StormwaterGroundwater'!Y99+'Table 2 StormwaterGroundwater'!AE99+'Table 2 StormwaterGroundwater'!W99+5)/$V$11)</f>
        <v>4.9876815185726731</v>
      </c>
      <c r="W108" s="564">
        <f>$W$16*(('Table 2 StormwaterGroundwater'!Y99+'Table 2 StormwaterGroundwater'!AE99+'Table 2 StormwaterGroundwater'!W99+'Table 2 StormwaterGroundwater'!U99+'Table 2 StormwaterGroundwater'!O99+'Table 2 StormwaterGroundwater'!S99+5)/$W$11)</f>
        <v>2.8428497293461734</v>
      </c>
      <c r="X108" s="565">
        <f>$X$16*(('Table 2 StormwaterGroundwater'!Q99+5)/'Table 13 Power Costs'!$X$11)</f>
        <v>0.39668650810496492</v>
      </c>
      <c r="Y108" s="566">
        <f>$Y$16*(('Table 2 StormwaterGroundwater'!AC99+'Table 2 StormwaterGroundwater'!AA99+'Table 2 StormwaterGroundwater'!Q99+'Table 2 StormwaterGroundwater'!M99+'Table 2 StormwaterGroundwater'!K99+5)/$Y$11)</f>
        <v>1.1039508742889963</v>
      </c>
      <c r="Z108" s="566">
        <f>$Z$16*(('Table 2 StormwaterGroundwater'!S99*0.3)/$Z$11)</f>
        <v>0.10624409431720903</v>
      </c>
      <c r="AA108" s="567">
        <v>0</v>
      </c>
      <c r="AB108" s="567">
        <f>$AB$16*(('Table 2 StormwaterGroundwater'!I99+'Table 2 StormwaterGroundwater'!G99)/$AB$11)</f>
        <v>31.036461193019704</v>
      </c>
      <c r="AC108" s="564">
        <f>$AC$16*(('Table 2 StormwaterGroundwater'!E99)/$AC$11)</f>
        <v>97.941239218847969</v>
      </c>
      <c r="AD108" s="564">
        <f>$AD$16*(('Table 2 StormwaterGroundwater'!E99)/$AD$11)</f>
        <v>61.024550425388071</v>
      </c>
      <c r="AE108" s="564">
        <f>$AE$16*(('Table 2 StormwaterGroundwater'!E99+'Table 2 StormwaterGroundwater'!C99)/$AE$11)</f>
        <v>117.60025259690759</v>
      </c>
      <c r="AF108" s="564">
        <f>$AF$16*(('Table 2 StormwaterGroundwater'!F99+'Table 2 StormwaterGroundwater'!E99+'Table 2 StormwaterGroundwater'!C99)/$AF$11)</f>
        <v>63.841223015063008</v>
      </c>
      <c r="AG108" s="564">
        <f>$AG$16*(('Table 2 StormwaterGroundwater'!F99+'Table 2 StormwaterGroundwater'!E99+'Table 2 StormwaterGroundwater'!C99)/$AG$11)</f>
        <v>319.06455641655543</v>
      </c>
      <c r="AH108" s="568">
        <f>30*'Table 5 Flows to Evap &amp; WTP'!F96</f>
        <v>162.81568431107692</v>
      </c>
    </row>
    <row r="109" spans="13:34" ht="14.25" x14ac:dyDescent="0.2">
      <c r="M109" s="155">
        <f t="shared" si="53"/>
        <v>92</v>
      </c>
      <c r="N109" s="562">
        <f t="shared" si="50"/>
        <v>317.28664682576414</v>
      </c>
      <c r="O109" s="341">
        <f t="shared" si="51"/>
        <v>682.24981337123256</v>
      </c>
      <c r="P109" s="569">
        <f t="shared" si="52"/>
        <v>1026.6560260251294</v>
      </c>
      <c r="Q109" s="156">
        <f t="shared" si="54"/>
        <v>136.52834962853723</v>
      </c>
      <c r="R109" s="156">
        <f t="shared" si="55"/>
        <v>27.119565828132657</v>
      </c>
      <c r="S109" s="564">
        <v>0</v>
      </c>
      <c r="T109" s="565">
        <f>$T$16*(('Table 2 StormwaterGroundwater'!H100/2)/'Table 13 Power Costs'!$T$11)</f>
        <v>0.13654705596859373</v>
      </c>
      <c r="U109" s="571">
        <f>$U$16*('Table 2 StormwaterGroundwater'!Y100/'Table 13 Power Costs'!$U$11)</f>
        <v>0.11018361100216202</v>
      </c>
      <c r="V109" s="564">
        <f>$V$16*(('Table 2 StormwaterGroundwater'!Y100+'Table 2 StormwaterGroundwater'!AE100+'Table 2 StormwaterGroundwater'!W100+5)/$V$11)</f>
        <v>4.9876815185726731</v>
      </c>
      <c r="W109" s="564">
        <f>$W$16*(('Table 2 StormwaterGroundwater'!Y100+'Table 2 StormwaterGroundwater'!AE100+'Table 2 StormwaterGroundwater'!W100+'Table 2 StormwaterGroundwater'!U100+'Table 2 StormwaterGroundwater'!O100+'Table 2 StormwaterGroundwater'!S100+5)/$W$11)</f>
        <v>2.8428497293461734</v>
      </c>
      <c r="X109" s="565">
        <f>$X$16*(('Table 2 StormwaterGroundwater'!Q100+5)/'Table 13 Power Costs'!$X$11)</f>
        <v>0.39668650810496492</v>
      </c>
      <c r="Y109" s="566">
        <f>$Y$16*(('Table 2 StormwaterGroundwater'!AC100+'Table 2 StormwaterGroundwater'!AA100+'Table 2 StormwaterGroundwater'!Q100+'Table 2 StormwaterGroundwater'!M100+'Table 2 StormwaterGroundwater'!K100+5)/$Y$11)</f>
        <v>1.1039508742889963</v>
      </c>
      <c r="Z109" s="566">
        <f>$Z$16*(('Table 2 StormwaterGroundwater'!S100*0.3)/$Z$11)</f>
        <v>0.10624409431720903</v>
      </c>
      <c r="AA109" s="567">
        <v>0</v>
      </c>
      <c r="AB109" s="567">
        <f>$AB$16*(('Table 2 StormwaterGroundwater'!I100+'Table 2 StormwaterGroundwater'!G100)/$AB$11)</f>
        <v>31.036461193019704</v>
      </c>
      <c r="AC109" s="564">
        <f>$AC$16*(('Table 2 StormwaterGroundwater'!E100)/$AC$11)</f>
        <v>97.941239218847969</v>
      </c>
      <c r="AD109" s="564">
        <f>$AD$16*(('Table 2 StormwaterGroundwater'!E100)/$AD$11)</f>
        <v>61.024550425388071</v>
      </c>
      <c r="AE109" s="564">
        <f>$AE$16*(('Table 2 StormwaterGroundwater'!E100+'Table 2 StormwaterGroundwater'!C100)/$AE$11)</f>
        <v>117.60025259690759</v>
      </c>
      <c r="AF109" s="564">
        <f>$AF$16*(('Table 2 StormwaterGroundwater'!F100+'Table 2 StormwaterGroundwater'!E100+'Table 2 StormwaterGroundwater'!C100)/$AF$11)</f>
        <v>63.841223015063008</v>
      </c>
      <c r="AG109" s="564">
        <f>$AG$16*(('Table 2 StormwaterGroundwater'!F100+'Table 2 StormwaterGroundwater'!E100+'Table 2 StormwaterGroundwater'!C100)/$AG$11)</f>
        <v>319.06455641655543</v>
      </c>
      <c r="AH109" s="568">
        <f>30*'Table 5 Flows to Evap &amp; WTP'!F97</f>
        <v>162.81568431107692</v>
      </c>
    </row>
    <row r="110" spans="13:34" ht="14.25" x14ac:dyDescent="0.2">
      <c r="M110" s="155">
        <f t="shared" si="53"/>
        <v>93</v>
      </c>
      <c r="N110" s="562">
        <f t="shared" si="50"/>
        <v>317.28664682576414</v>
      </c>
      <c r="O110" s="341">
        <f t="shared" si="51"/>
        <v>682.24981337123256</v>
      </c>
      <c r="P110" s="569">
        <f t="shared" si="52"/>
        <v>1026.6560260251294</v>
      </c>
      <c r="Q110" s="156">
        <f t="shared" si="54"/>
        <v>136.52834962853723</v>
      </c>
      <c r="R110" s="156">
        <f t="shared" si="55"/>
        <v>27.119565828132657</v>
      </c>
      <c r="S110" s="564">
        <v>0</v>
      </c>
      <c r="T110" s="565">
        <f>$T$16*(('Table 2 StormwaterGroundwater'!H101/2)/'Table 13 Power Costs'!$T$11)</f>
        <v>0.13654705596859373</v>
      </c>
      <c r="U110" s="571">
        <f>$U$16*('Table 2 StormwaterGroundwater'!Y101/'Table 13 Power Costs'!$U$11)</f>
        <v>0.11018361100216202</v>
      </c>
      <c r="V110" s="564">
        <f>$V$16*(('Table 2 StormwaterGroundwater'!Y101+'Table 2 StormwaterGroundwater'!AE101+'Table 2 StormwaterGroundwater'!W101+5)/$V$11)</f>
        <v>4.9876815185726731</v>
      </c>
      <c r="W110" s="564">
        <f>$W$16*(('Table 2 StormwaterGroundwater'!Y101+'Table 2 StormwaterGroundwater'!AE101+'Table 2 StormwaterGroundwater'!W101+'Table 2 StormwaterGroundwater'!U101+'Table 2 StormwaterGroundwater'!O101+'Table 2 StormwaterGroundwater'!S101+5)/$W$11)</f>
        <v>2.8428497293461734</v>
      </c>
      <c r="X110" s="565">
        <f>$X$16*(('Table 2 StormwaterGroundwater'!Q101+5)/'Table 13 Power Costs'!$X$11)</f>
        <v>0.39668650810496492</v>
      </c>
      <c r="Y110" s="566">
        <f>$Y$16*(('Table 2 StormwaterGroundwater'!AC101+'Table 2 StormwaterGroundwater'!AA101+'Table 2 StormwaterGroundwater'!Q101+'Table 2 StormwaterGroundwater'!M101+'Table 2 StormwaterGroundwater'!K101+5)/$Y$11)</f>
        <v>1.1039508742889963</v>
      </c>
      <c r="Z110" s="566">
        <f>$Z$16*(('Table 2 StormwaterGroundwater'!S101*0.3)/$Z$11)</f>
        <v>0.10624409431720903</v>
      </c>
      <c r="AA110" s="567">
        <v>0</v>
      </c>
      <c r="AB110" s="567">
        <f>$AB$16*(('Table 2 StormwaterGroundwater'!I101+'Table 2 StormwaterGroundwater'!G101)/$AB$11)</f>
        <v>31.036461193019704</v>
      </c>
      <c r="AC110" s="564">
        <f>$AC$16*(('Table 2 StormwaterGroundwater'!E101)/$AC$11)</f>
        <v>97.941239218847969</v>
      </c>
      <c r="AD110" s="564">
        <f>$AD$16*(('Table 2 StormwaterGroundwater'!E101)/$AD$11)</f>
        <v>61.024550425388071</v>
      </c>
      <c r="AE110" s="564">
        <f>$AE$16*(('Table 2 StormwaterGroundwater'!E101+'Table 2 StormwaterGroundwater'!C101)/$AE$11)</f>
        <v>117.60025259690759</v>
      </c>
      <c r="AF110" s="564">
        <f>$AF$16*(('Table 2 StormwaterGroundwater'!F101+'Table 2 StormwaterGroundwater'!E101+'Table 2 StormwaterGroundwater'!C101)/$AF$11)</f>
        <v>63.841223015063008</v>
      </c>
      <c r="AG110" s="564">
        <f>$AG$16*(('Table 2 StormwaterGroundwater'!F101+'Table 2 StormwaterGroundwater'!E101+'Table 2 StormwaterGroundwater'!C101)/$AG$11)</f>
        <v>319.06455641655543</v>
      </c>
      <c r="AH110" s="568">
        <f>30*'Table 5 Flows to Evap &amp; WTP'!F98</f>
        <v>162.81568431107692</v>
      </c>
    </row>
    <row r="111" spans="13:34" ht="14.25" x14ac:dyDescent="0.2">
      <c r="M111" s="155">
        <f t="shared" si="53"/>
        <v>94</v>
      </c>
      <c r="N111" s="562">
        <f t="shared" si="50"/>
        <v>317.28664682576414</v>
      </c>
      <c r="O111" s="341">
        <f t="shared" si="51"/>
        <v>682.24981337123256</v>
      </c>
      <c r="P111" s="569">
        <f t="shared" si="52"/>
        <v>1026.6560260251294</v>
      </c>
      <c r="Q111" s="156">
        <f t="shared" si="54"/>
        <v>136.52834962853723</v>
      </c>
      <c r="R111" s="156">
        <f t="shared" si="55"/>
        <v>27.119565828132657</v>
      </c>
      <c r="S111" s="564">
        <v>0</v>
      </c>
      <c r="T111" s="565">
        <f>$T$16*(('Table 2 StormwaterGroundwater'!H102/2)/'Table 13 Power Costs'!$T$11)</f>
        <v>0.13654705596859373</v>
      </c>
      <c r="U111" s="571">
        <f>$U$16*('Table 2 StormwaterGroundwater'!Y102/'Table 13 Power Costs'!$U$11)</f>
        <v>0.11018361100216202</v>
      </c>
      <c r="V111" s="564">
        <f>$V$16*(('Table 2 StormwaterGroundwater'!Y102+'Table 2 StormwaterGroundwater'!AE102+'Table 2 StormwaterGroundwater'!W102+5)/$V$11)</f>
        <v>4.9876815185726731</v>
      </c>
      <c r="W111" s="564">
        <f>$W$16*(('Table 2 StormwaterGroundwater'!Y102+'Table 2 StormwaterGroundwater'!AE102+'Table 2 StormwaterGroundwater'!W102+'Table 2 StormwaterGroundwater'!U102+'Table 2 StormwaterGroundwater'!O102+'Table 2 StormwaterGroundwater'!S102+5)/$W$11)</f>
        <v>2.8428497293461734</v>
      </c>
      <c r="X111" s="565">
        <f>$X$16*(('Table 2 StormwaterGroundwater'!Q102+5)/'Table 13 Power Costs'!$X$11)</f>
        <v>0.39668650810496492</v>
      </c>
      <c r="Y111" s="566">
        <f>$Y$16*(('Table 2 StormwaterGroundwater'!AC102+'Table 2 StormwaterGroundwater'!AA102+'Table 2 StormwaterGroundwater'!Q102+'Table 2 StormwaterGroundwater'!M102+'Table 2 StormwaterGroundwater'!K102+5)/$Y$11)</f>
        <v>1.1039508742889963</v>
      </c>
      <c r="Z111" s="566">
        <f>$Z$16*(('Table 2 StormwaterGroundwater'!S102*0.3)/$Z$11)</f>
        <v>0.10624409431720903</v>
      </c>
      <c r="AA111" s="567">
        <v>0</v>
      </c>
      <c r="AB111" s="567">
        <f>$AB$16*(('Table 2 StormwaterGroundwater'!I102+'Table 2 StormwaterGroundwater'!G102)/$AB$11)</f>
        <v>31.036461193019704</v>
      </c>
      <c r="AC111" s="564">
        <f>$AC$16*(('Table 2 StormwaterGroundwater'!E102)/$AC$11)</f>
        <v>97.941239218847969</v>
      </c>
      <c r="AD111" s="564">
        <f>$AD$16*(('Table 2 StormwaterGroundwater'!E102)/$AD$11)</f>
        <v>61.024550425388071</v>
      </c>
      <c r="AE111" s="564">
        <f>$AE$16*(('Table 2 StormwaterGroundwater'!E102+'Table 2 StormwaterGroundwater'!C102)/$AE$11)</f>
        <v>117.60025259690759</v>
      </c>
      <c r="AF111" s="564">
        <f>$AF$16*(('Table 2 StormwaterGroundwater'!F102+'Table 2 StormwaterGroundwater'!E102+'Table 2 StormwaterGroundwater'!C102)/$AF$11)</f>
        <v>63.841223015063008</v>
      </c>
      <c r="AG111" s="564">
        <f>$AG$16*(('Table 2 StormwaterGroundwater'!F102+'Table 2 StormwaterGroundwater'!E102+'Table 2 StormwaterGroundwater'!C102)/$AG$11)</f>
        <v>319.06455641655543</v>
      </c>
      <c r="AH111" s="568">
        <f>30*'Table 5 Flows to Evap &amp; WTP'!F99</f>
        <v>162.81568431107692</v>
      </c>
    </row>
    <row r="112" spans="13:34" ht="14.25" x14ac:dyDescent="0.2">
      <c r="M112" s="155">
        <f t="shared" si="53"/>
        <v>95</v>
      </c>
      <c r="N112" s="562">
        <f t="shared" si="50"/>
        <v>317.28664682576414</v>
      </c>
      <c r="O112" s="341">
        <f t="shared" si="51"/>
        <v>682.24981337123256</v>
      </c>
      <c r="P112" s="569">
        <f t="shared" si="52"/>
        <v>1026.6560260251294</v>
      </c>
      <c r="Q112" s="156">
        <f t="shared" si="54"/>
        <v>136.52834962853723</v>
      </c>
      <c r="R112" s="156">
        <f t="shared" si="55"/>
        <v>27.119565828132657</v>
      </c>
      <c r="S112" s="564">
        <v>0</v>
      </c>
      <c r="T112" s="565">
        <f>$T$16*(('Table 2 StormwaterGroundwater'!H103/2)/'Table 13 Power Costs'!$T$11)</f>
        <v>0.13654705596859373</v>
      </c>
      <c r="U112" s="571">
        <f>$U$16*('Table 2 StormwaterGroundwater'!Y103/'Table 13 Power Costs'!$U$11)</f>
        <v>0.11018361100216202</v>
      </c>
      <c r="V112" s="564">
        <f>$V$16*(('Table 2 StormwaterGroundwater'!Y103+'Table 2 StormwaterGroundwater'!AE103+'Table 2 StormwaterGroundwater'!W103+5)/$V$11)</f>
        <v>4.9876815185726731</v>
      </c>
      <c r="W112" s="564">
        <f>$W$16*(('Table 2 StormwaterGroundwater'!Y103+'Table 2 StormwaterGroundwater'!AE103+'Table 2 StormwaterGroundwater'!W103+'Table 2 StormwaterGroundwater'!U103+'Table 2 StormwaterGroundwater'!O103+'Table 2 StormwaterGroundwater'!S103+5)/$W$11)</f>
        <v>2.8428497293461734</v>
      </c>
      <c r="X112" s="565">
        <f>$X$16*(('Table 2 StormwaterGroundwater'!Q103+5)/'Table 13 Power Costs'!$X$11)</f>
        <v>0.39668650810496492</v>
      </c>
      <c r="Y112" s="566">
        <f>$Y$16*(('Table 2 StormwaterGroundwater'!AC103+'Table 2 StormwaterGroundwater'!AA103+'Table 2 StormwaterGroundwater'!Q103+'Table 2 StormwaterGroundwater'!M103+'Table 2 StormwaterGroundwater'!K103+5)/$Y$11)</f>
        <v>1.1039508742889963</v>
      </c>
      <c r="Z112" s="566">
        <f>$Z$16*(('Table 2 StormwaterGroundwater'!S103*0.3)/$Z$11)</f>
        <v>0.10624409431720903</v>
      </c>
      <c r="AA112" s="567">
        <v>0</v>
      </c>
      <c r="AB112" s="567">
        <f>$AB$16*(('Table 2 StormwaterGroundwater'!I103+'Table 2 StormwaterGroundwater'!G103)/$AB$11)</f>
        <v>31.036461193019704</v>
      </c>
      <c r="AC112" s="564">
        <f>$AC$16*(('Table 2 StormwaterGroundwater'!E103)/$AC$11)</f>
        <v>97.941239218847969</v>
      </c>
      <c r="AD112" s="564">
        <f>$AD$16*(('Table 2 StormwaterGroundwater'!E103)/$AD$11)</f>
        <v>61.024550425388071</v>
      </c>
      <c r="AE112" s="564">
        <f>$AE$16*(('Table 2 StormwaterGroundwater'!E103+'Table 2 StormwaterGroundwater'!C103)/$AE$11)</f>
        <v>117.60025259690759</v>
      </c>
      <c r="AF112" s="564">
        <f>$AF$16*(('Table 2 StormwaterGroundwater'!F103+'Table 2 StormwaterGroundwater'!E103+'Table 2 StormwaterGroundwater'!C103)/$AF$11)</f>
        <v>63.841223015063008</v>
      </c>
      <c r="AG112" s="564">
        <f>$AG$16*(('Table 2 StormwaterGroundwater'!F103+'Table 2 StormwaterGroundwater'!E103+'Table 2 StormwaterGroundwater'!C103)/$AG$11)</f>
        <v>319.06455641655543</v>
      </c>
      <c r="AH112" s="568">
        <f>30*'Table 5 Flows to Evap &amp; WTP'!F100</f>
        <v>162.81568431107692</v>
      </c>
    </row>
    <row r="113" spans="13:34" ht="14.25" x14ac:dyDescent="0.2">
      <c r="M113" s="155">
        <f t="shared" si="53"/>
        <v>96</v>
      </c>
      <c r="N113" s="562">
        <f t="shared" si="50"/>
        <v>317.28664682576414</v>
      </c>
      <c r="O113" s="341">
        <f t="shared" si="51"/>
        <v>682.24981337123256</v>
      </c>
      <c r="P113" s="569">
        <f t="shared" si="52"/>
        <v>1026.6560260251294</v>
      </c>
      <c r="Q113" s="156">
        <f t="shared" si="54"/>
        <v>136.52834962853723</v>
      </c>
      <c r="R113" s="156">
        <f t="shared" si="55"/>
        <v>27.119565828132657</v>
      </c>
      <c r="S113" s="564">
        <v>0</v>
      </c>
      <c r="T113" s="565">
        <f>$T$16*(('Table 2 StormwaterGroundwater'!H104/2)/'Table 13 Power Costs'!$T$11)</f>
        <v>0.13654705596859373</v>
      </c>
      <c r="U113" s="571">
        <f>$U$16*('Table 2 StormwaterGroundwater'!Y104/'Table 13 Power Costs'!$U$11)</f>
        <v>0.11018361100216202</v>
      </c>
      <c r="V113" s="564">
        <f>$V$16*(('Table 2 StormwaterGroundwater'!Y104+'Table 2 StormwaterGroundwater'!AE104+'Table 2 StormwaterGroundwater'!W104+5)/$V$11)</f>
        <v>4.9876815185726731</v>
      </c>
      <c r="W113" s="564">
        <f>$W$16*(('Table 2 StormwaterGroundwater'!Y104+'Table 2 StormwaterGroundwater'!AE104+'Table 2 StormwaterGroundwater'!W104+'Table 2 StormwaterGroundwater'!U104+'Table 2 StormwaterGroundwater'!O104+'Table 2 StormwaterGroundwater'!S104+5)/$W$11)</f>
        <v>2.8428497293461734</v>
      </c>
      <c r="X113" s="565">
        <f>$X$16*(('Table 2 StormwaterGroundwater'!Q104+5)/'Table 13 Power Costs'!$X$11)</f>
        <v>0.39668650810496492</v>
      </c>
      <c r="Y113" s="566">
        <f>$Y$16*(('Table 2 StormwaterGroundwater'!AC104+'Table 2 StormwaterGroundwater'!AA104+'Table 2 StormwaterGroundwater'!Q104+'Table 2 StormwaterGroundwater'!M104+'Table 2 StormwaterGroundwater'!K104+5)/$Y$11)</f>
        <v>1.1039508742889963</v>
      </c>
      <c r="Z113" s="566">
        <f>$Z$16*(('Table 2 StormwaterGroundwater'!S104*0.3)/$Z$11)</f>
        <v>0.10624409431720903</v>
      </c>
      <c r="AA113" s="567">
        <v>0</v>
      </c>
      <c r="AB113" s="567">
        <f>$AB$16*(('Table 2 StormwaterGroundwater'!I104+'Table 2 StormwaterGroundwater'!G104)/$AB$11)</f>
        <v>31.036461193019704</v>
      </c>
      <c r="AC113" s="564">
        <f>$AC$16*(('Table 2 StormwaterGroundwater'!E104)/$AC$11)</f>
        <v>97.941239218847969</v>
      </c>
      <c r="AD113" s="564">
        <f>$AD$16*(('Table 2 StormwaterGroundwater'!E104)/$AD$11)</f>
        <v>61.024550425388071</v>
      </c>
      <c r="AE113" s="564">
        <f>$AE$16*(('Table 2 StormwaterGroundwater'!E104+'Table 2 StormwaterGroundwater'!C104)/$AE$11)</f>
        <v>117.60025259690759</v>
      </c>
      <c r="AF113" s="564">
        <f>$AF$16*(('Table 2 StormwaterGroundwater'!F104+'Table 2 StormwaterGroundwater'!E104+'Table 2 StormwaterGroundwater'!C104)/$AF$11)</f>
        <v>63.841223015063008</v>
      </c>
      <c r="AG113" s="564">
        <f>$AG$16*(('Table 2 StormwaterGroundwater'!F104+'Table 2 StormwaterGroundwater'!E104+'Table 2 StormwaterGroundwater'!C104)/$AG$11)</f>
        <v>319.06455641655543</v>
      </c>
      <c r="AH113" s="568">
        <f>30*'Table 5 Flows to Evap &amp; WTP'!F101</f>
        <v>162.81568431107692</v>
      </c>
    </row>
    <row r="114" spans="13:34" ht="14.25" x14ac:dyDescent="0.2">
      <c r="M114" s="155">
        <f t="shared" si="53"/>
        <v>97</v>
      </c>
      <c r="N114" s="562">
        <f t="shared" si="50"/>
        <v>317.28664682576414</v>
      </c>
      <c r="O114" s="341">
        <f t="shared" si="51"/>
        <v>682.24981337123256</v>
      </c>
      <c r="P114" s="569">
        <f t="shared" ref="P114:P117" si="56">SUM(Q114:AH114)</f>
        <v>1026.6560260251294</v>
      </c>
      <c r="Q114" s="156">
        <f t="shared" si="54"/>
        <v>136.52834962853723</v>
      </c>
      <c r="R114" s="156">
        <f t="shared" si="55"/>
        <v>27.119565828132657</v>
      </c>
      <c r="S114" s="564">
        <v>0</v>
      </c>
      <c r="T114" s="565">
        <f>$T$16*(('Table 2 StormwaterGroundwater'!H105/2)/'Table 13 Power Costs'!$T$11)</f>
        <v>0.13654705596859373</v>
      </c>
      <c r="U114" s="571">
        <f>$U$16*('Table 2 StormwaterGroundwater'!Y105/'Table 13 Power Costs'!$U$11)</f>
        <v>0.11018361100216202</v>
      </c>
      <c r="V114" s="564">
        <f>$V$16*(('Table 2 StormwaterGroundwater'!Y105+'Table 2 StormwaterGroundwater'!AE105+'Table 2 StormwaterGroundwater'!W105+5)/$V$11)</f>
        <v>4.9876815185726731</v>
      </c>
      <c r="W114" s="564">
        <f>$W$16*(('Table 2 StormwaterGroundwater'!Y105+'Table 2 StormwaterGroundwater'!AE105+'Table 2 StormwaterGroundwater'!W105+'Table 2 StormwaterGroundwater'!U105+'Table 2 StormwaterGroundwater'!O105+'Table 2 StormwaterGroundwater'!S105+5)/$W$11)</f>
        <v>2.8428497293461734</v>
      </c>
      <c r="X114" s="565">
        <f>$X$16*(('Table 2 StormwaterGroundwater'!Q105+5)/'Table 13 Power Costs'!$X$11)</f>
        <v>0.39668650810496492</v>
      </c>
      <c r="Y114" s="566">
        <f>$Y$16*(('Table 2 StormwaterGroundwater'!AC105+'Table 2 StormwaterGroundwater'!AA105+'Table 2 StormwaterGroundwater'!Q105+'Table 2 StormwaterGroundwater'!M105+'Table 2 StormwaterGroundwater'!K105+5)/$Y$11)</f>
        <v>1.1039508742889963</v>
      </c>
      <c r="Z114" s="566">
        <f>$Z$16*(('Table 2 StormwaterGroundwater'!S105*0.3)/$Z$11)</f>
        <v>0.10624409431720903</v>
      </c>
      <c r="AA114" s="567">
        <v>0</v>
      </c>
      <c r="AB114" s="567">
        <f>$AB$16*(('Table 2 StormwaterGroundwater'!I105+'Table 2 StormwaterGroundwater'!G105)/$AB$11)</f>
        <v>31.036461193019704</v>
      </c>
      <c r="AC114" s="564">
        <f>$AC$16*(('Table 2 StormwaterGroundwater'!E105)/$AC$11)</f>
        <v>97.941239218847969</v>
      </c>
      <c r="AD114" s="564">
        <f>$AD$16*(('Table 2 StormwaterGroundwater'!E105)/$AD$11)</f>
        <v>61.024550425388071</v>
      </c>
      <c r="AE114" s="564">
        <f>$AE$16*(('Table 2 StormwaterGroundwater'!E105+'Table 2 StormwaterGroundwater'!C105)/$AE$11)</f>
        <v>117.60025259690759</v>
      </c>
      <c r="AF114" s="564">
        <f>$AF$16*(('Table 2 StormwaterGroundwater'!F105+'Table 2 StormwaterGroundwater'!E105+'Table 2 StormwaterGroundwater'!C105)/$AF$11)</f>
        <v>63.841223015063008</v>
      </c>
      <c r="AG114" s="564">
        <f>$AG$16*(('Table 2 StormwaterGroundwater'!F105+'Table 2 StormwaterGroundwater'!E105+'Table 2 StormwaterGroundwater'!C105)/$AG$11)</f>
        <v>319.06455641655543</v>
      </c>
      <c r="AH114" s="568">
        <f>30*'Table 5 Flows to Evap &amp; WTP'!F102</f>
        <v>162.81568431107692</v>
      </c>
    </row>
    <row r="115" spans="13:34" ht="14.25" x14ac:dyDescent="0.2">
      <c r="M115" s="155">
        <f t="shared" si="53"/>
        <v>98</v>
      </c>
      <c r="N115" s="562">
        <f t="shared" si="50"/>
        <v>317.28664682576414</v>
      </c>
      <c r="O115" s="341">
        <f t="shared" si="51"/>
        <v>682.24981337123256</v>
      </c>
      <c r="P115" s="569">
        <f t="shared" si="56"/>
        <v>1026.6560260251294</v>
      </c>
      <c r="Q115" s="156">
        <f t="shared" si="54"/>
        <v>136.52834962853723</v>
      </c>
      <c r="R115" s="156">
        <f t="shared" si="55"/>
        <v>27.119565828132657</v>
      </c>
      <c r="S115" s="564">
        <v>0</v>
      </c>
      <c r="T115" s="565">
        <f>$T$16*(('Table 2 StormwaterGroundwater'!H106/2)/'Table 13 Power Costs'!$T$11)</f>
        <v>0.13654705596859373</v>
      </c>
      <c r="U115" s="571">
        <f>$U$16*('Table 2 StormwaterGroundwater'!Y106/'Table 13 Power Costs'!$U$11)</f>
        <v>0.11018361100216202</v>
      </c>
      <c r="V115" s="564">
        <f>$V$16*(('Table 2 StormwaterGroundwater'!Y106+'Table 2 StormwaterGroundwater'!AE106+'Table 2 StormwaterGroundwater'!W106+5)/$V$11)</f>
        <v>4.9876815185726731</v>
      </c>
      <c r="W115" s="564">
        <f>$W$16*(('Table 2 StormwaterGroundwater'!Y106+'Table 2 StormwaterGroundwater'!AE106+'Table 2 StormwaterGroundwater'!W106+'Table 2 StormwaterGroundwater'!U106+'Table 2 StormwaterGroundwater'!O106+'Table 2 StormwaterGroundwater'!S106+5)/$W$11)</f>
        <v>2.8428497293461734</v>
      </c>
      <c r="X115" s="565">
        <f>$X$16*(('Table 2 StormwaterGroundwater'!Q106+5)/'Table 13 Power Costs'!$X$11)</f>
        <v>0.39668650810496492</v>
      </c>
      <c r="Y115" s="566">
        <f>$Y$16*(('Table 2 StormwaterGroundwater'!AC106+'Table 2 StormwaterGroundwater'!AA106+'Table 2 StormwaterGroundwater'!Q106+'Table 2 StormwaterGroundwater'!M106+'Table 2 StormwaterGroundwater'!K106+5)/$Y$11)</f>
        <v>1.1039508742889963</v>
      </c>
      <c r="Z115" s="566">
        <f>$Z$16*(('Table 2 StormwaterGroundwater'!S106*0.3)/$Z$11)</f>
        <v>0.10624409431720903</v>
      </c>
      <c r="AA115" s="567">
        <v>0</v>
      </c>
      <c r="AB115" s="567">
        <f>$AB$16*(('Table 2 StormwaterGroundwater'!I106+'Table 2 StormwaterGroundwater'!G106)/$AB$11)</f>
        <v>31.036461193019704</v>
      </c>
      <c r="AC115" s="564">
        <f>$AC$16*(('Table 2 StormwaterGroundwater'!E106)/$AC$11)</f>
        <v>97.941239218847969</v>
      </c>
      <c r="AD115" s="564">
        <f>$AD$16*(('Table 2 StormwaterGroundwater'!E106)/$AD$11)</f>
        <v>61.024550425388071</v>
      </c>
      <c r="AE115" s="564">
        <f>$AE$16*(('Table 2 StormwaterGroundwater'!E106+'Table 2 StormwaterGroundwater'!C106)/$AE$11)</f>
        <v>117.60025259690759</v>
      </c>
      <c r="AF115" s="564">
        <f>$AF$16*(('Table 2 StormwaterGroundwater'!F106+'Table 2 StormwaterGroundwater'!E106+'Table 2 StormwaterGroundwater'!C106)/$AF$11)</f>
        <v>63.841223015063008</v>
      </c>
      <c r="AG115" s="564">
        <f>$AG$16*(('Table 2 StormwaterGroundwater'!F106+'Table 2 StormwaterGroundwater'!E106+'Table 2 StormwaterGroundwater'!C106)/$AG$11)</f>
        <v>319.06455641655543</v>
      </c>
      <c r="AH115" s="568">
        <f>30*'Table 5 Flows to Evap &amp; WTP'!F103</f>
        <v>162.81568431107692</v>
      </c>
    </row>
    <row r="116" spans="13:34" ht="14.25" x14ac:dyDescent="0.2">
      <c r="M116" s="155">
        <f t="shared" si="53"/>
        <v>99</v>
      </c>
      <c r="N116" s="562">
        <f t="shared" si="50"/>
        <v>317.28664682576414</v>
      </c>
      <c r="O116" s="341">
        <f t="shared" si="51"/>
        <v>682.24981337123256</v>
      </c>
      <c r="P116" s="569">
        <f t="shared" si="56"/>
        <v>1026.6560260251294</v>
      </c>
      <c r="Q116" s="156">
        <f t="shared" si="54"/>
        <v>136.52834962853723</v>
      </c>
      <c r="R116" s="156">
        <f t="shared" si="55"/>
        <v>27.119565828132657</v>
      </c>
      <c r="S116" s="564">
        <v>0</v>
      </c>
      <c r="T116" s="565">
        <f>$T$16*(('Table 2 StormwaterGroundwater'!H107/2)/'Table 13 Power Costs'!$T$11)</f>
        <v>0.13654705596859373</v>
      </c>
      <c r="U116" s="571">
        <f>$U$16*('Table 2 StormwaterGroundwater'!Y107/'Table 13 Power Costs'!$U$11)</f>
        <v>0.11018361100216202</v>
      </c>
      <c r="V116" s="564">
        <f>$V$16*(('Table 2 StormwaterGroundwater'!Y107+'Table 2 StormwaterGroundwater'!AE107+'Table 2 StormwaterGroundwater'!W107+5)/$V$11)</f>
        <v>4.9876815185726731</v>
      </c>
      <c r="W116" s="564">
        <f>$W$16*(('Table 2 StormwaterGroundwater'!Y107+'Table 2 StormwaterGroundwater'!AE107+'Table 2 StormwaterGroundwater'!W107+'Table 2 StormwaterGroundwater'!U107+'Table 2 StormwaterGroundwater'!O107+'Table 2 StormwaterGroundwater'!S107+5)/$W$11)</f>
        <v>2.8428497293461734</v>
      </c>
      <c r="X116" s="565">
        <f>$X$16*(('Table 2 StormwaterGroundwater'!Q107+5)/'Table 13 Power Costs'!$X$11)</f>
        <v>0.39668650810496492</v>
      </c>
      <c r="Y116" s="566">
        <f>$Y$16*(('Table 2 StormwaterGroundwater'!AC107+'Table 2 StormwaterGroundwater'!AA107+'Table 2 StormwaterGroundwater'!Q107+'Table 2 StormwaterGroundwater'!M107+'Table 2 StormwaterGroundwater'!K107+5)/$Y$11)</f>
        <v>1.1039508742889963</v>
      </c>
      <c r="Z116" s="566">
        <f>$Z$16*(('Table 2 StormwaterGroundwater'!S107*0.3)/$Z$11)</f>
        <v>0.10624409431720903</v>
      </c>
      <c r="AA116" s="567">
        <v>0</v>
      </c>
      <c r="AB116" s="567">
        <f>$AB$16*(('Table 2 StormwaterGroundwater'!I107+'Table 2 StormwaterGroundwater'!G107)/$AB$11)</f>
        <v>31.036461193019704</v>
      </c>
      <c r="AC116" s="564">
        <f>$AC$16*(('Table 2 StormwaterGroundwater'!E107)/$AC$11)</f>
        <v>97.941239218847969</v>
      </c>
      <c r="AD116" s="564">
        <f>$AD$16*(('Table 2 StormwaterGroundwater'!E107)/$AD$11)</f>
        <v>61.024550425388071</v>
      </c>
      <c r="AE116" s="564">
        <f>$AE$16*(('Table 2 StormwaterGroundwater'!E107+'Table 2 StormwaterGroundwater'!C107)/$AE$11)</f>
        <v>117.60025259690759</v>
      </c>
      <c r="AF116" s="564">
        <f>$AF$16*(('Table 2 StormwaterGroundwater'!F107+'Table 2 StormwaterGroundwater'!E107+'Table 2 StormwaterGroundwater'!C107)/$AF$11)</f>
        <v>63.841223015063008</v>
      </c>
      <c r="AG116" s="564">
        <f>$AG$16*(('Table 2 StormwaterGroundwater'!F107+'Table 2 StormwaterGroundwater'!E107+'Table 2 StormwaterGroundwater'!C107)/$AG$11)</f>
        <v>319.06455641655543</v>
      </c>
      <c r="AH116" s="568">
        <f>30*'Table 5 Flows to Evap &amp; WTP'!F104</f>
        <v>162.81568431107692</v>
      </c>
    </row>
    <row r="117" spans="13:34" ht="15" thickBot="1" x14ac:dyDescent="0.25">
      <c r="M117" s="174">
        <f t="shared" si="53"/>
        <v>100</v>
      </c>
      <c r="N117" s="562">
        <f t="shared" si="50"/>
        <v>317.28664682576414</v>
      </c>
      <c r="O117" s="341">
        <f t="shared" si="51"/>
        <v>682.24981337123256</v>
      </c>
      <c r="P117" s="569">
        <f t="shared" si="56"/>
        <v>1026.6560260251294</v>
      </c>
      <c r="Q117" s="156">
        <f t="shared" si="54"/>
        <v>136.52834962853723</v>
      </c>
      <c r="R117" s="156">
        <f t="shared" si="55"/>
        <v>27.119565828132657</v>
      </c>
      <c r="S117" s="564">
        <v>0</v>
      </c>
      <c r="T117" s="565">
        <f>$T$16*(('Table 2 StormwaterGroundwater'!H108/2)/'Table 13 Power Costs'!$T$11)</f>
        <v>0.13654705596859373</v>
      </c>
      <c r="U117" s="571">
        <f>$U$16*('Table 2 StormwaterGroundwater'!Y108/'Table 13 Power Costs'!$U$11)</f>
        <v>0.11018361100216202</v>
      </c>
      <c r="V117" s="564">
        <f>$V$16*(('Table 2 StormwaterGroundwater'!Y108+'Table 2 StormwaterGroundwater'!AE108+'Table 2 StormwaterGroundwater'!W108+5)/$V$11)</f>
        <v>4.9876815185726731</v>
      </c>
      <c r="W117" s="564">
        <f>$W$16*(('Table 2 StormwaterGroundwater'!Y108+'Table 2 StormwaterGroundwater'!AE108+'Table 2 StormwaterGroundwater'!W108+'Table 2 StormwaterGroundwater'!U108+'Table 2 StormwaterGroundwater'!O108+'Table 2 StormwaterGroundwater'!S108+5)/$W$11)</f>
        <v>2.8428497293461734</v>
      </c>
      <c r="X117" s="565">
        <f>$X$16*(('Table 2 StormwaterGroundwater'!Q108+5)/'Table 13 Power Costs'!$X$11)</f>
        <v>0.39668650810496492</v>
      </c>
      <c r="Y117" s="566">
        <f>$Y$16*(('Table 2 StormwaterGroundwater'!AC108+'Table 2 StormwaterGroundwater'!AA108+'Table 2 StormwaterGroundwater'!Q108+'Table 2 StormwaterGroundwater'!M108+'Table 2 StormwaterGroundwater'!K108+5)/$Y$11)</f>
        <v>1.1039508742889963</v>
      </c>
      <c r="Z117" s="566">
        <f>$Z$16*(('Table 2 StormwaterGroundwater'!S108*0.3)/$Z$11)</f>
        <v>0.10624409431720903</v>
      </c>
      <c r="AA117" s="567">
        <v>0</v>
      </c>
      <c r="AB117" s="567">
        <f>$AB$16*(('Table 2 StormwaterGroundwater'!I108+'Table 2 StormwaterGroundwater'!G108)/$AB$11)</f>
        <v>31.036461193019704</v>
      </c>
      <c r="AC117" s="564">
        <f>$AC$16*(('Table 2 StormwaterGroundwater'!E108)/$AC$11)</f>
        <v>97.941239218847969</v>
      </c>
      <c r="AD117" s="564">
        <f>$AD$16*(('Table 2 StormwaterGroundwater'!E108)/$AD$11)</f>
        <v>61.024550425388071</v>
      </c>
      <c r="AE117" s="564">
        <f>$AE$16*(('Table 2 StormwaterGroundwater'!E108+'Table 2 StormwaterGroundwater'!C108)/$AE$11)</f>
        <v>117.60025259690759</v>
      </c>
      <c r="AF117" s="564">
        <f>$AF$16*(('Table 2 StormwaterGroundwater'!F108+'Table 2 StormwaterGroundwater'!E108+'Table 2 StormwaterGroundwater'!C108)/$AF$11)</f>
        <v>63.841223015063008</v>
      </c>
      <c r="AG117" s="564">
        <f>$AG$16*(('Table 2 StormwaterGroundwater'!F108+'Table 2 StormwaterGroundwater'!E108+'Table 2 StormwaterGroundwater'!C108)/$AG$11)</f>
        <v>319.06455641655543</v>
      </c>
      <c r="AH117" s="568">
        <f>30*'Table 5 Flows to Evap &amp; WTP'!F105</f>
        <v>162.81568431107692</v>
      </c>
    </row>
    <row r="118" spans="13:34" ht="13.5" thickTop="1" x14ac:dyDescent="0.2">
      <c r="M118" s="25"/>
      <c r="N118" s="7"/>
      <c r="O118" s="7"/>
      <c r="P118" s="7"/>
    </row>
    <row r="119" spans="13:34" x14ac:dyDescent="0.2">
      <c r="M119" s="67"/>
    </row>
    <row r="120" spans="13:34" x14ac:dyDescent="0.2">
      <c r="M120" s="67"/>
    </row>
  </sheetData>
  <mergeCells count="7">
    <mergeCell ref="B25:B26"/>
    <mergeCell ref="B5:B14"/>
    <mergeCell ref="B16:B18"/>
    <mergeCell ref="C25:E25"/>
    <mergeCell ref="B2:I2"/>
    <mergeCell ref="C14:H14"/>
    <mergeCell ref="C18:H18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BD67-A653-471B-A055-A90061ABAB6D}">
  <dimension ref="B1:O9"/>
  <sheetViews>
    <sheetView zoomScale="150" zoomScaleNormal="150" workbookViewId="0">
      <selection activeCell="K1" sqref="K1:O1048576"/>
    </sheetView>
  </sheetViews>
  <sheetFormatPr defaultRowHeight="12.75" x14ac:dyDescent="0.2"/>
  <cols>
    <col min="1" max="1" width="2.5" customWidth="1"/>
    <col min="2" max="2" width="29.6640625" customWidth="1"/>
    <col min="3" max="6" width="17.6640625" customWidth="1"/>
    <col min="7" max="7" width="33.83203125" customWidth="1"/>
    <col min="11" max="15" width="0" hidden="1" customWidth="1"/>
  </cols>
  <sheetData>
    <row r="1" spans="2:15" ht="13.5" thickBot="1" x14ac:dyDescent="0.25"/>
    <row r="2" spans="2:15" ht="29.25" thickTop="1" x14ac:dyDescent="0.2">
      <c r="B2" s="594" t="s">
        <v>528</v>
      </c>
      <c r="C2" s="752" t="s">
        <v>529</v>
      </c>
      <c r="D2" s="752"/>
      <c r="E2" s="595" t="s">
        <v>253</v>
      </c>
      <c r="F2" s="595" t="s">
        <v>530</v>
      </c>
      <c r="G2" s="596" t="s">
        <v>531</v>
      </c>
    </row>
    <row r="3" spans="2:15" ht="15" thickBot="1" x14ac:dyDescent="0.25">
      <c r="B3" s="597"/>
      <c r="C3" s="598" t="s">
        <v>82</v>
      </c>
      <c r="D3" s="598" t="s">
        <v>532</v>
      </c>
      <c r="E3" s="598" t="s">
        <v>533</v>
      </c>
      <c r="F3" s="598" t="s">
        <v>534</v>
      </c>
      <c r="G3" s="599"/>
    </row>
    <row r="4" spans="2:15" ht="14.25" x14ac:dyDescent="0.2">
      <c r="B4" s="590" t="s">
        <v>535</v>
      </c>
      <c r="C4" s="591">
        <v>3</v>
      </c>
      <c r="D4" s="592">
        <f>(C4*'Table 6 WTP Flow Balance'!$F$5*3.785*1440*365)/453592</f>
        <v>14341.798179862079</v>
      </c>
      <c r="E4" s="619">
        <f>1.85*1.04</f>
        <v>1.9240000000000002</v>
      </c>
      <c r="F4" s="620">
        <f>D4*E4</f>
        <v>27593.619698054641</v>
      </c>
      <c r="G4" s="593"/>
      <c r="K4" t="s">
        <v>536</v>
      </c>
      <c r="N4">
        <v>6552</v>
      </c>
      <c r="O4" t="s">
        <v>537</v>
      </c>
    </row>
    <row r="5" spans="2:15" ht="14.25" x14ac:dyDescent="0.2">
      <c r="B5" s="589" t="s">
        <v>538</v>
      </c>
      <c r="C5" s="585">
        <v>1</v>
      </c>
      <c r="D5" s="587">
        <f>(C5*'Table 6 WTP Flow Balance'!$F$5*3.785*1440*365)/453592</f>
        <v>4780.5993932873607</v>
      </c>
      <c r="E5" s="621">
        <f>5.7*1.04</f>
        <v>5.9280000000000008</v>
      </c>
      <c r="F5" s="622">
        <f>D5*E5</f>
        <v>28339.393203407479</v>
      </c>
      <c r="G5" s="586"/>
      <c r="O5" t="s">
        <v>539</v>
      </c>
    </row>
    <row r="6" spans="2:15" ht="14.25" x14ac:dyDescent="0.2">
      <c r="B6" s="589" t="s">
        <v>540</v>
      </c>
      <c r="C6" s="585">
        <f>(((1*4*6*45)*453592)/(365*1440))/(1400*3.785)</f>
        <v>0.17588948031031959</v>
      </c>
      <c r="D6" s="587">
        <f>(C6*'Table 6 WTP Flow Balance'!$F$5*3.785*1440*365)/453592</f>
        <v>840.85714285714289</v>
      </c>
      <c r="E6" s="621">
        <f>5.96*1.04</f>
        <v>6.1984000000000004</v>
      </c>
      <c r="F6" s="622">
        <f>D6*E6</f>
        <v>5211.9689142857151</v>
      </c>
      <c r="G6" s="586" t="s">
        <v>541</v>
      </c>
      <c r="N6">
        <f>N4*2</f>
        <v>13104</v>
      </c>
      <c r="O6" t="s">
        <v>542</v>
      </c>
    </row>
    <row r="7" spans="2:15" ht="15" thickBot="1" x14ac:dyDescent="0.25">
      <c r="B7" s="600" t="s">
        <v>543</v>
      </c>
      <c r="C7" s="601">
        <f>(((1*4*6*45)*453592)/(365*1440))/(1400*3.785)</f>
        <v>0.17588948031031959</v>
      </c>
      <c r="D7" s="602">
        <f>(C7*'Table 6 WTP Flow Balance'!$F$5*3.785*1440*365)/453592</f>
        <v>840.85714285714289</v>
      </c>
      <c r="E7" s="623">
        <f>6.5*1.04</f>
        <v>6.76</v>
      </c>
      <c r="F7" s="624">
        <f>D7*E7</f>
        <v>5684.1942857142858</v>
      </c>
      <c r="G7" s="603" t="s">
        <v>541</v>
      </c>
      <c r="N7">
        <f>N6*12/(365*1440)</f>
        <v>0.29917808219178083</v>
      </c>
      <c r="O7" t="s">
        <v>544</v>
      </c>
    </row>
    <row r="8" spans="2:15" ht="15" thickBot="1" x14ac:dyDescent="0.25">
      <c r="B8" s="604" t="s">
        <v>545</v>
      </c>
      <c r="C8" s="605"/>
      <c r="D8" s="605"/>
      <c r="E8" s="625"/>
      <c r="F8" s="625">
        <f>SUM(F4:F7)</f>
        <v>66829.17610146213</v>
      </c>
      <c r="G8" s="606"/>
    </row>
    <row r="9" spans="2:15" ht="15" thickTop="1" x14ac:dyDescent="0.2">
      <c r="B9" s="607"/>
      <c r="C9" s="588"/>
      <c r="D9" s="588"/>
      <c r="E9" s="588"/>
      <c r="F9" s="588"/>
      <c r="G9" s="588"/>
    </row>
  </sheetData>
  <mergeCells count="1">
    <mergeCell ref="C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09DA-B4D8-4C0A-ADB1-30FC3B485A3E}">
  <dimension ref="A1:F495"/>
  <sheetViews>
    <sheetView workbookViewId="0">
      <selection activeCell="I30" sqref="I30"/>
    </sheetView>
  </sheetViews>
  <sheetFormatPr defaultRowHeight="12.75" x14ac:dyDescent="0.2"/>
  <cols>
    <col min="1" max="1" width="3.6640625" style="52" customWidth="1"/>
    <col min="2" max="2" width="7.6640625" style="52" customWidth="1"/>
    <col min="3" max="3" width="21.1640625" style="52" customWidth="1"/>
    <col min="4" max="4" width="28.83203125" style="53" customWidth="1"/>
    <col min="5" max="6" width="18" style="53" customWidth="1"/>
  </cols>
  <sheetData>
    <row r="1" spans="1:6" ht="13.5" thickBot="1" x14ac:dyDescent="0.25">
      <c r="B1" s="37"/>
    </row>
    <row r="2" spans="1:6" ht="29.25" thickTop="1" x14ac:dyDescent="0.2">
      <c r="A2" s="54"/>
      <c r="B2" s="609"/>
      <c r="C2" s="337" t="s">
        <v>546</v>
      </c>
      <c r="D2" s="337" t="s">
        <v>547</v>
      </c>
      <c r="E2" s="337" t="s">
        <v>548</v>
      </c>
      <c r="F2" s="336" t="s">
        <v>549</v>
      </c>
    </row>
    <row r="3" spans="1:6" ht="15" thickBot="1" x14ac:dyDescent="0.2">
      <c r="A3" s="55"/>
      <c r="B3" s="531" t="s">
        <v>67</v>
      </c>
      <c r="C3" s="611" t="s">
        <v>550</v>
      </c>
      <c r="D3" s="611"/>
      <c r="E3" s="611" t="s">
        <v>259</v>
      </c>
      <c r="F3" s="612" t="s">
        <v>259</v>
      </c>
    </row>
    <row r="4" spans="1:6" ht="14.25" x14ac:dyDescent="0.25">
      <c r="B4" s="243">
        <v>1</v>
      </c>
      <c r="C4" s="610">
        <v>0</v>
      </c>
      <c r="D4" s="610">
        <f t="shared" ref="D4:D35" si="0">(C4*12)</f>
        <v>0</v>
      </c>
      <c r="E4" s="613">
        <v>1000</v>
      </c>
      <c r="F4" s="614">
        <f t="shared" ref="F4:F35" si="1">D4*E4</f>
        <v>0</v>
      </c>
    </row>
    <row r="5" spans="1:6" ht="14.25" x14ac:dyDescent="0.25">
      <c r="B5" s="406">
        <f t="shared" ref="B5:B68" si="2">B4+1</f>
        <v>2</v>
      </c>
      <c r="C5" s="545">
        <v>0</v>
      </c>
      <c r="D5" s="545">
        <f t="shared" si="0"/>
        <v>0</v>
      </c>
      <c r="E5" s="615">
        <f t="shared" ref="E5:E36" si="3">E4</f>
        <v>1000</v>
      </c>
      <c r="F5" s="616">
        <f t="shared" si="1"/>
        <v>0</v>
      </c>
    </row>
    <row r="6" spans="1:6" ht="14.25" x14ac:dyDescent="0.25">
      <c r="B6" s="406">
        <f t="shared" si="2"/>
        <v>3</v>
      </c>
      <c r="C6" s="545">
        <v>0</v>
      </c>
      <c r="D6" s="545">
        <f t="shared" si="0"/>
        <v>0</v>
      </c>
      <c r="E6" s="615">
        <f t="shared" si="3"/>
        <v>1000</v>
      </c>
      <c r="F6" s="616">
        <f t="shared" si="1"/>
        <v>0</v>
      </c>
    </row>
    <row r="7" spans="1:6" ht="14.25" x14ac:dyDescent="0.25">
      <c r="B7" s="406">
        <f t="shared" si="2"/>
        <v>4</v>
      </c>
      <c r="C7" s="545">
        <v>0</v>
      </c>
      <c r="D7" s="545">
        <f t="shared" si="0"/>
        <v>0</v>
      </c>
      <c r="E7" s="615">
        <f t="shared" si="3"/>
        <v>1000</v>
      </c>
      <c r="F7" s="616">
        <f t="shared" si="1"/>
        <v>0</v>
      </c>
    </row>
    <row r="8" spans="1:6" ht="14.25" x14ac:dyDescent="0.25">
      <c r="B8" s="406">
        <f t="shared" si="2"/>
        <v>5</v>
      </c>
      <c r="C8" s="545">
        <v>0</v>
      </c>
      <c r="D8" s="545">
        <f t="shared" si="0"/>
        <v>0</v>
      </c>
      <c r="E8" s="615">
        <f t="shared" si="3"/>
        <v>1000</v>
      </c>
      <c r="F8" s="616">
        <f t="shared" si="1"/>
        <v>0</v>
      </c>
    </row>
    <row r="9" spans="1:6" ht="14.25" x14ac:dyDescent="0.25">
      <c r="B9" s="406">
        <f t="shared" si="2"/>
        <v>6</v>
      </c>
      <c r="C9" s="545">
        <v>2</v>
      </c>
      <c r="D9" s="545">
        <f t="shared" si="0"/>
        <v>24</v>
      </c>
      <c r="E9" s="615">
        <f t="shared" si="3"/>
        <v>1000</v>
      </c>
      <c r="F9" s="616">
        <f t="shared" si="1"/>
        <v>24000</v>
      </c>
    </row>
    <row r="10" spans="1:6" ht="14.25" x14ac:dyDescent="0.25">
      <c r="B10" s="406">
        <f t="shared" si="2"/>
        <v>7</v>
      </c>
      <c r="C10" s="545">
        <f t="shared" ref="C10:C41" si="4">C9</f>
        <v>2</v>
      </c>
      <c r="D10" s="545">
        <f t="shared" si="0"/>
        <v>24</v>
      </c>
      <c r="E10" s="615">
        <f t="shared" si="3"/>
        <v>1000</v>
      </c>
      <c r="F10" s="616">
        <f t="shared" si="1"/>
        <v>24000</v>
      </c>
    </row>
    <row r="11" spans="1:6" ht="14.25" x14ac:dyDescent="0.25">
      <c r="B11" s="406">
        <f t="shared" si="2"/>
        <v>8</v>
      </c>
      <c r="C11" s="545">
        <f t="shared" si="4"/>
        <v>2</v>
      </c>
      <c r="D11" s="545">
        <f t="shared" si="0"/>
        <v>24</v>
      </c>
      <c r="E11" s="615">
        <f t="shared" si="3"/>
        <v>1000</v>
      </c>
      <c r="F11" s="616">
        <f t="shared" si="1"/>
        <v>24000</v>
      </c>
    </row>
    <row r="12" spans="1:6" ht="14.25" x14ac:dyDescent="0.25">
      <c r="B12" s="406">
        <f t="shared" si="2"/>
        <v>9</v>
      </c>
      <c r="C12" s="545">
        <f t="shared" si="4"/>
        <v>2</v>
      </c>
      <c r="D12" s="545">
        <f t="shared" si="0"/>
        <v>24</v>
      </c>
      <c r="E12" s="615">
        <f t="shared" si="3"/>
        <v>1000</v>
      </c>
      <c r="F12" s="616">
        <f t="shared" si="1"/>
        <v>24000</v>
      </c>
    </row>
    <row r="13" spans="1:6" ht="14.25" x14ac:dyDescent="0.25">
      <c r="B13" s="406">
        <f t="shared" si="2"/>
        <v>10</v>
      </c>
      <c r="C13" s="545">
        <f t="shared" si="4"/>
        <v>2</v>
      </c>
      <c r="D13" s="545">
        <f t="shared" si="0"/>
        <v>24</v>
      </c>
      <c r="E13" s="615">
        <f t="shared" si="3"/>
        <v>1000</v>
      </c>
      <c r="F13" s="616">
        <f t="shared" si="1"/>
        <v>24000</v>
      </c>
    </row>
    <row r="14" spans="1:6" ht="14.25" x14ac:dyDescent="0.25">
      <c r="B14" s="406">
        <f t="shared" si="2"/>
        <v>11</v>
      </c>
      <c r="C14" s="545">
        <f t="shared" si="4"/>
        <v>2</v>
      </c>
      <c r="D14" s="545">
        <f t="shared" si="0"/>
        <v>24</v>
      </c>
      <c r="E14" s="615">
        <f t="shared" si="3"/>
        <v>1000</v>
      </c>
      <c r="F14" s="616">
        <f t="shared" si="1"/>
        <v>24000</v>
      </c>
    </row>
    <row r="15" spans="1:6" ht="14.25" x14ac:dyDescent="0.25">
      <c r="B15" s="406">
        <f t="shared" si="2"/>
        <v>12</v>
      </c>
      <c r="C15" s="545">
        <f t="shared" si="4"/>
        <v>2</v>
      </c>
      <c r="D15" s="545">
        <f t="shared" si="0"/>
        <v>24</v>
      </c>
      <c r="E15" s="615">
        <f t="shared" si="3"/>
        <v>1000</v>
      </c>
      <c r="F15" s="616">
        <f t="shared" si="1"/>
        <v>24000</v>
      </c>
    </row>
    <row r="16" spans="1:6" ht="14.25" x14ac:dyDescent="0.25">
      <c r="B16" s="406">
        <f t="shared" si="2"/>
        <v>13</v>
      </c>
      <c r="C16" s="545">
        <f t="shared" si="4"/>
        <v>2</v>
      </c>
      <c r="D16" s="545">
        <f t="shared" si="0"/>
        <v>24</v>
      </c>
      <c r="E16" s="615">
        <f t="shared" si="3"/>
        <v>1000</v>
      </c>
      <c r="F16" s="616">
        <f t="shared" si="1"/>
        <v>24000</v>
      </c>
    </row>
    <row r="17" spans="2:6" ht="14.25" x14ac:dyDescent="0.25">
      <c r="B17" s="406">
        <f t="shared" si="2"/>
        <v>14</v>
      </c>
      <c r="C17" s="545">
        <f t="shared" si="4"/>
        <v>2</v>
      </c>
      <c r="D17" s="545">
        <f t="shared" si="0"/>
        <v>24</v>
      </c>
      <c r="E17" s="615">
        <f t="shared" si="3"/>
        <v>1000</v>
      </c>
      <c r="F17" s="616">
        <f t="shared" si="1"/>
        <v>24000</v>
      </c>
    </row>
    <row r="18" spans="2:6" ht="14.25" x14ac:dyDescent="0.25">
      <c r="B18" s="406">
        <f t="shared" si="2"/>
        <v>15</v>
      </c>
      <c r="C18" s="545">
        <f t="shared" si="4"/>
        <v>2</v>
      </c>
      <c r="D18" s="545">
        <f t="shared" si="0"/>
        <v>24</v>
      </c>
      <c r="E18" s="615">
        <f t="shared" si="3"/>
        <v>1000</v>
      </c>
      <c r="F18" s="616">
        <f t="shared" si="1"/>
        <v>24000</v>
      </c>
    </row>
    <row r="19" spans="2:6" ht="14.25" x14ac:dyDescent="0.25">
      <c r="B19" s="406">
        <f t="shared" si="2"/>
        <v>16</v>
      </c>
      <c r="C19" s="545">
        <f t="shared" si="4"/>
        <v>2</v>
      </c>
      <c r="D19" s="545">
        <f t="shared" si="0"/>
        <v>24</v>
      </c>
      <c r="E19" s="615">
        <f t="shared" si="3"/>
        <v>1000</v>
      </c>
      <c r="F19" s="616">
        <f t="shared" si="1"/>
        <v>24000</v>
      </c>
    </row>
    <row r="20" spans="2:6" ht="14.25" x14ac:dyDescent="0.25">
      <c r="B20" s="406">
        <f t="shared" si="2"/>
        <v>17</v>
      </c>
      <c r="C20" s="545">
        <f t="shared" si="4"/>
        <v>2</v>
      </c>
      <c r="D20" s="545">
        <f t="shared" si="0"/>
        <v>24</v>
      </c>
      <c r="E20" s="615">
        <f t="shared" si="3"/>
        <v>1000</v>
      </c>
      <c r="F20" s="616">
        <f t="shared" si="1"/>
        <v>24000</v>
      </c>
    </row>
    <row r="21" spans="2:6" ht="14.25" x14ac:dyDescent="0.25">
      <c r="B21" s="406">
        <f t="shared" si="2"/>
        <v>18</v>
      </c>
      <c r="C21" s="545">
        <f t="shared" si="4"/>
        <v>2</v>
      </c>
      <c r="D21" s="545">
        <f t="shared" si="0"/>
        <v>24</v>
      </c>
      <c r="E21" s="615">
        <f t="shared" si="3"/>
        <v>1000</v>
      </c>
      <c r="F21" s="616">
        <f t="shared" si="1"/>
        <v>24000</v>
      </c>
    </row>
    <row r="22" spans="2:6" ht="14.25" x14ac:dyDescent="0.25">
      <c r="B22" s="406">
        <f t="shared" si="2"/>
        <v>19</v>
      </c>
      <c r="C22" s="545">
        <f t="shared" si="4"/>
        <v>2</v>
      </c>
      <c r="D22" s="545">
        <f t="shared" si="0"/>
        <v>24</v>
      </c>
      <c r="E22" s="615">
        <f t="shared" si="3"/>
        <v>1000</v>
      </c>
      <c r="F22" s="616">
        <f t="shared" si="1"/>
        <v>24000</v>
      </c>
    </row>
    <row r="23" spans="2:6" ht="14.25" x14ac:dyDescent="0.25">
      <c r="B23" s="406">
        <f t="shared" si="2"/>
        <v>20</v>
      </c>
      <c r="C23" s="545">
        <f t="shared" si="4"/>
        <v>2</v>
      </c>
      <c r="D23" s="545">
        <f t="shared" si="0"/>
        <v>24</v>
      </c>
      <c r="E23" s="615">
        <f t="shared" si="3"/>
        <v>1000</v>
      </c>
      <c r="F23" s="616">
        <f t="shared" si="1"/>
        <v>24000</v>
      </c>
    </row>
    <row r="24" spans="2:6" ht="14.25" x14ac:dyDescent="0.25">
      <c r="B24" s="406">
        <f t="shared" si="2"/>
        <v>21</v>
      </c>
      <c r="C24" s="545">
        <f t="shared" si="4"/>
        <v>2</v>
      </c>
      <c r="D24" s="545">
        <f t="shared" si="0"/>
        <v>24</v>
      </c>
      <c r="E24" s="615">
        <f t="shared" si="3"/>
        <v>1000</v>
      </c>
      <c r="F24" s="616">
        <f t="shared" si="1"/>
        <v>24000</v>
      </c>
    </row>
    <row r="25" spans="2:6" ht="14.25" x14ac:dyDescent="0.25">
      <c r="B25" s="406">
        <f t="shared" si="2"/>
        <v>22</v>
      </c>
      <c r="C25" s="545">
        <f t="shared" si="4"/>
        <v>2</v>
      </c>
      <c r="D25" s="545">
        <f t="shared" si="0"/>
        <v>24</v>
      </c>
      <c r="E25" s="615">
        <f t="shared" si="3"/>
        <v>1000</v>
      </c>
      <c r="F25" s="616">
        <f t="shared" si="1"/>
        <v>24000</v>
      </c>
    </row>
    <row r="26" spans="2:6" ht="14.25" x14ac:dyDescent="0.25">
      <c r="B26" s="406">
        <f t="shared" si="2"/>
        <v>23</v>
      </c>
      <c r="C26" s="545">
        <f t="shared" si="4"/>
        <v>2</v>
      </c>
      <c r="D26" s="545">
        <f t="shared" si="0"/>
        <v>24</v>
      </c>
      <c r="E26" s="615">
        <f t="shared" si="3"/>
        <v>1000</v>
      </c>
      <c r="F26" s="616">
        <f t="shared" si="1"/>
        <v>24000</v>
      </c>
    </row>
    <row r="27" spans="2:6" ht="14.25" x14ac:dyDescent="0.25">
      <c r="B27" s="406">
        <f t="shared" si="2"/>
        <v>24</v>
      </c>
      <c r="C27" s="545">
        <f t="shared" si="4"/>
        <v>2</v>
      </c>
      <c r="D27" s="545">
        <f t="shared" si="0"/>
        <v>24</v>
      </c>
      <c r="E27" s="615">
        <f t="shared" si="3"/>
        <v>1000</v>
      </c>
      <c r="F27" s="616">
        <f t="shared" si="1"/>
        <v>24000</v>
      </c>
    </row>
    <row r="28" spans="2:6" ht="14.25" x14ac:dyDescent="0.25">
      <c r="B28" s="406">
        <f t="shared" si="2"/>
        <v>25</v>
      </c>
      <c r="C28" s="545">
        <f t="shared" si="4"/>
        <v>2</v>
      </c>
      <c r="D28" s="545">
        <f t="shared" si="0"/>
        <v>24</v>
      </c>
      <c r="E28" s="615">
        <f t="shared" si="3"/>
        <v>1000</v>
      </c>
      <c r="F28" s="616">
        <f t="shared" si="1"/>
        <v>24000</v>
      </c>
    </row>
    <row r="29" spans="2:6" ht="14.25" x14ac:dyDescent="0.25">
      <c r="B29" s="406">
        <f t="shared" si="2"/>
        <v>26</v>
      </c>
      <c r="C29" s="545">
        <f t="shared" si="4"/>
        <v>2</v>
      </c>
      <c r="D29" s="545">
        <f t="shared" si="0"/>
        <v>24</v>
      </c>
      <c r="E29" s="615">
        <f t="shared" si="3"/>
        <v>1000</v>
      </c>
      <c r="F29" s="616">
        <f t="shared" si="1"/>
        <v>24000</v>
      </c>
    </row>
    <row r="30" spans="2:6" ht="14.25" x14ac:dyDescent="0.25">
      <c r="B30" s="406">
        <f t="shared" si="2"/>
        <v>27</v>
      </c>
      <c r="C30" s="545">
        <f t="shared" si="4"/>
        <v>2</v>
      </c>
      <c r="D30" s="545">
        <f t="shared" si="0"/>
        <v>24</v>
      </c>
      <c r="E30" s="615">
        <f t="shared" si="3"/>
        <v>1000</v>
      </c>
      <c r="F30" s="616">
        <f t="shared" si="1"/>
        <v>24000</v>
      </c>
    </row>
    <row r="31" spans="2:6" ht="14.25" x14ac:dyDescent="0.25">
      <c r="B31" s="406">
        <f t="shared" si="2"/>
        <v>28</v>
      </c>
      <c r="C31" s="545">
        <f t="shared" si="4"/>
        <v>2</v>
      </c>
      <c r="D31" s="545">
        <f t="shared" si="0"/>
        <v>24</v>
      </c>
      <c r="E31" s="615">
        <f t="shared" si="3"/>
        <v>1000</v>
      </c>
      <c r="F31" s="616">
        <f t="shared" si="1"/>
        <v>24000</v>
      </c>
    </row>
    <row r="32" spans="2:6" ht="14.25" x14ac:dyDescent="0.25">
      <c r="B32" s="406">
        <f t="shared" si="2"/>
        <v>29</v>
      </c>
      <c r="C32" s="545">
        <f t="shared" si="4"/>
        <v>2</v>
      </c>
      <c r="D32" s="545">
        <f t="shared" si="0"/>
        <v>24</v>
      </c>
      <c r="E32" s="615">
        <f t="shared" si="3"/>
        <v>1000</v>
      </c>
      <c r="F32" s="616">
        <f t="shared" si="1"/>
        <v>24000</v>
      </c>
    </row>
    <row r="33" spans="2:6" ht="14.25" x14ac:dyDescent="0.25">
      <c r="B33" s="406">
        <f t="shared" si="2"/>
        <v>30</v>
      </c>
      <c r="C33" s="545">
        <f t="shared" si="4"/>
        <v>2</v>
      </c>
      <c r="D33" s="545">
        <f t="shared" si="0"/>
        <v>24</v>
      </c>
      <c r="E33" s="615">
        <f t="shared" si="3"/>
        <v>1000</v>
      </c>
      <c r="F33" s="616">
        <f t="shared" si="1"/>
        <v>24000</v>
      </c>
    </row>
    <row r="34" spans="2:6" ht="14.25" x14ac:dyDescent="0.25">
      <c r="B34" s="406">
        <f t="shared" si="2"/>
        <v>31</v>
      </c>
      <c r="C34" s="545">
        <f t="shared" si="4"/>
        <v>2</v>
      </c>
      <c r="D34" s="545">
        <f t="shared" si="0"/>
        <v>24</v>
      </c>
      <c r="E34" s="615">
        <f t="shared" si="3"/>
        <v>1000</v>
      </c>
      <c r="F34" s="616">
        <f t="shared" si="1"/>
        <v>24000</v>
      </c>
    </row>
    <row r="35" spans="2:6" ht="14.25" x14ac:dyDescent="0.25">
      <c r="B35" s="406">
        <f t="shared" si="2"/>
        <v>32</v>
      </c>
      <c r="C35" s="545">
        <f t="shared" si="4"/>
        <v>2</v>
      </c>
      <c r="D35" s="545">
        <f t="shared" si="0"/>
        <v>24</v>
      </c>
      <c r="E35" s="615">
        <f t="shared" si="3"/>
        <v>1000</v>
      </c>
      <c r="F35" s="616">
        <f t="shared" si="1"/>
        <v>24000</v>
      </c>
    </row>
    <row r="36" spans="2:6" ht="14.25" x14ac:dyDescent="0.25">
      <c r="B36" s="406">
        <f t="shared" si="2"/>
        <v>33</v>
      </c>
      <c r="C36" s="545">
        <f t="shared" si="4"/>
        <v>2</v>
      </c>
      <c r="D36" s="545">
        <f t="shared" ref="D36:D67" si="5">(C36*12)</f>
        <v>24</v>
      </c>
      <c r="E36" s="615">
        <f t="shared" si="3"/>
        <v>1000</v>
      </c>
      <c r="F36" s="616">
        <f t="shared" ref="F36:F67" si="6">D36*E36</f>
        <v>24000</v>
      </c>
    </row>
    <row r="37" spans="2:6" ht="14.25" x14ac:dyDescent="0.25">
      <c r="B37" s="406">
        <f t="shared" si="2"/>
        <v>34</v>
      </c>
      <c r="C37" s="545">
        <f t="shared" si="4"/>
        <v>2</v>
      </c>
      <c r="D37" s="545">
        <f t="shared" si="5"/>
        <v>24</v>
      </c>
      <c r="E37" s="615">
        <f t="shared" ref="E37:E68" si="7">E36</f>
        <v>1000</v>
      </c>
      <c r="F37" s="616">
        <f t="shared" si="6"/>
        <v>24000</v>
      </c>
    </row>
    <row r="38" spans="2:6" ht="14.25" x14ac:dyDescent="0.25">
      <c r="B38" s="406">
        <f t="shared" si="2"/>
        <v>35</v>
      </c>
      <c r="C38" s="545">
        <f t="shared" si="4"/>
        <v>2</v>
      </c>
      <c r="D38" s="545">
        <f t="shared" si="5"/>
        <v>24</v>
      </c>
      <c r="E38" s="615">
        <f t="shared" si="7"/>
        <v>1000</v>
      </c>
      <c r="F38" s="616">
        <f t="shared" si="6"/>
        <v>24000</v>
      </c>
    </row>
    <row r="39" spans="2:6" ht="14.25" x14ac:dyDescent="0.25">
      <c r="B39" s="406">
        <f t="shared" si="2"/>
        <v>36</v>
      </c>
      <c r="C39" s="545">
        <f t="shared" si="4"/>
        <v>2</v>
      </c>
      <c r="D39" s="545">
        <f t="shared" si="5"/>
        <v>24</v>
      </c>
      <c r="E39" s="615">
        <f t="shared" si="7"/>
        <v>1000</v>
      </c>
      <c r="F39" s="616">
        <f t="shared" si="6"/>
        <v>24000</v>
      </c>
    </row>
    <row r="40" spans="2:6" ht="14.25" x14ac:dyDescent="0.25">
      <c r="B40" s="406">
        <f t="shared" si="2"/>
        <v>37</v>
      </c>
      <c r="C40" s="545">
        <f t="shared" si="4"/>
        <v>2</v>
      </c>
      <c r="D40" s="545">
        <f t="shared" si="5"/>
        <v>24</v>
      </c>
      <c r="E40" s="615">
        <f t="shared" si="7"/>
        <v>1000</v>
      </c>
      <c r="F40" s="616">
        <f t="shared" si="6"/>
        <v>24000</v>
      </c>
    </row>
    <row r="41" spans="2:6" ht="14.25" x14ac:dyDescent="0.25">
      <c r="B41" s="406">
        <f t="shared" si="2"/>
        <v>38</v>
      </c>
      <c r="C41" s="545">
        <f t="shared" si="4"/>
        <v>2</v>
      </c>
      <c r="D41" s="545">
        <f t="shared" si="5"/>
        <v>24</v>
      </c>
      <c r="E41" s="615">
        <f t="shared" si="7"/>
        <v>1000</v>
      </c>
      <c r="F41" s="616">
        <f t="shared" si="6"/>
        <v>24000</v>
      </c>
    </row>
    <row r="42" spans="2:6" ht="14.25" x14ac:dyDescent="0.25">
      <c r="B42" s="406">
        <f t="shared" si="2"/>
        <v>39</v>
      </c>
      <c r="C42" s="545">
        <f t="shared" ref="C42:C73" si="8">C41</f>
        <v>2</v>
      </c>
      <c r="D42" s="545">
        <f t="shared" si="5"/>
        <v>24</v>
      </c>
      <c r="E42" s="615">
        <f t="shared" si="7"/>
        <v>1000</v>
      </c>
      <c r="F42" s="616">
        <f t="shared" si="6"/>
        <v>24000</v>
      </c>
    </row>
    <row r="43" spans="2:6" ht="14.25" x14ac:dyDescent="0.25">
      <c r="B43" s="406">
        <f t="shared" si="2"/>
        <v>40</v>
      </c>
      <c r="C43" s="545">
        <f t="shared" si="8"/>
        <v>2</v>
      </c>
      <c r="D43" s="545">
        <f t="shared" si="5"/>
        <v>24</v>
      </c>
      <c r="E43" s="615">
        <f t="shared" si="7"/>
        <v>1000</v>
      </c>
      <c r="F43" s="616">
        <f t="shared" si="6"/>
        <v>24000</v>
      </c>
    </row>
    <row r="44" spans="2:6" ht="14.25" x14ac:dyDescent="0.25">
      <c r="B44" s="406">
        <f t="shared" si="2"/>
        <v>41</v>
      </c>
      <c r="C44" s="545">
        <f t="shared" si="8"/>
        <v>2</v>
      </c>
      <c r="D44" s="545">
        <f t="shared" si="5"/>
        <v>24</v>
      </c>
      <c r="E44" s="615">
        <f t="shared" si="7"/>
        <v>1000</v>
      </c>
      <c r="F44" s="616">
        <f t="shared" si="6"/>
        <v>24000</v>
      </c>
    </row>
    <row r="45" spans="2:6" ht="14.25" x14ac:dyDescent="0.25">
      <c r="B45" s="406">
        <f t="shared" si="2"/>
        <v>42</v>
      </c>
      <c r="C45" s="545">
        <f t="shared" si="8"/>
        <v>2</v>
      </c>
      <c r="D45" s="545">
        <f t="shared" si="5"/>
        <v>24</v>
      </c>
      <c r="E45" s="615">
        <f t="shared" si="7"/>
        <v>1000</v>
      </c>
      <c r="F45" s="616">
        <f t="shared" si="6"/>
        <v>24000</v>
      </c>
    </row>
    <row r="46" spans="2:6" ht="14.25" x14ac:dyDescent="0.25">
      <c r="B46" s="406">
        <f t="shared" si="2"/>
        <v>43</v>
      </c>
      <c r="C46" s="545">
        <f t="shared" si="8"/>
        <v>2</v>
      </c>
      <c r="D46" s="545">
        <f t="shared" si="5"/>
        <v>24</v>
      </c>
      <c r="E46" s="615">
        <f t="shared" si="7"/>
        <v>1000</v>
      </c>
      <c r="F46" s="616">
        <f t="shared" si="6"/>
        <v>24000</v>
      </c>
    </row>
    <row r="47" spans="2:6" ht="14.25" x14ac:dyDescent="0.25">
      <c r="B47" s="406">
        <f t="shared" si="2"/>
        <v>44</v>
      </c>
      <c r="C47" s="545">
        <f t="shared" si="8"/>
        <v>2</v>
      </c>
      <c r="D47" s="545">
        <f t="shared" si="5"/>
        <v>24</v>
      </c>
      <c r="E47" s="615">
        <f t="shared" si="7"/>
        <v>1000</v>
      </c>
      <c r="F47" s="616">
        <f t="shared" si="6"/>
        <v>24000</v>
      </c>
    </row>
    <row r="48" spans="2:6" ht="14.25" x14ac:dyDescent="0.25">
      <c r="B48" s="406">
        <f t="shared" si="2"/>
        <v>45</v>
      </c>
      <c r="C48" s="545">
        <f t="shared" si="8"/>
        <v>2</v>
      </c>
      <c r="D48" s="545">
        <f t="shared" si="5"/>
        <v>24</v>
      </c>
      <c r="E48" s="615">
        <f t="shared" si="7"/>
        <v>1000</v>
      </c>
      <c r="F48" s="616">
        <f t="shared" si="6"/>
        <v>24000</v>
      </c>
    </row>
    <row r="49" spans="2:6" ht="14.25" x14ac:dyDescent="0.25">
      <c r="B49" s="406">
        <f t="shared" si="2"/>
        <v>46</v>
      </c>
      <c r="C49" s="545">
        <f t="shared" si="8"/>
        <v>2</v>
      </c>
      <c r="D49" s="545">
        <f t="shared" si="5"/>
        <v>24</v>
      </c>
      <c r="E49" s="615">
        <f t="shared" si="7"/>
        <v>1000</v>
      </c>
      <c r="F49" s="616">
        <f t="shared" si="6"/>
        <v>24000</v>
      </c>
    </row>
    <row r="50" spans="2:6" ht="14.25" x14ac:dyDescent="0.25">
      <c r="B50" s="406">
        <f t="shared" si="2"/>
        <v>47</v>
      </c>
      <c r="C50" s="545">
        <f t="shared" si="8"/>
        <v>2</v>
      </c>
      <c r="D50" s="545">
        <f t="shared" si="5"/>
        <v>24</v>
      </c>
      <c r="E50" s="615">
        <f t="shared" si="7"/>
        <v>1000</v>
      </c>
      <c r="F50" s="616">
        <f t="shared" si="6"/>
        <v>24000</v>
      </c>
    </row>
    <row r="51" spans="2:6" ht="14.25" x14ac:dyDescent="0.25">
      <c r="B51" s="406">
        <f t="shared" si="2"/>
        <v>48</v>
      </c>
      <c r="C51" s="545">
        <f t="shared" si="8"/>
        <v>2</v>
      </c>
      <c r="D51" s="545">
        <f t="shared" si="5"/>
        <v>24</v>
      </c>
      <c r="E51" s="615">
        <f t="shared" si="7"/>
        <v>1000</v>
      </c>
      <c r="F51" s="616">
        <f t="shared" si="6"/>
        <v>24000</v>
      </c>
    </row>
    <row r="52" spans="2:6" ht="14.25" x14ac:dyDescent="0.25">
      <c r="B52" s="406">
        <f t="shared" si="2"/>
        <v>49</v>
      </c>
      <c r="C52" s="545">
        <f t="shared" si="8"/>
        <v>2</v>
      </c>
      <c r="D52" s="545">
        <f t="shared" si="5"/>
        <v>24</v>
      </c>
      <c r="E52" s="615">
        <f t="shared" si="7"/>
        <v>1000</v>
      </c>
      <c r="F52" s="616">
        <f t="shared" si="6"/>
        <v>24000</v>
      </c>
    </row>
    <row r="53" spans="2:6" ht="14.25" x14ac:dyDescent="0.25">
      <c r="B53" s="406">
        <f t="shared" si="2"/>
        <v>50</v>
      </c>
      <c r="C53" s="545">
        <f t="shared" si="8"/>
        <v>2</v>
      </c>
      <c r="D53" s="545">
        <f t="shared" si="5"/>
        <v>24</v>
      </c>
      <c r="E53" s="615">
        <f t="shared" si="7"/>
        <v>1000</v>
      </c>
      <c r="F53" s="616">
        <f t="shared" si="6"/>
        <v>24000</v>
      </c>
    </row>
    <row r="54" spans="2:6" ht="14.25" x14ac:dyDescent="0.25">
      <c r="B54" s="406">
        <f t="shared" si="2"/>
        <v>51</v>
      </c>
      <c r="C54" s="545">
        <f t="shared" si="8"/>
        <v>2</v>
      </c>
      <c r="D54" s="545">
        <f t="shared" si="5"/>
        <v>24</v>
      </c>
      <c r="E54" s="615">
        <f t="shared" si="7"/>
        <v>1000</v>
      </c>
      <c r="F54" s="616">
        <f t="shared" si="6"/>
        <v>24000</v>
      </c>
    </row>
    <row r="55" spans="2:6" ht="14.25" x14ac:dyDescent="0.25">
      <c r="B55" s="406">
        <f t="shared" si="2"/>
        <v>52</v>
      </c>
      <c r="C55" s="545">
        <f t="shared" si="8"/>
        <v>2</v>
      </c>
      <c r="D55" s="545">
        <f t="shared" si="5"/>
        <v>24</v>
      </c>
      <c r="E55" s="615">
        <f t="shared" si="7"/>
        <v>1000</v>
      </c>
      <c r="F55" s="616">
        <f t="shared" si="6"/>
        <v>24000</v>
      </c>
    </row>
    <row r="56" spans="2:6" ht="14.25" x14ac:dyDescent="0.25">
      <c r="B56" s="406">
        <f t="shared" si="2"/>
        <v>53</v>
      </c>
      <c r="C56" s="545">
        <f t="shared" si="8"/>
        <v>2</v>
      </c>
      <c r="D56" s="545">
        <f t="shared" si="5"/>
        <v>24</v>
      </c>
      <c r="E56" s="615">
        <f t="shared" si="7"/>
        <v>1000</v>
      </c>
      <c r="F56" s="616">
        <f t="shared" si="6"/>
        <v>24000</v>
      </c>
    </row>
    <row r="57" spans="2:6" ht="14.25" x14ac:dyDescent="0.25">
      <c r="B57" s="406">
        <f t="shared" si="2"/>
        <v>54</v>
      </c>
      <c r="C57" s="545">
        <f t="shared" si="8"/>
        <v>2</v>
      </c>
      <c r="D57" s="545">
        <f t="shared" si="5"/>
        <v>24</v>
      </c>
      <c r="E57" s="615">
        <f t="shared" si="7"/>
        <v>1000</v>
      </c>
      <c r="F57" s="616">
        <f t="shared" si="6"/>
        <v>24000</v>
      </c>
    </row>
    <row r="58" spans="2:6" ht="14.25" x14ac:dyDescent="0.25">
      <c r="B58" s="406">
        <f t="shared" si="2"/>
        <v>55</v>
      </c>
      <c r="C58" s="545">
        <f t="shared" si="8"/>
        <v>2</v>
      </c>
      <c r="D58" s="545">
        <f t="shared" si="5"/>
        <v>24</v>
      </c>
      <c r="E58" s="615">
        <f t="shared" si="7"/>
        <v>1000</v>
      </c>
      <c r="F58" s="616">
        <f t="shared" si="6"/>
        <v>24000</v>
      </c>
    </row>
    <row r="59" spans="2:6" ht="14.25" x14ac:dyDescent="0.25">
      <c r="B59" s="406">
        <f t="shared" si="2"/>
        <v>56</v>
      </c>
      <c r="C59" s="545">
        <f t="shared" si="8"/>
        <v>2</v>
      </c>
      <c r="D59" s="545">
        <f t="shared" si="5"/>
        <v>24</v>
      </c>
      <c r="E59" s="615">
        <f t="shared" si="7"/>
        <v>1000</v>
      </c>
      <c r="F59" s="616">
        <f t="shared" si="6"/>
        <v>24000</v>
      </c>
    </row>
    <row r="60" spans="2:6" ht="14.25" x14ac:dyDescent="0.25">
      <c r="B60" s="406">
        <f t="shared" si="2"/>
        <v>57</v>
      </c>
      <c r="C60" s="545">
        <f t="shared" si="8"/>
        <v>2</v>
      </c>
      <c r="D60" s="545">
        <f t="shared" si="5"/>
        <v>24</v>
      </c>
      <c r="E60" s="615">
        <f t="shared" si="7"/>
        <v>1000</v>
      </c>
      <c r="F60" s="616">
        <f t="shared" si="6"/>
        <v>24000</v>
      </c>
    </row>
    <row r="61" spans="2:6" ht="14.25" x14ac:dyDescent="0.25">
      <c r="B61" s="406">
        <f t="shared" si="2"/>
        <v>58</v>
      </c>
      <c r="C61" s="545">
        <f t="shared" si="8"/>
        <v>2</v>
      </c>
      <c r="D61" s="545">
        <f t="shared" si="5"/>
        <v>24</v>
      </c>
      <c r="E61" s="615">
        <f t="shared" si="7"/>
        <v>1000</v>
      </c>
      <c r="F61" s="616">
        <f t="shared" si="6"/>
        <v>24000</v>
      </c>
    </row>
    <row r="62" spans="2:6" ht="14.25" x14ac:dyDescent="0.25">
      <c r="B62" s="406">
        <f t="shared" si="2"/>
        <v>59</v>
      </c>
      <c r="C62" s="545">
        <f t="shared" si="8"/>
        <v>2</v>
      </c>
      <c r="D62" s="545">
        <f t="shared" si="5"/>
        <v>24</v>
      </c>
      <c r="E62" s="615">
        <f t="shared" si="7"/>
        <v>1000</v>
      </c>
      <c r="F62" s="616">
        <f t="shared" si="6"/>
        <v>24000</v>
      </c>
    </row>
    <row r="63" spans="2:6" ht="14.25" x14ac:dyDescent="0.25">
      <c r="B63" s="406">
        <f t="shared" si="2"/>
        <v>60</v>
      </c>
      <c r="C63" s="545">
        <f t="shared" si="8"/>
        <v>2</v>
      </c>
      <c r="D63" s="545">
        <f t="shared" si="5"/>
        <v>24</v>
      </c>
      <c r="E63" s="615">
        <f t="shared" si="7"/>
        <v>1000</v>
      </c>
      <c r="F63" s="616">
        <f t="shared" si="6"/>
        <v>24000</v>
      </c>
    </row>
    <row r="64" spans="2:6" ht="14.25" x14ac:dyDescent="0.25">
      <c r="B64" s="406">
        <f t="shared" si="2"/>
        <v>61</v>
      </c>
      <c r="C64" s="545">
        <f t="shared" si="8"/>
        <v>2</v>
      </c>
      <c r="D64" s="545">
        <f t="shared" si="5"/>
        <v>24</v>
      </c>
      <c r="E64" s="615">
        <f t="shared" si="7"/>
        <v>1000</v>
      </c>
      <c r="F64" s="616">
        <f t="shared" si="6"/>
        <v>24000</v>
      </c>
    </row>
    <row r="65" spans="2:6" ht="14.25" x14ac:dyDescent="0.25">
      <c r="B65" s="406">
        <f t="shared" si="2"/>
        <v>62</v>
      </c>
      <c r="C65" s="545">
        <f t="shared" si="8"/>
        <v>2</v>
      </c>
      <c r="D65" s="545">
        <f t="shared" si="5"/>
        <v>24</v>
      </c>
      <c r="E65" s="615">
        <f t="shared" si="7"/>
        <v>1000</v>
      </c>
      <c r="F65" s="616">
        <f t="shared" si="6"/>
        <v>24000</v>
      </c>
    </row>
    <row r="66" spans="2:6" ht="14.25" x14ac:dyDescent="0.25">
      <c r="B66" s="406">
        <f t="shared" si="2"/>
        <v>63</v>
      </c>
      <c r="C66" s="545">
        <f t="shared" si="8"/>
        <v>2</v>
      </c>
      <c r="D66" s="545">
        <f t="shared" si="5"/>
        <v>24</v>
      </c>
      <c r="E66" s="615">
        <f t="shared" si="7"/>
        <v>1000</v>
      </c>
      <c r="F66" s="616">
        <f t="shared" si="6"/>
        <v>24000</v>
      </c>
    </row>
    <row r="67" spans="2:6" ht="14.25" x14ac:dyDescent="0.25">
      <c r="B67" s="406">
        <f t="shared" si="2"/>
        <v>64</v>
      </c>
      <c r="C67" s="545">
        <f t="shared" si="8"/>
        <v>2</v>
      </c>
      <c r="D67" s="545">
        <f t="shared" si="5"/>
        <v>24</v>
      </c>
      <c r="E67" s="615">
        <f t="shared" si="7"/>
        <v>1000</v>
      </c>
      <c r="F67" s="616">
        <f t="shared" si="6"/>
        <v>24000</v>
      </c>
    </row>
    <row r="68" spans="2:6" ht="14.25" x14ac:dyDescent="0.25">
      <c r="B68" s="406">
        <f t="shared" si="2"/>
        <v>65</v>
      </c>
      <c r="C68" s="545">
        <f t="shared" si="8"/>
        <v>2</v>
      </c>
      <c r="D68" s="545">
        <f t="shared" ref="D68:D99" si="9">(C68*12)</f>
        <v>24</v>
      </c>
      <c r="E68" s="615">
        <f t="shared" si="7"/>
        <v>1000</v>
      </c>
      <c r="F68" s="616">
        <f t="shared" ref="F68:F99" si="10">D68*E68</f>
        <v>24000</v>
      </c>
    </row>
    <row r="69" spans="2:6" ht="14.25" x14ac:dyDescent="0.25">
      <c r="B69" s="406">
        <f t="shared" ref="B69:B103" si="11">B68+1</f>
        <v>66</v>
      </c>
      <c r="C69" s="545">
        <f t="shared" si="8"/>
        <v>2</v>
      </c>
      <c r="D69" s="545">
        <f t="shared" si="9"/>
        <v>24</v>
      </c>
      <c r="E69" s="615">
        <f t="shared" ref="E69:E103" si="12">E68</f>
        <v>1000</v>
      </c>
      <c r="F69" s="616">
        <f t="shared" si="10"/>
        <v>24000</v>
      </c>
    </row>
    <row r="70" spans="2:6" ht="14.25" x14ac:dyDescent="0.25">
      <c r="B70" s="406">
        <f t="shared" si="11"/>
        <v>67</v>
      </c>
      <c r="C70" s="545">
        <f t="shared" si="8"/>
        <v>2</v>
      </c>
      <c r="D70" s="545">
        <f t="shared" si="9"/>
        <v>24</v>
      </c>
      <c r="E70" s="615">
        <f t="shared" si="12"/>
        <v>1000</v>
      </c>
      <c r="F70" s="616">
        <f t="shared" si="10"/>
        <v>24000</v>
      </c>
    </row>
    <row r="71" spans="2:6" ht="14.25" x14ac:dyDescent="0.25">
      <c r="B71" s="406">
        <f t="shared" si="11"/>
        <v>68</v>
      </c>
      <c r="C71" s="545">
        <f t="shared" si="8"/>
        <v>2</v>
      </c>
      <c r="D71" s="545">
        <f t="shared" si="9"/>
        <v>24</v>
      </c>
      <c r="E71" s="615">
        <f t="shared" si="12"/>
        <v>1000</v>
      </c>
      <c r="F71" s="616">
        <f t="shared" si="10"/>
        <v>24000</v>
      </c>
    </row>
    <row r="72" spans="2:6" ht="14.25" x14ac:dyDescent="0.25">
      <c r="B72" s="406">
        <f t="shared" si="11"/>
        <v>69</v>
      </c>
      <c r="C72" s="545">
        <f t="shared" si="8"/>
        <v>2</v>
      </c>
      <c r="D72" s="545">
        <f t="shared" si="9"/>
        <v>24</v>
      </c>
      <c r="E72" s="615">
        <f t="shared" si="12"/>
        <v>1000</v>
      </c>
      <c r="F72" s="616">
        <f t="shared" si="10"/>
        <v>24000</v>
      </c>
    </row>
    <row r="73" spans="2:6" ht="14.25" x14ac:dyDescent="0.25">
      <c r="B73" s="406">
        <f t="shared" si="11"/>
        <v>70</v>
      </c>
      <c r="C73" s="545">
        <f t="shared" si="8"/>
        <v>2</v>
      </c>
      <c r="D73" s="545">
        <f t="shared" si="9"/>
        <v>24</v>
      </c>
      <c r="E73" s="615">
        <f t="shared" si="12"/>
        <v>1000</v>
      </c>
      <c r="F73" s="616">
        <f t="shared" si="10"/>
        <v>24000</v>
      </c>
    </row>
    <row r="74" spans="2:6" ht="14.25" x14ac:dyDescent="0.25">
      <c r="B74" s="406">
        <f t="shared" si="11"/>
        <v>71</v>
      </c>
      <c r="C74" s="545">
        <f t="shared" ref="C74:C103" si="13">C73</f>
        <v>2</v>
      </c>
      <c r="D74" s="545">
        <f t="shared" si="9"/>
        <v>24</v>
      </c>
      <c r="E74" s="615">
        <f t="shared" si="12"/>
        <v>1000</v>
      </c>
      <c r="F74" s="616">
        <f t="shared" si="10"/>
        <v>24000</v>
      </c>
    </row>
    <row r="75" spans="2:6" ht="14.25" x14ac:dyDescent="0.25">
      <c r="B75" s="406">
        <f t="shared" si="11"/>
        <v>72</v>
      </c>
      <c r="C75" s="545">
        <f t="shared" si="13"/>
        <v>2</v>
      </c>
      <c r="D75" s="545">
        <f t="shared" si="9"/>
        <v>24</v>
      </c>
      <c r="E75" s="615">
        <f t="shared" si="12"/>
        <v>1000</v>
      </c>
      <c r="F75" s="616">
        <f t="shared" si="10"/>
        <v>24000</v>
      </c>
    </row>
    <row r="76" spans="2:6" ht="14.25" x14ac:dyDescent="0.25">
      <c r="B76" s="406">
        <f t="shared" si="11"/>
        <v>73</v>
      </c>
      <c r="C76" s="545">
        <f t="shared" si="13"/>
        <v>2</v>
      </c>
      <c r="D76" s="545">
        <f t="shared" si="9"/>
        <v>24</v>
      </c>
      <c r="E76" s="615">
        <f t="shared" si="12"/>
        <v>1000</v>
      </c>
      <c r="F76" s="616">
        <f t="shared" si="10"/>
        <v>24000</v>
      </c>
    </row>
    <row r="77" spans="2:6" ht="14.25" x14ac:dyDescent="0.25">
      <c r="B77" s="406">
        <f t="shared" si="11"/>
        <v>74</v>
      </c>
      <c r="C77" s="545">
        <f t="shared" si="13"/>
        <v>2</v>
      </c>
      <c r="D77" s="545">
        <f t="shared" si="9"/>
        <v>24</v>
      </c>
      <c r="E77" s="615">
        <f t="shared" si="12"/>
        <v>1000</v>
      </c>
      <c r="F77" s="616">
        <f t="shared" si="10"/>
        <v>24000</v>
      </c>
    </row>
    <row r="78" spans="2:6" ht="14.25" x14ac:dyDescent="0.25">
      <c r="B78" s="406">
        <f t="shared" si="11"/>
        <v>75</v>
      </c>
      <c r="C78" s="545">
        <f t="shared" si="13"/>
        <v>2</v>
      </c>
      <c r="D78" s="545">
        <f t="shared" si="9"/>
        <v>24</v>
      </c>
      <c r="E78" s="615">
        <f t="shared" si="12"/>
        <v>1000</v>
      </c>
      <c r="F78" s="616">
        <f t="shared" si="10"/>
        <v>24000</v>
      </c>
    </row>
    <row r="79" spans="2:6" ht="14.25" x14ac:dyDescent="0.25">
      <c r="B79" s="406">
        <f t="shared" si="11"/>
        <v>76</v>
      </c>
      <c r="C79" s="545">
        <f t="shared" si="13"/>
        <v>2</v>
      </c>
      <c r="D79" s="545">
        <f t="shared" si="9"/>
        <v>24</v>
      </c>
      <c r="E79" s="615">
        <f t="shared" si="12"/>
        <v>1000</v>
      </c>
      <c r="F79" s="616">
        <f t="shared" si="10"/>
        <v>24000</v>
      </c>
    </row>
    <row r="80" spans="2:6" ht="14.25" x14ac:dyDescent="0.25">
      <c r="B80" s="406">
        <f t="shared" si="11"/>
        <v>77</v>
      </c>
      <c r="C80" s="545">
        <f t="shared" si="13"/>
        <v>2</v>
      </c>
      <c r="D80" s="545">
        <f t="shared" si="9"/>
        <v>24</v>
      </c>
      <c r="E80" s="615">
        <f t="shared" si="12"/>
        <v>1000</v>
      </c>
      <c r="F80" s="616">
        <f t="shared" si="10"/>
        <v>24000</v>
      </c>
    </row>
    <row r="81" spans="2:6" ht="14.25" x14ac:dyDescent="0.25">
      <c r="B81" s="406">
        <f t="shared" si="11"/>
        <v>78</v>
      </c>
      <c r="C81" s="545">
        <f t="shared" si="13"/>
        <v>2</v>
      </c>
      <c r="D81" s="545">
        <f t="shared" si="9"/>
        <v>24</v>
      </c>
      <c r="E81" s="615">
        <f t="shared" si="12"/>
        <v>1000</v>
      </c>
      <c r="F81" s="616">
        <f t="shared" si="10"/>
        <v>24000</v>
      </c>
    </row>
    <row r="82" spans="2:6" ht="14.25" x14ac:dyDescent="0.25">
      <c r="B82" s="406">
        <f t="shared" si="11"/>
        <v>79</v>
      </c>
      <c r="C82" s="545">
        <f t="shared" si="13"/>
        <v>2</v>
      </c>
      <c r="D82" s="545">
        <f t="shared" si="9"/>
        <v>24</v>
      </c>
      <c r="E82" s="615">
        <f t="shared" si="12"/>
        <v>1000</v>
      </c>
      <c r="F82" s="616">
        <f t="shared" si="10"/>
        <v>24000</v>
      </c>
    </row>
    <row r="83" spans="2:6" ht="14.25" x14ac:dyDescent="0.25">
      <c r="B83" s="406">
        <f t="shared" si="11"/>
        <v>80</v>
      </c>
      <c r="C83" s="545">
        <f t="shared" si="13"/>
        <v>2</v>
      </c>
      <c r="D83" s="545">
        <f t="shared" si="9"/>
        <v>24</v>
      </c>
      <c r="E83" s="615">
        <f t="shared" si="12"/>
        <v>1000</v>
      </c>
      <c r="F83" s="616">
        <f t="shared" si="10"/>
        <v>24000</v>
      </c>
    </row>
    <row r="84" spans="2:6" ht="14.25" x14ac:dyDescent="0.25">
      <c r="B84" s="406">
        <f t="shared" si="11"/>
        <v>81</v>
      </c>
      <c r="C84" s="545">
        <f t="shared" si="13"/>
        <v>2</v>
      </c>
      <c r="D84" s="545">
        <f t="shared" si="9"/>
        <v>24</v>
      </c>
      <c r="E84" s="615">
        <f t="shared" si="12"/>
        <v>1000</v>
      </c>
      <c r="F84" s="616">
        <f t="shared" si="10"/>
        <v>24000</v>
      </c>
    </row>
    <row r="85" spans="2:6" ht="14.25" x14ac:dyDescent="0.25">
      <c r="B85" s="406">
        <f t="shared" si="11"/>
        <v>82</v>
      </c>
      <c r="C85" s="545">
        <f t="shared" si="13"/>
        <v>2</v>
      </c>
      <c r="D85" s="545">
        <f t="shared" si="9"/>
        <v>24</v>
      </c>
      <c r="E85" s="615">
        <f t="shared" si="12"/>
        <v>1000</v>
      </c>
      <c r="F85" s="616">
        <f t="shared" si="10"/>
        <v>24000</v>
      </c>
    </row>
    <row r="86" spans="2:6" ht="14.25" x14ac:dyDescent="0.25">
      <c r="B86" s="406">
        <f t="shared" si="11"/>
        <v>83</v>
      </c>
      <c r="C86" s="545">
        <f t="shared" si="13"/>
        <v>2</v>
      </c>
      <c r="D86" s="545">
        <f t="shared" si="9"/>
        <v>24</v>
      </c>
      <c r="E86" s="615">
        <f t="shared" si="12"/>
        <v>1000</v>
      </c>
      <c r="F86" s="616">
        <f t="shared" si="10"/>
        <v>24000</v>
      </c>
    </row>
    <row r="87" spans="2:6" ht="14.25" x14ac:dyDescent="0.25">
      <c r="B87" s="406">
        <f t="shared" si="11"/>
        <v>84</v>
      </c>
      <c r="C87" s="545">
        <f t="shared" si="13"/>
        <v>2</v>
      </c>
      <c r="D87" s="545">
        <f t="shared" si="9"/>
        <v>24</v>
      </c>
      <c r="E87" s="615">
        <f t="shared" si="12"/>
        <v>1000</v>
      </c>
      <c r="F87" s="616">
        <f t="shared" si="10"/>
        <v>24000</v>
      </c>
    </row>
    <row r="88" spans="2:6" ht="14.25" x14ac:dyDescent="0.25">
      <c r="B88" s="406">
        <f t="shared" si="11"/>
        <v>85</v>
      </c>
      <c r="C88" s="545">
        <f t="shared" si="13"/>
        <v>2</v>
      </c>
      <c r="D88" s="545">
        <f t="shared" si="9"/>
        <v>24</v>
      </c>
      <c r="E88" s="615">
        <f t="shared" si="12"/>
        <v>1000</v>
      </c>
      <c r="F88" s="616">
        <f t="shared" si="10"/>
        <v>24000</v>
      </c>
    </row>
    <row r="89" spans="2:6" ht="14.25" x14ac:dyDescent="0.25">
      <c r="B89" s="406">
        <f t="shared" si="11"/>
        <v>86</v>
      </c>
      <c r="C89" s="545">
        <f t="shared" si="13"/>
        <v>2</v>
      </c>
      <c r="D89" s="545">
        <f t="shared" si="9"/>
        <v>24</v>
      </c>
      <c r="E89" s="615">
        <f t="shared" si="12"/>
        <v>1000</v>
      </c>
      <c r="F89" s="616">
        <f t="shared" si="10"/>
        <v>24000</v>
      </c>
    </row>
    <row r="90" spans="2:6" ht="14.25" x14ac:dyDescent="0.25">
      <c r="B90" s="406">
        <f t="shared" si="11"/>
        <v>87</v>
      </c>
      <c r="C90" s="545">
        <f t="shared" si="13"/>
        <v>2</v>
      </c>
      <c r="D90" s="545">
        <f t="shared" si="9"/>
        <v>24</v>
      </c>
      <c r="E90" s="615">
        <f t="shared" si="12"/>
        <v>1000</v>
      </c>
      <c r="F90" s="616">
        <f t="shared" si="10"/>
        <v>24000</v>
      </c>
    </row>
    <row r="91" spans="2:6" ht="14.25" x14ac:dyDescent="0.25">
      <c r="B91" s="406">
        <f t="shared" si="11"/>
        <v>88</v>
      </c>
      <c r="C91" s="545">
        <f t="shared" si="13"/>
        <v>2</v>
      </c>
      <c r="D91" s="545">
        <f t="shared" si="9"/>
        <v>24</v>
      </c>
      <c r="E91" s="615">
        <f t="shared" si="12"/>
        <v>1000</v>
      </c>
      <c r="F91" s="616">
        <f t="shared" si="10"/>
        <v>24000</v>
      </c>
    </row>
    <row r="92" spans="2:6" ht="14.25" x14ac:dyDescent="0.25">
      <c r="B92" s="406">
        <f t="shared" si="11"/>
        <v>89</v>
      </c>
      <c r="C92" s="545">
        <f t="shared" si="13"/>
        <v>2</v>
      </c>
      <c r="D92" s="545">
        <f t="shared" si="9"/>
        <v>24</v>
      </c>
      <c r="E92" s="615">
        <f t="shared" si="12"/>
        <v>1000</v>
      </c>
      <c r="F92" s="616">
        <f t="shared" si="10"/>
        <v>24000</v>
      </c>
    </row>
    <row r="93" spans="2:6" ht="14.25" x14ac:dyDescent="0.25">
      <c r="B93" s="406">
        <f t="shared" si="11"/>
        <v>90</v>
      </c>
      <c r="C93" s="545">
        <f t="shared" si="13"/>
        <v>2</v>
      </c>
      <c r="D93" s="545">
        <f t="shared" si="9"/>
        <v>24</v>
      </c>
      <c r="E93" s="615">
        <f t="shared" si="12"/>
        <v>1000</v>
      </c>
      <c r="F93" s="616">
        <f t="shared" si="10"/>
        <v>24000</v>
      </c>
    </row>
    <row r="94" spans="2:6" ht="14.25" x14ac:dyDescent="0.25">
      <c r="B94" s="406">
        <f t="shared" si="11"/>
        <v>91</v>
      </c>
      <c r="C94" s="545">
        <f t="shared" si="13"/>
        <v>2</v>
      </c>
      <c r="D94" s="545">
        <f t="shared" si="9"/>
        <v>24</v>
      </c>
      <c r="E94" s="615">
        <f t="shared" si="12"/>
        <v>1000</v>
      </c>
      <c r="F94" s="616">
        <f t="shared" si="10"/>
        <v>24000</v>
      </c>
    </row>
    <row r="95" spans="2:6" ht="14.25" x14ac:dyDescent="0.25">
      <c r="B95" s="406">
        <f t="shared" si="11"/>
        <v>92</v>
      </c>
      <c r="C95" s="545">
        <f t="shared" si="13"/>
        <v>2</v>
      </c>
      <c r="D95" s="545">
        <f t="shared" si="9"/>
        <v>24</v>
      </c>
      <c r="E95" s="615">
        <f t="shared" si="12"/>
        <v>1000</v>
      </c>
      <c r="F95" s="616">
        <f t="shared" si="10"/>
        <v>24000</v>
      </c>
    </row>
    <row r="96" spans="2:6" ht="14.25" x14ac:dyDescent="0.25">
      <c r="B96" s="406">
        <f t="shared" si="11"/>
        <v>93</v>
      </c>
      <c r="C96" s="545">
        <f t="shared" si="13"/>
        <v>2</v>
      </c>
      <c r="D96" s="545">
        <f t="shared" si="9"/>
        <v>24</v>
      </c>
      <c r="E96" s="615">
        <f t="shared" si="12"/>
        <v>1000</v>
      </c>
      <c r="F96" s="616">
        <f t="shared" si="10"/>
        <v>24000</v>
      </c>
    </row>
    <row r="97" spans="2:6" ht="14.25" x14ac:dyDescent="0.25">
      <c r="B97" s="406">
        <f t="shared" si="11"/>
        <v>94</v>
      </c>
      <c r="C97" s="545">
        <f t="shared" si="13"/>
        <v>2</v>
      </c>
      <c r="D97" s="545">
        <f t="shared" si="9"/>
        <v>24</v>
      </c>
      <c r="E97" s="615">
        <f t="shared" si="12"/>
        <v>1000</v>
      </c>
      <c r="F97" s="616">
        <f t="shared" si="10"/>
        <v>24000</v>
      </c>
    </row>
    <row r="98" spans="2:6" ht="14.25" x14ac:dyDescent="0.25">
      <c r="B98" s="406">
        <f t="shared" si="11"/>
        <v>95</v>
      </c>
      <c r="C98" s="545">
        <f t="shared" si="13"/>
        <v>2</v>
      </c>
      <c r="D98" s="545">
        <f t="shared" si="9"/>
        <v>24</v>
      </c>
      <c r="E98" s="615">
        <f t="shared" si="12"/>
        <v>1000</v>
      </c>
      <c r="F98" s="616">
        <f t="shared" si="10"/>
        <v>24000</v>
      </c>
    </row>
    <row r="99" spans="2:6" ht="14.25" x14ac:dyDescent="0.25">
      <c r="B99" s="406">
        <f t="shared" si="11"/>
        <v>96</v>
      </c>
      <c r="C99" s="545">
        <f t="shared" si="13"/>
        <v>2</v>
      </c>
      <c r="D99" s="545">
        <f t="shared" si="9"/>
        <v>24</v>
      </c>
      <c r="E99" s="615">
        <f t="shared" si="12"/>
        <v>1000</v>
      </c>
      <c r="F99" s="616">
        <f t="shared" si="10"/>
        <v>24000</v>
      </c>
    </row>
    <row r="100" spans="2:6" ht="14.25" x14ac:dyDescent="0.25">
      <c r="B100" s="406">
        <f t="shared" si="11"/>
        <v>97</v>
      </c>
      <c r="C100" s="545">
        <f t="shared" si="13"/>
        <v>2</v>
      </c>
      <c r="D100" s="545">
        <f t="shared" ref="D100:D103" si="14">(C100*12)</f>
        <v>24</v>
      </c>
      <c r="E100" s="615">
        <f t="shared" si="12"/>
        <v>1000</v>
      </c>
      <c r="F100" s="616">
        <f t="shared" ref="F100:F103" si="15">D100*E100</f>
        <v>24000</v>
      </c>
    </row>
    <row r="101" spans="2:6" ht="14.25" x14ac:dyDescent="0.25">
      <c r="B101" s="406">
        <f t="shared" si="11"/>
        <v>98</v>
      </c>
      <c r="C101" s="545">
        <f t="shared" si="13"/>
        <v>2</v>
      </c>
      <c r="D101" s="545">
        <f t="shared" si="14"/>
        <v>24</v>
      </c>
      <c r="E101" s="615">
        <f t="shared" si="12"/>
        <v>1000</v>
      </c>
      <c r="F101" s="616">
        <f t="shared" si="15"/>
        <v>24000</v>
      </c>
    </row>
    <row r="102" spans="2:6" ht="14.25" x14ac:dyDescent="0.25">
      <c r="B102" s="406">
        <f t="shared" si="11"/>
        <v>99</v>
      </c>
      <c r="C102" s="545">
        <f t="shared" si="13"/>
        <v>2</v>
      </c>
      <c r="D102" s="545">
        <f t="shared" si="14"/>
        <v>24</v>
      </c>
      <c r="E102" s="615">
        <f t="shared" si="12"/>
        <v>1000</v>
      </c>
      <c r="F102" s="616">
        <f t="shared" si="15"/>
        <v>24000</v>
      </c>
    </row>
    <row r="103" spans="2:6" ht="15" thickBot="1" x14ac:dyDescent="0.3">
      <c r="B103" s="525">
        <f t="shared" si="11"/>
        <v>100</v>
      </c>
      <c r="C103" s="608">
        <f t="shared" si="13"/>
        <v>2</v>
      </c>
      <c r="D103" s="608">
        <f t="shared" si="14"/>
        <v>24</v>
      </c>
      <c r="E103" s="617">
        <f t="shared" si="12"/>
        <v>1000</v>
      </c>
      <c r="F103" s="618">
        <f t="shared" si="15"/>
        <v>24000</v>
      </c>
    </row>
    <row r="104" spans="2:6" ht="13.5" thickTop="1" x14ac:dyDescent="0.2">
      <c r="B104" s="18"/>
    </row>
    <row r="109" spans="2:6" x14ac:dyDescent="0.2">
      <c r="B109" s="37"/>
    </row>
    <row r="110" spans="2:6" x14ac:dyDescent="0.2">
      <c r="B110" s="37"/>
    </row>
    <row r="111" spans="2:6" x14ac:dyDescent="0.2">
      <c r="B111" s="37"/>
    </row>
    <row r="112" spans="2:6" x14ac:dyDescent="0.2">
      <c r="B112" s="37"/>
    </row>
    <row r="113" spans="2:2" x14ac:dyDescent="0.2">
      <c r="B113" s="37"/>
    </row>
    <row r="114" spans="2:2" x14ac:dyDescent="0.2">
      <c r="B114" s="37"/>
    </row>
    <row r="115" spans="2:2" x14ac:dyDescent="0.2">
      <c r="B115" s="37"/>
    </row>
    <row r="116" spans="2:2" x14ac:dyDescent="0.2">
      <c r="B116" s="37"/>
    </row>
    <row r="117" spans="2:2" x14ac:dyDescent="0.2">
      <c r="B117" s="37"/>
    </row>
    <row r="118" spans="2:2" x14ac:dyDescent="0.2">
      <c r="B118" s="37"/>
    </row>
    <row r="119" spans="2:2" x14ac:dyDescent="0.2">
      <c r="B119" s="37"/>
    </row>
    <row r="120" spans="2:2" x14ac:dyDescent="0.2">
      <c r="B120" s="37"/>
    </row>
    <row r="121" spans="2:2" x14ac:dyDescent="0.2">
      <c r="B121" s="37"/>
    </row>
    <row r="122" spans="2:2" x14ac:dyDescent="0.2">
      <c r="B122" s="37"/>
    </row>
    <row r="123" spans="2:2" x14ac:dyDescent="0.2">
      <c r="B123" s="37"/>
    </row>
    <row r="124" spans="2:2" x14ac:dyDescent="0.2">
      <c r="B124" s="37"/>
    </row>
    <row r="125" spans="2:2" x14ac:dyDescent="0.2">
      <c r="B125" s="37"/>
    </row>
    <row r="126" spans="2:2" x14ac:dyDescent="0.2">
      <c r="B126" s="37"/>
    </row>
    <row r="127" spans="2:2" x14ac:dyDescent="0.2">
      <c r="B127" s="37"/>
    </row>
    <row r="128" spans="2:2" x14ac:dyDescent="0.2">
      <c r="B128" s="37"/>
    </row>
    <row r="129" spans="2:2" x14ac:dyDescent="0.2">
      <c r="B129" s="37"/>
    </row>
    <row r="130" spans="2:2" x14ac:dyDescent="0.2">
      <c r="B130" s="37"/>
    </row>
    <row r="131" spans="2:2" x14ac:dyDescent="0.2">
      <c r="B131" s="37"/>
    </row>
    <row r="132" spans="2:2" x14ac:dyDescent="0.2">
      <c r="B132" s="37"/>
    </row>
    <row r="133" spans="2:2" x14ac:dyDescent="0.2">
      <c r="B133" s="37"/>
    </row>
    <row r="134" spans="2:2" x14ac:dyDescent="0.2">
      <c r="B134" s="37"/>
    </row>
    <row r="135" spans="2:2" x14ac:dyDescent="0.2">
      <c r="B135" s="37"/>
    </row>
    <row r="136" spans="2:2" x14ac:dyDescent="0.2">
      <c r="B136" s="37"/>
    </row>
    <row r="137" spans="2:2" x14ac:dyDescent="0.2">
      <c r="B137" s="37"/>
    </row>
    <row r="138" spans="2:2" x14ac:dyDescent="0.2">
      <c r="B138" s="37"/>
    </row>
    <row r="139" spans="2:2" x14ac:dyDescent="0.2">
      <c r="B139" s="37"/>
    </row>
    <row r="140" spans="2:2" x14ac:dyDescent="0.2">
      <c r="B140" s="37"/>
    </row>
    <row r="141" spans="2:2" x14ac:dyDescent="0.2">
      <c r="B141" s="37"/>
    </row>
    <row r="142" spans="2:2" x14ac:dyDescent="0.2">
      <c r="B142" s="37"/>
    </row>
    <row r="143" spans="2:2" x14ac:dyDescent="0.2">
      <c r="B143" s="37"/>
    </row>
    <row r="144" spans="2:2" x14ac:dyDescent="0.2">
      <c r="B144" s="37"/>
    </row>
    <row r="145" spans="2:2" x14ac:dyDescent="0.2">
      <c r="B145" s="37"/>
    </row>
    <row r="146" spans="2:2" x14ac:dyDescent="0.2">
      <c r="B146" s="37"/>
    </row>
    <row r="147" spans="2:2" x14ac:dyDescent="0.2">
      <c r="B147" s="37"/>
    </row>
    <row r="148" spans="2:2" x14ac:dyDescent="0.2">
      <c r="B148" s="37"/>
    </row>
    <row r="149" spans="2:2" x14ac:dyDescent="0.2">
      <c r="B149" s="37"/>
    </row>
    <row r="150" spans="2:2" x14ac:dyDescent="0.2">
      <c r="B150" s="37"/>
    </row>
    <row r="151" spans="2:2" x14ac:dyDescent="0.2">
      <c r="B151" s="37"/>
    </row>
    <row r="152" spans="2:2" x14ac:dyDescent="0.2">
      <c r="B152" s="37"/>
    </row>
    <row r="153" spans="2:2" x14ac:dyDescent="0.2">
      <c r="B153" s="37"/>
    </row>
    <row r="154" spans="2:2" x14ac:dyDescent="0.2">
      <c r="B154" s="37"/>
    </row>
    <row r="155" spans="2:2" x14ac:dyDescent="0.2">
      <c r="B155" s="37"/>
    </row>
    <row r="156" spans="2:2" x14ac:dyDescent="0.2">
      <c r="B156" s="37"/>
    </row>
    <row r="157" spans="2:2" x14ac:dyDescent="0.2">
      <c r="B157" s="37"/>
    </row>
    <row r="158" spans="2:2" x14ac:dyDescent="0.2">
      <c r="B158" s="37"/>
    </row>
    <row r="159" spans="2:2" x14ac:dyDescent="0.2">
      <c r="B159" s="37"/>
    </row>
    <row r="160" spans="2:2" x14ac:dyDescent="0.2">
      <c r="B160" s="37"/>
    </row>
    <row r="161" spans="2:2" x14ac:dyDescent="0.2">
      <c r="B161" s="37"/>
    </row>
    <row r="162" spans="2:2" x14ac:dyDescent="0.2">
      <c r="B162" s="37"/>
    </row>
    <row r="163" spans="2:2" x14ac:dyDescent="0.2">
      <c r="B163" s="37"/>
    </row>
    <row r="164" spans="2:2" x14ac:dyDescent="0.2">
      <c r="B164" s="37"/>
    </row>
    <row r="165" spans="2:2" x14ac:dyDescent="0.2">
      <c r="B165" s="37"/>
    </row>
    <row r="166" spans="2:2" x14ac:dyDescent="0.2">
      <c r="B166" s="37"/>
    </row>
    <row r="167" spans="2:2" x14ac:dyDescent="0.2">
      <c r="B167" s="37"/>
    </row>
    <row r="168" spans="2:2" x14ac:dyDescent="0.2">
      <c r="B168" s="37"/>
    </row>
    <row r="169" spans="2:2" x14ac:dyDescent="0.2">
      <c r="B169" s="37"/>
    </row>
    <row r="170" spans="2:2" x14ac:dyDescent="0.2">
      <c r="B170" s="37"/>
    </row>
    <row r="171" spans="2:2" x14ac:dyDescent="0.2">
      <c r="B171" s="37"/>
    </row>
    <row r="172" spans="2:2" x14ac:dyDescent="0.2">
      <c r="B172" s="37"/>
    </row>
    <row r="173" spans="2:2" x14ac:dyDescent="0.2">
      <c r="B173" s="37"/>
    </row>
    <row r="174" spans="2:2" x14ac:dyDescent="0.2">
      <c r="B174" s="37"/>
    </row>
    <row r="175" spans="2:2" x14ac:dyDescent="0.2">
      <c r="B175" s="37"/>
    </row>
    <row r="176" spans="2:2" x14ac:dyDescent="0.2">
      <c r="B176" s="37"/>
    </row>
    <row r="177" spans="2:2" x14ac:dyDescent="0.2">
      <c r="B177" s="37"/>
    </row>
    <row r="178" spans="2:2" x14ac:dyDescent="0.2">
      <c r="B178" s="37"/>
    </row>
    <row r="179" spans="2:2" x14ac:dyDescent="0.2">
      <c r="B179" s="37"/>
    </row>
    <row r="180" spans="2:2" x14ac:dyDescent="0.2">
      <c r="B180" s="37"/>
    </row>
    <row r="181" spans="2:2" x14ac:dyDescent="0.2">
      <c r="B181" s="37"/>
    </row>
    <row r="182" spans="2:2" x14ac:dyDescent="0.2">
      <c r="B182" s="37"/>
    </row>
    <row r="183" spans="2:2" x14ac:dyDescent="0.2">
      <c r="B183" s="37"/>
    </row>
    <row r="184" spans="2:2" x14ac:dyDescent="0.2">
      <c r="B184" s="37"/>
    </row>
    <row r="185" spans="2:2" x14ac:dyDescent="0.2">
      <c r="B185" s="37"/>
    </row>
    <row r="186" spans="2:2" x14ac:dyDescent="0.2">
      <c r="B186" s="37"/>
    </row>
    <row r="187" spans="2:2" x14ac:dyDescent="0.2">
      <c r="B187" s="37"/>
    </row>
    <row r="188" spans="2:2" x14ac:dyDescent="0.2">
      <c r="B188" s="37"/>
    </row>
    <row r="189" spans="2:2" x14ac:dyDescent="0.2">
      <c r="B189" s="37"/>
    </row>
    <row r="190" spans="2:2" x14ac:dyDescent="0.2">
      <c r="B190" s="37"/>
    </row>
    <row r="191" spans="2:2" x14ac:dyDescent="0.2">
      <c r="B191" s="37"/>
    </row>
    <row r="192" spans="2:2" x14ac:dyDescent="0.2">
      <c r="B192" s="37"/>
    </row>
    <row r="193" spans="2:2" x14ac:dyDescent="0.2">
      <c r="B193" s="37"/>
    </row>
    <row r="194" spans="2:2" x14ac:dyDescent="0.2">
      <c r="B194" s="37"/>
    </row>
    <row r="195" spans="2:2" x14ac:dyDescent="0.2">
      <c r="B195" s="37"/>
    </row>
    <row r="196" spans="2:2" x14ac:dyDescent="0.2">
      <c r="B196" s="37"/>
    </row>
    <row r="197" spans="2:2" x14ac:dyDescent="0.2">
      <c r="B197" s="37"/>
    </row>
    <row r="198" spans="2:2" x14ac:dyDescent="0.2">
      <c r="B198" s="37"/>
    </row>
    <row r="199" spans="2:2" x14ac:dyDescent="0.2">
      <c r="B199" s="37"/>
    </row>
    <row r="200" spans="2:2" x14ac:dyDescent="0.2">
      <c r="B200" s="37"/>
    </row>
    <row r="201" spans="2:2" x14ac:dyDescent="0.2">
      <c r="B201" s="37"/>
    </row>
    <row r="202" spans="2:2" x14ac:dyDescent="0.2">
      <c r="B202" s="37"/>
    </row>
    <row r="203" spans="2:2" x14ac:dyDescent="0.2">
      <c r="B203" s="37"/>
    </row>
    <row r="204" spans="2:2" x14ac:dyDescent="0.2">
      <c r="B204" s="37"/>
    </row>
    <row r="205" spans="2:2" x14ac:dyDescent="0.2">
      <c r="B205" s="37"/>
    </row>
    <row r="206" spans="2:2" x14ac:dyDescent="0.2">
      <c r="B206" s="37"/>
    </row>
    <row r="207" spans="2:2" x14ac:dyDescent="0.2">
      <c r="B207" s="37"/>
    </row>
    <row r="208" spans="2:2" x14ac:dyDescent="0.2">
      <c r="B208" s="37"/>
    </row>
    <row r="209" spans="2:2" x14ac:dyDescent="0.2">
      <c r="B209" s="37"/>
    </row>
    <row r="210" spans="2:2" x14ac:dyDescent="0.2">
      <c r="B210" s="37"/>
    </row>
    <row r="211" spans="2:2" x14ac:dyDescent="0.2">
      <c r="B211" s="37"/>
    </row>
    <row r="212" spans="2:2" x14ac:dyDescent="0.2">
      <c r="B212" s="37"/>
    </row>
    <row r="213" spans="2:2" x14ac:dyDescent="0.2">
      <c r="B213" s="37"/>
    </row>
    <row r="214" spans="2:2" x14ac:dyDescent="0.2">
      <c r="B214" s="37"/>
    </row>
    <row r="215" spans="2:2" x14ac:dyDescent="0.2">
      <c r="B215" s="37"/>
    </row>
    <row r="216" spans="2:2" x14ac:dyDescent="0.2">
      <c r="B216" s="37"/>
    </row>
    <row r="217" spans="2:2" x14ac:dyDescent="0.2">
      <c r="B217" s="37"/>
    </row>
    <row r="218" spans="2:2" x14ac:dyDescent="0.2">
      <c r="B218" s="37"/>
    </row>
    <row r="219" spans="2:2" x14ac:dyDescent="0.2">
      <c r="B219" s="37"/>
    </row>
    <row r="220" spans="2:2" x14ac:dyDescent="0.2">
      <c r="B220" s="37"/>
    </row>
    <row r="221" spans="2:2" x14ac:dyDescent="0.2">
      <c r="B221" s="37"/>
    </row>
    <row r="222" spans="2:2" x14ac:dyDescent="0.2">
      <c r="B222" s="37"/>
    </row>
    <row r="223" spans="2:2" x14ac:dyDescent="0.2">
      <c r="B223" s="37"/>
    </row>
    <row r="224" spans="2:2" x14ac:dyDescent="0.2">
      <c r="B224" s="37"/>
    </row>
    <row r="225" spans="2:2" x14ac:dyDescent="0.2">
      <c r="B225" s="37"/>
    </row>
    <row r="226" spans="2:2" x14ac:dyDescent="0.2">
      <c r="B226" s="37"/>
    </row>
    <row r="227" spans="2:2" x14ac:dyDescent="0.2">
      <c r="B227" s="37"/>
    </row>
    <row r="228" spans="2:2" x14ac:dyDescent="0.2">
      <c r="B228" s="37"/>
    </row>
    <row r="229" spans="2:2" x14ac:dyDescent="0.2">
      <c r="B229" s="37"/>
    </row>
    <row r="230" spans="2:2" x14ac:dyDescent="0.2">
      <c r="B230" s="37"/>
    </row>
    <row r="231" spans="2:2" x14ac:dyDescent="0.2">
      <c r="B231" s="37"/>
    </row>
    <row r="232" spans="2:2" x14ac:dyDescent="0.2">
      <c r="B232" s="37"/>
    </row>
    <row r="233" spans="2:2" x14ac:dyDescent="0.2">
      <c r="B233" s="37"/>
    </row>
    <row r="234" spans="2:2" x14ac:dyDescent="0.2">
      <c r="B234" s="37"/>
    </row>
    <row r="235" spans="2:2" x14ac:dyDescent="0.2">
      <c r="B235" s="37"/>
    </row>
    <row r="236" spans="2:2" x14ac:dyDescent="0.2">
      <c r="B236" s="37"/>
    </row>
    <row r="237" spans="2:2" x14ac:dyDescent="0.2">
      <c r="B237" s="37"/>
    </row>
    <row r="238" spans="2:2" x14ac:dyDescent="0.2">
      <c r="B238" s="37"/>
    </row>
    <row r="239" spans="2:2" x14ac:dyDescent="0.2">
      <c r="B239" s="37"/>
    </row>
    <row r="240" spans="2:2" x14ac:dyDescent="0.2">
      <c r="B240" s="37"/>
    </row>
    <row r="241" spans="2:2" x14ac:dyDescent="0.2">
      <c r="B241" s="37"/>
    </row>
    <row r="242" spans="2:2" x14ac:dyDescent="0.2">
      <c r="B242" s="37"/>
    </row>
    <row r="243" spans="2:2" x14ac:dyDescent="0.2">
      <c r="B243" s="37"/>
    </row>
    <row r="244" spans="2:2" x14ac:dyDescent="0.2">
      <c r="B244" s="37"/>
    </row>
    <row r="245" spans="2:2" x14ac:dyDescent="0.2">
      <c r="B245" s="37"/>
    </row>
    <row r="246" spans="2:2" x14ac:dyDescent="0.2">
      <c r="B246" s="37"/>
    </row>
    <row r="247" spans="2:2" x14ac:dyDescent="0.2">
      <c r="B247" s="37"/>
    </row>
    <row r="248" spans="2:2" x14ac:dyDescent="0.2">
      <c r="B248" s="37"/>
    </row>
    <row r="249" spans="2:2" x14ac:dyDescent="0.2">
      <c r="B249" s="37"/>
    </row>
    <row r="250" spans="2:2" x14ac:dyDescent="0.2">
      <c r="B250" s="37"/>
    </row>
    <row r="251" spans="2:2" x14ac:dyDescent="0.2">
      <c r="B251" s="37"/>
    </row>
    <row r="252" spans="2:2" x14ac:dyDescent="0.2">
      <c r="B252" s="37"/>
    </row>
    <row r="253" spans="2:2" x14ac:dyDescent="0.2">
      <c r="B253" s="37"/>
    </row>
    <row r="254" spans="2:2" x14ac:dyDescent="0.2">
      <c r="B254" s="37"/>
    </row>
    <row r="255" spans="2:2" x14ac:dyDescent="0.2">
      <c r="B255" s="37"/>
    </row>
    <row r="256" spans="2:2" x14ac:dyDescent="0.2">
      <c r="B256" s="37"/>
    </row>
    <row r="257" spans="2:2" x14ac:dyDescent="0.2">
      <c r="B257" s="37"/>
    </row>
    <row r="258" spans="2:2" x14ac:dyDescent="0.2">
      <c r="B258" s="37"/>
    </row>
    <row r="259" spans="2:2" x14ac:dyDescent="0.2">
      <c r="B259" s="37"/>
    </row>
    <row r="260" spans="2:2" x14ac:dyDescent="0.2">
      <c r="B260" s="37"/>
    </row>
    <row r="261" spans="2:2" x14ac:dyDescent="0.2">
      <c r="B261" s="37"/>
    </row>
    <row r="262" spans="2:2" x14ac:dyDescent="0.2">
      <c r="B262" s="37"/>
    </row>
    <row r="263" spans="2:2" x14ac:dyDescent="0.2">
      <c r="B263" s="37"/>
    </row>
    <row r="264" spans="2:2" x14ac:dyDescent="0.2">
      <c r="B264" s="37"/>
    </row>
    <row r="265" spans="2:2" x14ac:dyDescent="0.2">
      <c r="B265" s="37"/>
    </row>
    <row r="266" spans="2:2" x14ac:dyDescent="0.2">
      <c r="B266" s="37"/>
    </row>
    <row r="267" spans="2:2" x14ac:dyDescent="0.2">
      <c r="B267" s="37"/>
    </row>
    <row r="268" spans="2:2" x14ac:dyDescent="0.2">
      <c r="B268" s="37"/>
    </row>
    <row r="269" spans="2:2" x14ac:dyDescent="0.2">
      <c r="B269" s="37"/>
    </row>
    <row r="270" spans="2:2" x14ac:dyDescent="0.2">
      <c r="B270" s="37"/>
    </row>
    <row r="271" spans="2:2" x14ac:dyDescent="0.2">
      <c r="B271" s="37"/>
    </row>
    <row r="272" spans="2:2" x14ac:dyDescent="0.2">
      <c r="B272" s="37"/>
    </row>
    <row r="273" spans="2:2" x14ac:dyDescent="0.2">
      <c r="B273" s="37"/>
    </row>
    <row r="274" spans="2:2" x14ac:dyDescent="0.2">
      <c r="B274" s="37"/>
    </row>
    <row r="275" spans="2:2" x14ac:dyDescent="0.2">
      <c r="B275" s="37"/>
    </row>
    <row r="276" spans="2:2" x14ac:dyDescent="0.2">
      <c r="B276" s="37"/>
    </row>
    <row r="277" spans="2:2" x14ac:dyDescent="0.2">
      <c r="B277" s="37"/>
    </row>
    <row r="278" spans="2:2" x14ac:dyDescent="0.2">
      <c r="B278" s="37"/>
    </row>
    <row r="279" spans="2:2" x14ac:dyDescent="0.2">
      <c r="B279" s="37"/>
    </row>
    <row r="280" spans="2:2" x14ac:dyDescent="0.2">
      <c r="B280" s="37"/>
    </row>
    <row r="281" spans="2:2" x14ac:dyDescent="0.2">
      <c r="B281" s="37"/>
    </row>
    <row r="282" spans="2:2" x14ac:dyDescent="0.2">
      <c r="B282" s="37"/>
    </row>
    <row r="283" spans="2:2" x14ac:dyDescent="0.2">
      <c r="B283" s="37"/>
    </row>
    <row r="284" spans="2:2" x14ac:dyDescent="0.2">
      <c r="B284" s="37"/>
    </row>
    <row r="285" spans="2:2" x14ac:dyDescent="0.2">
      <c r="B285" s="37"/>
    </row>
    <row r="286" spans="2:2" x14ac:dyDescent="0.2">
      <c r="B286" s="37"/>
    </row>
    <row r="287" spans="2:2" x14ac:dyDescent="0.2">
      <c r="B287" s="37"/>
    </row>
    <row r="288" spans="2:2" x14ac:dyDescent="0.2">
      <c r="B288" s="37"/>
    </row>
    <row r="289" spans="2:2" x14ac:dyDescent="0.2">
      <c r="B289" s="37"/>
    </row>
    <row r="290" spans="2:2" x14ac:dyDescent="0.2">
      <c r="B290" s="37"/>
    </row>
    <row r="291" spans="2:2" x14ac:dyDescent="0.2">
      <c r="B291" s="37"/>
    </row>
    <row r="292" spans="2:2" x14ac:dyDescent="0.2">
      <c r="B292" s="37"/>
    </row>
    <row r="293" spans="2:2" x14ac:dyDescent="0.2">
      <c r="B293" s="37"/>
    </row>
    <row r="294" spans="2:2" x14ac:dyDescent="0.2">
      <c r="B294" s="37"/>
    </row>
    <row r="295" spans="2:2" x14ac:dyDescent="0.2">
      <c r="B295" s="37"/>
    </row>
    <row r="296" spans="2:2" x14ac:dyDescent="0.2">
      <c r="B296" s="37"/>
    </row>
    <row r="297" spans="2:2" x14ac:dyDescent="0.2">
      <c r="B297" s="37"/>
    </row>
    <row r="298" spans="2:2" x14ac:dyDescent="0.2">
      <c r="B298" s="37"/>
    </row>
    <row r="299" spans="2:2" x14ac:dyDescent="0.2">
      <c r="B299" s="37"/>
    </row>
    <row r="300" spans="2:2" x14ac:dyDescent="0.2">
      <c r="B300" s="37"/>
    </row>
    <row r="301" spans="2:2" x14ac:dyDescent="0.2">
      <c r="B301" s="37"/>
    </row>
    <row r="302" spans="2:2" x14ac:dyDescent="0.2">
      <c r="B302" s="37"/>
    </row>
    <row r="303" spans="2:2" x14ac:dyDescent="0.2">
      <c r="B303" s="37"/>
    </row>
    <row r="304" spans="2:2" x14ac:dyDescent="0.2">
      <c r="B304" s="37"/>
    </row>
    <row r="305" spans="2:2" x14ac:dyDescent="0.2">
      <c r="B305" s="37"/>
    </row>
    <row r="306" spans="2:2" x14ac:dyDescent="0.2">
      <c r="B306" s="37"/>
    </row>
    <row r="307" spans="2:2" x14ac:dyDescent="0.2">
      <c r="B307" s="37"/>
    </row>
    <row r="308" spans="2:2" x14ac:dyDescent="0.2">
      <c r="B308" s="37"/>
    </row>
    <row r="309" spans="2:2" x14ac:dyDescent="0.2">
      <c r="B309" s="37"/>
    </row>
    <row r="310" spans="2:2" x14ac:dyDescent="0.2">
      <c r="B310" s="37"/>
    </row>
    <row r="311" spans="2:2" x14ac:dyDescent="0.2">
      <c r="B311" s="37"/>
    </row>
    <row r="312" spans="2:2" x14ac:dyDescent="0.2">
      <c r="B312" s="37"/>
    </row>
    <row r="313" spans="2:2" x14ac:dyDescent="0.2">
      <c r="B313" s="37"/>
    </row>
    <row r="314" spans="2:2" x14ac:dyDescent="0.2">
      <c r="B314" s="37"/>
    </row>
    <row r="315" spans="2:2" x14ac:dyDescent="0.2">
      <c r="B315" s="37"/>
    </row>
    <row r="316" spans="2:2" x14ac:dyDescent="0.2">
      <c r="B316" s="37"/>
    </row>
    <row r="317" spans="2:2" x14ac:dyDescent="0.2">
      <c r="B317" s="37"/>
    </row>
    <row r="318" spans="2:2" x14ac:dyDescent="0.2">
      <c r="B318" s="37"/>
    </row>
    <row r="319" spans="2:2" x14ac:dyDescent="0.2">
      <c r="B319" s="37"/>
    </row>
    <row r="320" spans="2:2" x14ac:dyDescent="0.2">
      <c r="B320" s="37"/>
    </row>
    <row r="321" spans="2:2" x14ac:dyDescent="0.2">
      <c r="B321" s="37"/>
    </row>
    <row r="322" spans="2:2" x14ac:dyDescent="0.2">
      <c r="B322" s="37"/>
    </row>
    <row r="323" spans="2:2" x14ac:dyDescent="0.2">
      <c r="B323" s="37"/>
    </row>
    <row r="324" spans="2:2" x14ac:dyDescent="0.2">
      <c r="B324" s="37"/>
    </row>
    <row r="325" spans="2:2" x14ac:dyDescent="0.2">
      <c r="B325" s="37"/>
    </row>
    <row r="326" spans="2:2" x14ac:dyDescent="0.2">
      <c r="B326" s="37"/>
    </row>
    <row r="327" spans="2:2" x14ac:dyDescent="0.2">
      <c r="B327" s="37"/>
    </row>
    <row r="328" spans="2:2" x14ac:dyDescent="0.2">
      <c r="B328" s="37"/>
    </row>
    <row r="329" spans="2:2" x14ac:dyDescent="0.2">
      <c r="B329" s="37"/>
    </row>
    <row r="330" spans="2:2" x14ac:dyDescent="0.2">
      <c r="B330" s="37"/>
    </row>
    <row r="331" spans="2:2" x14ac:dyDescent="0.2">
      <c r="B331" s="37"/>
    </row>
    <row r="332" spans="2:2" x14ac:dyDescent="0.2">
      <c r="B332" s="37"/>
    </row>
    <row r="333" spans="2:2" x14ac:dyDescent="0.2">
      <c r="B333" s="37"/>
    </row>
    <row r="334" spans="2:2" x14ac:dyDescent="0.2">
      <c r="B334" s="37"/>
    </row>
    <row r="335" spans="2:2" x14ac:dyDescent="0.2">
      <c r="B335" s="37"/>
    </row>
    <row r="336" spans="2:2" x14ac:dyDescent="0.2">
      <c r="B336" s="37"/>
    </row>
    <row r="337" spans="2:2" x14ac:dyDescent="0.2">
      <c r="B337" s="37"/>
    </row>
    <row r="338" spans="2:2" x14ac:dyDescent="0.2">
      <c r="B338" s="37"/>
    </row>
    <row r="339" spans="2:2" x14ac:dyDescent="0.2">
      <c r="B339" s="37"/>
    </row>
    <row r="340" spans="2:2" x14ac:dyDescent="0.2">
      <c r="B340" s="37"/>
    </row>
    <row r="341" spans="2:2" x14ac:dyDescent="0.2">
      <c r="B341" s="37"/>
    </row>
    <row r="342" spans="2:2" x14ac:dyDescent="0.2">
      <c r="B342" s="37"/>
    </row>
    <row r="343" spans="2:2" x14ac:dyDescent="0.2">
      <c r="B343" s="37"/>
    </row>
    <row r="344" spans="2:2" x14ac:dyDescent="0.2">
      <c r="B344" s="37"/>
    </row>
    <row r="345" spans="2:2" x14ac:dyDescent="0.2">
      <c r="B345" s="37"/>
    </row>
    <row r="346" spans="2:2" x14ac:dyDescent="0.2">
      <c r="B346" s="37"/>
    </row>
    <row r="347" spans="2:2" x14ac:dyDescent="0.2">
      <c r="B347" s="37"/>
    </row>
    <row r="348" spans="2:2" x14ac:dyDescent="0.2">
      <c r="B348" s="37"/>
    </row>
    <row r="349" spans="2:2" x14ac:dyDescent="0.2">
      <c r="B349" s="37"/>
    </row>
    <row r="350" spans="2:2" x14ac:dyDescent="0.2">
      <c r="B350" s="37"/>
    </row>
    <row r="351" spans="2:2" x14ac:dyDescent="0.2">
      <c r="B351" s="37"/>
    </row>
    <row r="352" spans="2:2" x14ac:dyDescent="0.2">
      <c r="B352" s="37"/>
    </row>
    <row r="353" spans="2:2" x14ac:dyDescent="0.2">
      <c r="B353" s="37"/>
    </row>
    <row r="354" spans="2:2" x14ac:dyDescent="0.2">
      <c r="B354" s="37"/>
    </row>
    <row r="355" spans="2:2" x14ac:dyDescent="0.2">
      <c r="B355" s="37"/>
    </row>
    <row r="356" spans="2:2" x14ac:dyDescent="0.2">
      <c r="B356" s="37"/>
    </row>
    <row r="357" spans="2:2" x14ac:dyDescent="0.2">
      <c r="B357" s="37"/>
    </row>
    <row r="358" spans="2:2" x14ac:dyDescent="0.2">
      <c r="B358" s="37"/>
    </row>
    <row r="359" spans="2:2" x14ac:dyDescent="0.2">
      <c r="B359" s="37"/>
    </row>
    <row r="360" spans="2:2" x14ac:dyDescent="0.2">
      <c r="B360" s="37"/>
    </row>
    <row r="361" spans="2:2" x14ac:dyDescent="0.2">
      <c r="B361" s="37"/>
    </row>
    <row r="362" spans="2:2" x14ac:dyDescent="0.2">
      <c r="B362" s="37"/>
    </row>
    <row r="363" spans="2:2" x14ac:dyDescent="0.2">
      <c r="B363" s="37"/>
    </row>
    <row r="364" spans="2:2" x14ac:dyDescent="0.2">
      <c r="B364" s="37"/>
    </row>
    <row r="365" spans="2:2" x14ac:dyDescent="0.2">
      <c r="B365" s="37"/>
    </row>
    <row r="366" spans="2:2" x14ac:dyDescent="0.2">
      <c r="B366" s="37"/>
    </row>
    <row r="367" spans="2:2" x14ac:dyDescent="0.2">
      <c r="B367" s="37"/>
    </row>
    <row r="368" spans="2:2" x14ac:dyDescent="0.2">
      <c r="B368" s="37"/>
    </row>
    <row r="369" spans="2:2" x14ac:dyDescent="0.2">
      <c r="B369" s="37"/>
    </row>
    <row r="370" spans="2:2" x14ac:dyDescent="0.2">
      <c r="B370" s="37"/>
    </row>
    <row r="371" spans="2:2" x14ac:dyDescent="0.2">
      <c r="B371" s="37"/>
    </row>
    <row r="372" spans="2:2" x14ac:dyDescent="0.2">
      <c r="B372" s="37"/>
    </row>
    <row r="373" spans="2:2" x14ac:dyDescent="0.2">
      <c r="B373" s="37"/>
    </row>
    <row r="374" spans="2:2" x14ac:dyDescent="0.2">
      <c r="B374" s="37"/>
    </row>
    <row r="375" spans="2:2" x14ac:dyDescent="0.2">
      <c r="B375" s="37"/>
    </row>
    <row r="376" spans="2:2" x14ac:dyDescent="0.2">
      <c r="B376" s="37"/>
    </row>
    <row r="377" spans="2:2" x14ac:dyDescent="0.2">
      <c r="B377" s="37"/>
    </row>
    <row r="378" spans="2:2" x14ac:dyDescent="0.2">
      <c r="B378" s="37"/>
    </row>
    <row r="379" spans="2:2" x14ac:dyDescent="0.2">
      <c r="B379" s="37"/>
    </row>
    <row r="380" spans="2:2" x14ac:dyDescent="0.2">
      <c r="B380" s="37"/>
    </row>
    <row r="381" spans="2:2" x14ac:dyDescent="0.2">
      <c r="B381" s="37"/>
    </row>
    <row r="382" spans="2:2" x14ac:dyDescent="0.2">
      <c r="B382" s="37"/>
    </row>
    <row r="383" spans="2:2" x14ac:dyDescent="0.2">
      <c r="B383" s="37"/>
    </row>
    <row r="384" spans="2:2" x14ac:dyDescent="0.2">
      <c r="B384" s="37"/>
    </row>
    <row r="385" spans="2:2" x14ac:dyDescent="0.2">
      <c r="B385" s="37"/>
    </row>
    <row r="386" spans="2:2" x14ac:dyDescent="0.2">
      <c r="B386" s="37"/>
    </row>
    <row r="387" spans="2:2" x14ac:dyDescent="0.2">
      <c r="B387" s="37"/>
    </row>
    <row r="388" spans="2:2" x14ac:dyDescent="0.2">
      <c r="B388" s="37"/>
    </row>
    <row r="389" spans="2:2" x14ac:dyDescent="0.2">
      <c r="B389" s="37"/>
    </row>
    <row r="390" spans="2:2" x14ac:dyDescent="0.2">
      <c r="B390" s="37"/>
    </row>
    <row r="391" spans="2:2" x14ac:dyDescent="0.2">
      <c r="B391" s="37"/>
    </row>
    <row r="392" spans="2:2" x14ac:dyDescent="0.2">
      <c r="B392" s="37"/>
    </row>
    <row r="393" spans="2:2" x14ac:dyDescent="0.2">
      <c r="B393" s="37"/>
    </row>
    <row r="394" spans="2:2" x14ac:dyDescent="0.2">
      <c r="B394" s="37"/>
    </row>
    <row r="395" spans="2:2" x14ac:dyDescent="0.2">
      <c r="B395" s="37"/>
    </row>
    <row r="396" spans="2:2" x14ac:dyDescent="0.2">
      <c r="B396" s="37"/>
    </row>
    <row r="397" spans="2:2" x14ac:dyDescent="0.2">
      <c r="B397" s="37"/>
    </row>
    <row r="398" spans="2:2" x14ac:dyDescent="0.2">
      <c r="B398" s="37"/>
    </row>
    <row r="399" spans="2:2" x14ac:dyDescent="0.2">
      <c r="B399" s="37"/>
    </row>
    <row r="400" spans="2:2" x14ac:dyDescent="0.2">
      <c r="B400" s="37"/>
    </row>
    <row r="401" spans="2:2" x14ac:dyDescent="0.2">
      <c r="B401" s="37"/>
    </row>
    <row r="402" spans="2:2" x14ac:dyDescent="0.2">
      <c r="B402" s="37"/>
    </row>
    <row r="403" spans="2:2" x14ac:dyDescent="0.2">
      <c r="B403" s="37"/>
    </row>
    <row r="404" spans="2:2" x14ac:dyDescent="0.2">
      <c r="B404" s="37"/>
    </row>
    <row r="405" spans="2:2" x14ac:dyDescent="0.2">
      <c r="B405" s="37"/>
    </row>
    <row r="406" spans="2:2" x14ac:dyDescent="0.2">
      <c r="B406" s="37"/>
    </row>
    <row r="407" spans="2:2" x14ac:dyDescent="0.2">
      <c r="B407" s="37"/>
    </row>
    <row r="408" spans="2:2" x14ac:dyDescent="0.2">
      <c r="B408" s="37"/>
    </row>
    <row r="409" spans="2:2" x14ac:dyDescent="0.2">
      <c r="B409" s="37"/>
    </row>
    <row r="410" spans="2:2" x14ac:dyDescent="0.2">
      <c r="B410" s="37"/>
    </row>
    <row r="411" spans="2:2" x14ac:dyDescent="0.2">
      <c r="B411" s="37"/>
    </row>
    <row r="412" spans="2:2" x14ac:dyDescent="0.2">
      <c r="B412" s="37"/>
    </row>
    <row r="413" spans="2:2" x14ac:dyDescent="0.2">
      <c r="B413" s="37"/>
    </row>
    <row r="414" spans="2:2" x14ac:dyDescent="0.2">
      <c r="B414" s="37"/>
    </row>
    <row r="415" spans="2:2" x14ac:dyDescent="0.2">
      <c r="B415" s="37"/>
    </row>
    <row r="416" spans="2:2" x14ac:dyDescent="0.2">
      <c r="B416" s="37"/>
    </row>
    <row r="417" spans="2:2" x14ac:dyDescent="0.2">
      <c r="B417" s="37"/>
    </row>
    <row r="418" spans="2:2" x14ac:dyDescent="0.2">
      <c r="B418" s="37"/>
    </row>
    <row r="419" spans="2:2" x14ac:dyDescent="0.2">
      <c r="B419" s="37"/>
    </row>
    <row r="420" spans="2:2" x14ac:dyDescent="0.2">
      <c r="B420" s="37"/>
    </row>
    <row r="421" spans="2:2" x14ac:dyDescent="0.2">
      <c r="B421" s="37"/>
    </row>
    <row r="422" spans="2:2" x14ac:dyDescent="0.2">
      <c r="B422" s="37"/>
    </row>
    <row r="423" spans="2:2" x14ac:dyDescent="0.2">
      <c r="B423" s="37"/>
    </row>
    <row r="424" spans="2:2" x14ac:dyDescent="0.2">
      <c r="B424" s="37"/>
    </row>
    <row r="425" spans="2:2" x14ac:dyDescent="0.2">
      <c r="B425" s="37"/>
    </row>
    <row r="426" spans="2:2" x14ac:dyDescent="0.2">
      <c r="B426" s="37"/>
    </row>
    <row r="427" spans="2:2" x14ac:dyDescent="0.2">
      <c r="B427" s="37"/>
    </row>
    <row r="428" spans="2:2" x14ac:dyDescent="0.2">
      <c r="B428" s="37"/>
    </row>
    <row r="429" spans="2:2" x14ac:dyDescent="0.2">
      <c r="B429" s="37"/>
    </row>
    <row r="430" spans="2:2" x14ac:dyDescent="0.2">
      <c r="B430" s="37"/>
    </row>
    <row r="431" spans="2:2" x14ac:dyDescent="0.2">
      <c r="B431" s="37"/>
    </row>
    <row r="432" spans="2:2" x14ac:dyDescent="0.2">
      <c r="B432" s="37"/>
    </row>
    <row r="433" spans="2:2" x14ac:dyDescent="0.2">
      <c r="B433" s="37"/>
    </row>
    <row r="434" spans="2:2" x14ac:dyDescent="0.2">
      <c r="B434" s="37"/>
    </row>
    <row r="435" spans="2:2" x14ac:dyDescent="0.2">
      <c r="B435" s="37"/>
    </row>
    <row r="436" spans="2:2" x14ac:dyDescent="0.2">
      <c r="B436" s="37"/>
    </row>
    <row r="437" spans="2:2" x14ac:dyDescent="0.2">
      <c r="B437" s="37"/>
    </row>
    <row r="438" spans="2:2" x14ac:dyDescent="0.2">
      <c r="B438" s="37"/>
    </row>
    <row r="439" spans="2:2" x14ac:dyDescent="0.2">
      <c r="B439" s="37"/>
    </row>
    <row r="440" spans="2:2" x14ac:dyDescent="0.2">
      <c r="B440" s="37"/>
    </row>
    <row r="441" spans="2:2" x14ac:dyDescent="0.2">
      <c r="B441" s="37"/>
    </row>
    <row r="442" spans="2:2" x14ac:dyDescent="0.2">
      <c r="B442" s="37"/>
    </row>
    <row r="443" spans="2:2" x14ac:dyDescent="0.2">
      <c r="B443" s="37"/>
    </row>
    <row r="444" spans="2:2" x14ac:dyDescent="0.2">
      <c r="B444" s="37"/>
    </row>
    <row r="445" spans="2:2" x14ac:dyDescent="0.2">
      <c r="B445" s="37"/>
    </row>
    <row r="446" spans="2:2" x14ac:dyDescent="0.2">
      <c r="B446" s="37"/>
    </row>
    <row r="447" spans="2:2" x14ac:dyDescent="0.2">
      <c r="B447" s="37"/>
    </row>
    <row r="448" spans="2:2" x14ac:dyDescent="0.2">
      <c r="B448" s="37"/>
    </row>
    <row r="449" spans="2:2" x14ac:dyDescent="0.2">
      <c r="B449" s="37"/>
    </row>
    <row r="450" spans="2:2" x14ac:dyDescent="0.2">
      <c r="B450" s="37"/>
    </row>
    <row r="451" spans="2:2" x14ac:dyDescent="0.2">
      <c r="B451" s="37"/>
    </row>
    <row r="452" spans="2:2" x14ac:dyDescent="0.2">
      <c r="B452" s="37"/>
    </row>
    <row r="453" spans="2:2" x14ac:dyDescent="0.2">
      <c r="B453" s="37"/>
    </row>
    <row r="454" spans="2:2" x14ac:dyDescent="0.2">
      <c r="B454" s="37"/>
    </row>
    <row r="455" spans="2:2" x14ac:dyDescent="0.2">
      <c r="B455" s="37"/>
    </row>
    <row r="456" spans="2:2" x14ac:dyDescent="0.2">
      <c r="B456" s="37"/>
    </row>
    <row r="457" spans="2:2" x14ac:dyDescent="0.2">
      <c r="B457" s="37"/>
    </row>
    <row r="458" spans="2:2" x14ac:dyDescent="0.2">
      <c r="B458" s="37"/>
    </row>
    <row r="459" spans="2:2" x14ac:dyDescent="0.2">
      <c r="B459" s="37"/>
    </row>
    <row r="460" spans="2:2" x14ac:dyDescent="0.2">
      <c r="B460" s="37"/>
    </row>
    <row r="461" spans="2:2" x14ac:dyDescent="0.2">
      <c r="B461" s="37"/>
    </row>
    <row r="462" spans="2:2" x14ac:dyDescent="0.2">
      <c r="B462" s="37"/>
    </row>
    <row r="463" spans="2:2" x14ac:dyDescent="0.2">
      <c r="B463" s="37"/>
    </row>
    <row r="464" spans="2:2" x14ac:dyDescent="0.2">
      <c r="B464" s="37"/>
    </row>
    <row r="465" spans="2:2" x14ac:dyDescent="0.2">
      <c r="B465" s="37"/>
    </row>
    <row r="466" spans="2:2" x14ac:dyDescent="0.2">
      <c r="B466" s="37"/>
    </row>
    <row r="467" spans="2:2" x14ac:dyDescent="0.2">
      <c r="B467" s="37"/>
    </row>
    <row r="468" spans="2:2" x14ac:dyDescent="0.2">
      <c r="B468" s="37"/>
    </row>
    <row r="469" spans="2:2" x14ac:dyDescent="0.2">
      <c r="B469" s="37"/>
    </row>
    <row r="470" spans="2:2" x14ac:dyDescent="0.2">
      <c r="B470" s="37"/>
    </row>
    <row r="471" spans="2:2" x14ac:dyDescent="0.2">
      <c r="B471" s="37"/>
    </row>
    <row r="472" spans="2:2" x14ac:dyDescent="0.2">
      <c r="B472" s="37"/>
    </row>
    <row r="473" spans="2:2" x14ac:dyDescent="0.2">
      <c r="B473" s="37"/>
    </row>
    <row r="474" spans="2:2" x14ac:dyDescent="0.2">
      <c r="B474" s="37"/>
    </row>
    <row r="475" spans="2:2" x14ac:dyDescent="0.2">
      <c r="B475" s="37"/>
    </row>
    <row r="476" spans="2:2" x14ac:dyDescent="0.2">
      <c r="B476" s="37"/>
    </row>
    <row r="477" spans="2:2" x14ac:dyDescent="0.2">
      <c r="B477" s="37"/>
    </row>
    <row r="478" spans="2:2" x14ac:dyDescent="0.2">
      <c r="B478" s="37"/>
    </row>
    <row r="479" spans="2:2" x14ac:dyDescent="0.2">
      <c r="B479" s="37"/>
    </row>
    <row r="480" spans="2:2" x14ac:dyDescent="0.2">
      <c r="B480" s="37"/>
    </row>
    <row r="481" spans="2:2" x14ac:dyDescent="0.2">
      <c r="B481" s="37"/>
    </row>
    <row r="482" spans="2:2" x14ac:dyDescent="0.2">
      <c r="B482" s="37"/>
    </row>
    <row r="483" spans="2:2" x14ac:dyDescent="0.2">
      <c r="B483" s="37"/>
    </row>
    <row r="484" spans="2:2" x14ac:dyDescent="0.2">
      <c r="B484" s="37"/>
    </row>
    <row r="485" spans="2:2" x14ac:dyDescent="0.2">
      <c r="B485" s="37"/>
    </row>
    <row r="486" spans="2:2" x14ac:dyDescent="0.2">
      <c r="B486" s="37"/>
    </row>
    <row r="487" spans="2:2" x14ac:dyDescent="0.2">
      <c r="B487" s="37"/>
    </row>
    <row r="488" spans="2:2" x14ac:dyDescent="0.2">
      <c r="B488" s="37"/>
    </row>
    <row r="489" spans="2:2" x14ac:dyDescent="0.2">
      <c r="B489" s="37"/>
    </row>
    <row r="490" spans="2:2" x14ac:dyDescent="0.2">
      <c r="B490" s="37"/>
    </row>
    <row r="491" spans="2:2" x14ac:dyDescent="0.2">
      <c r="B491" s="37"/>
    </row>
    <row r="492" spans="2:2" x14ac:dyDescent="0.2">
      <c r="B492" s="37"/>
    </row>
    <row r="493" spans="2:2" x14ac:dyDescent="0.2">
      <c r="B493" s="37"/>
    </row>
    <row r="494" spans="2:2" x14ac:dyDescent="0.2">
      <c r="B494" s="37"/>
    </row>
    <row r="495" spans="2:2" x14ac:dyDescent="0.2">
      <c r="B495" s="3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8E28E187A3F489FBB2DF48EDEB657" ma:contentTypeVersion="13" ma:contentTypeDescription="Create a new document." ma:contentTypeScope="" ma:versionID="f6b69a387761da5368750e653d04199a">
  <xsd:schema xmlns:xsd="http://www.w3.org/2001/XMLSchema" xmlns:xs="http://www.w3.org/2001/XMLSchema" xmlns:p="http://schemas.microsoft.com/office/2006/metadata/properties" xmlns:ns2="6fe2da35-6822-4155-bb8b-39127b3e1275" xmlns:ns3="46dba287-3864-4b7d-9aef-71027d04e814" targetNamespace="http://schemas.microsoft.com/office/2006/metadata/properties" ma:root="true" ma:fieldsID="bd042b84f513a8c957921774a6884550" ns2:_="" ns3:_="">
    <xsd:import namespace="6fe2da35-6822-4155-bb8b-39127b3e1275"/>
    <xsd:import namespace="46dba287-3864-4b7d-9aef-71027d04e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2da35-6822-4155-bb8b-39127b3e1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8f45eb3-0d92-4683-9b5f-07feeecc5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ba287-3864-4b7d-9aef-71027d04e8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753ea4-e2e4-45d9-8d08-c5a15d14692f}" ma:internalName="TaxCatchAll" ma:showField="CatchAllData" ma:web="46dba287-3864-4b7d-9aef-71027d04e8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e2da35-6822-4155-bb8b-39127b3e1275">
      <Terms xmlns="http://schemas.microsoft.com/office/infopath/2007/PartnerControls"/>
    </lcf76f155ced4ddcb4097134ff3c332f>
    <TaxCatchAll xmlns="46dba287-3864-4b7d-9aef-71027d04e814" xsi:nil="true"/>
  </documentManagement>
</p:properties>
</file>

<file path=customXml/itemProps1.xml><?xml version="1.0" encoding="utf-8"?>
<ds:datastoreItem xmlns:ds="http://schemas.openxmlformats.org/officeDocument/2006/customXml" ds:itemID="{58382156-0339-45FD-9361-40CDB5B3E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e2da35-6822-4155-bb8b-39127b3e1275"/>
    <ds:schemaRef ds:uri="46dba287-3864-4b7d-9aef-71027d04e8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DF0D-5559-4AB1-A8A4-D35CD5F611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95B9D-B68E-4B8A-B16B-7E04AB9D029C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46dba287-3864-4b7d-9aef-71027d04e814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6fe2da35-6822-4155-bb8b-39127b3e12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Table 1 Water Stored</vt:lpstr>
      <vt:lpstr>Table 2 StormwaterGroundwater</vt:lpstr>
      <vt:lpstr>Table 3 Water Quality</vt:lpstr>
      <vt:lpstr>Table 4 Evaporation</vt:lpstr>
      <vt:lpstr>Table 5 Flows to Evap &amp; WTP</vt:lpstr>
      <vt:lpstr>Table 6 WTP Flow Balance</vt:lpstr>
      <vt:lpstr>Table 7 WTP Sulfate Balance</vt:lpstr>
      <vt:lpstr>Table 8 Salt Balance</vt:lpstr>
      <vt:lpstr>Table 9 Capital &amp; O&amp;M Costs</vt:lpstr>
      <vt:lpstr>Table 10 Capital Costs</vt:lpstr>
      <vt:lpstr>Table 11 Equip Replace</vt:lpstr>
      <vt:lpstr>Table 12 Labor Costs</vt:lpstr>
      <vt:lpstr>Table 13 Power Costs</vt:lpstr>
      <vt:lpstr>Table 14 Reagent Cost</vt:lpstr>
      <vt:lpstr>Table 15 Analytics Cost</vt:lpstr>
      <vt:lpstr>'Table 2 StormwaterGroundwater'!Print_Area</vt:lpstr>
      <vt:lpstr>'Table 8 Salt Balance'!Print_Titles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CDurrant</dc:creator>
  <cp:keywords/>
  <dc:description/>
  <cp:lastModifiedBy>Mariana Lafon</cp:lastModifiedBy>
  <cp:revision/>
  <cp:lastPrinted>2026-09-16T16:42:37Z</cp:lastPrinted>
  <dcterms:created xsi:type="dcterms:W3CDTF">2024-02-12T16:46:29Z</dcterms:created>
  <dcterms:modified xsi:type="dcterms:W3CDTF">2026-09-16T18:26:20Z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0x010100EBA8E28E187A3F489FBB2DF48EDEB657</vt:lpwstr>
  </property>
  <property fmtid="{D5CDD505-2E9C-101B-9397-08002B2CF9AE}" pid="3" name="MediaServiceImageTags">
    <vt:lpwstr/>
  </property>
</Properties>
</file>