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BHendricks\Documents\Chino CCP\2019 CCP\"/>
    </mc:Choice>
  </mc:AlternateContent>
  <xr:revisionPtr revIDLastSave="0" documentId="8_{AB4493EB-4F11-40A0-8B96-55CD4ECB188E}" xr6:coauthVersionLast="41" xr6:coauthVersionMax="41" xr10:uidLastSave="{00000000-0000-0000-0000-000000000000}"/>
  <bookViews>
    <workbookView xWindow="-110" yWindow="-110" windowWidth="19420" windowHeight="10420" tabRatio="905" firstSheet="12" activeTab="12" xr2:uid="{D9A0B206-6226-4E7F-B9FA-87267CD5425C}"/>
  </bookViews>
  <sheets>
    <sheet name="2019 CCP Summary" sheetId="30" r:id="rId1"/>
    <sheet name="2019 CCP Cash Flow" sheetId="20" r:id="rId2"/>
    <sheet name="Short Term ETS Cash Flow" sheetId="24" r:id="rId3"/>
    <sheet name="Short Term ETS Labor" sheetId="22" r:id="rId4"/>
    <sheet name="Long Term ETS Cash Flow" sheetId="25" r:id="rId5"/>
    <sheet name="Salt Disposal Cash Flow" sheetId="23" r:id="rId6"/>
    <sheet name="Water Conveyance Cash Flow" sheetId="27" r:id="rId7"/>
    <sheet name="Sludge Disposal Cash Flow" sheetId="5" r:id="rId8"/>
    <sheet name="STS Cash Flow" sheetId="10" r:id="rId9"/>
    <sheet name="STS Capital Cost" sheetId="6" r:id="rId10"/>
    <sheet name="STS Equipment List Input" sheetId="18" r:id="rId11"/>
    <sheet name="STS Calculation Summary" sheetId="17" r:id="rId12"/>
    <sheet name="STS Analytical Costs" sheetId="9" r:id="rId13"/>
    <sheet name="STS O&amp;M Input" sheetId="7" r:id="rId14"/>
    <sheet name="STS Design Calcs" sheetId="14" r:id="rId15"/>
    <sheet name="STS Labor" sheetId="8" r:id="rId16"/>
  </sheets>
  <definedNames>
    <definedName name="_xlnm.Print_Area" localSheetId="1">'2019 CCP Cash Flow'!$A$1:$Y$113</definedName>
    <definedName name="_xlnm.Print_Area" localSheetId="0">'2019 CCP Summary'!$A$1:$B$44</definedName>
    <definedName name="_xlnm.Print_Area" localSheetId="4">'Long Term ETS Cash Flow'!$A$1:$N$116</definedName>
    <definedName name="_xlnm.Print_Area" localSheetId="5">'Salt Disposal Cash Flow'!$A$1:$H$116</definedName>
    <definedName name="_xlnm.Print_Area" localSheetId="2">'Short Term ETS Cash Flow'!$A$1:$I$115</definedName>
    <definedName name="_xlnm.Print_Area" localSheetId="3">'Short Term ETS Labor'!$A$1:$C$35</definedName>
    <definedName name="_xlnm.Print_Area" localSheetId="7">'Sludge Disposal Cash Flow'!$A$1:$H$115</definedName>
    <definedName name="_xlnm.Print_Area" localSheetId="12">'STS Analytical Costs'!$A$1:$P$118</definedName>
    <definedName name="_xlnm.Print_Area" localSheetId="9">'STS Capital Cost'!$A$1:$I$88</definedName>
    <definedName name="_xlnm.Print_Area" localSheetId="8">'STS Cash Flow'!$A$1:$L$111</definedName>
    <definedName name="_xlnm.Print_Area" localSheetId="15">'STS Labor'!$A$1:$F$49</definedName>
    <definedName name="_xlnm.Print_Area" localSheetId="13">'STS O&amp;M Input'!$A$1:$I$39</definedName>
    <definedName name="_xlnm.Print_Area" localSheetId="6">'Water Conveyance Cash Flow'!$A$1:$K$117</definedName>
    <definedName name="_xlnm.Print_Titles" localSheetId="4">'Long Term ETS Cash Flow'!$9:$9</definedName>
    <definedName name="_xlnm.Print_Titles" localSheetId="5">'Salt Disposal Cash Flow'!$9:$9</definedName>
    <definedName name="_xlnm.Print_Titles" localSheetId="2">'Short Term ETS Cash Flow'!$9:$9</definedName>
    <definedName name="_xlnm.Print_Titles" localSheetId="7">'Sludge Disposal Cash Flow'!$9:$9</definedName>
    <definedName name="_xlnm.Print_Titles" localSheetId="6">'Water Conveyance Cash Flow'!$9:$9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9" i="23" l="1"/>
  <c r="H110" i="23"/>
  <c r="AL106" i="17"/>
  <c r="F118" i="27"/>
  <c r="K4" i="27"/>
  <c r="K3" i="27"/>
  <c r="C15" i="27"/>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H69" i="25"/>
  <c r="E57" i="25"/>
  <c r="E58" i="25"/>
  <c r="E59" i="25"/>
  <c r="E60" i="25"/>
  <c r="E61" i="25"/>
  <c r="E62" i="25"/>
  <c r="E63" i="25"/>
  <c r="E64" i="25"/>
  <c r="E65" i="25"/>
  <c r="E66" i="25"/>
  <c r="E67" i="25"/>
  <c r="E68" i="25"/>
  <c r="E69" i="25"/>
  <c r="E70" i="25"/>
  <c r="E71" i="25"/>
  <c r="E72" i="25"/>
  <c r="E73" i="25"/>
  <c r="G75" i="20"/>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C31" i="7"/>
  <c r="B22" i="22"/>
  <c r="B25" i="22"/>
  <c r="B21" i="22"/>
  <c r="B23" i="22"/>
  <c r="F56" i="6"/>
  <c r="I56" i="6"/>
  <c r="H73" i="6"/>
  <c r="H51" i="6"/>
  <c r="C35" i="7"/>
  <c r="H43" i="6"/>
  <c r="C34" i="7"/>
  <c r="H55" i="6"/>
  <c r="C33" i="7"/>
  <c r="C32" i="7"/>
  <c r="P12" i="20"/>
  <c r="P20" i="20"/>
  <c r="P23" i="20"/>
  <c r="J13" i="20"/>
  <c r="J14" i="20"/>
  <c r="J15" i="20"/>
  <c r="J16" i="20"/>
  <c r="J12" i="20"/>
  <c r="O16" i="20"/>
  <c r="O18" i="20"/>
  <c r="O20" i="20"/>
  <c r="O22" i="20"/>
  <c r="O34" i="20"/>
  <c r="O36" i="20"/>
  <c r="O51" i="20"/>
  <c r="O88" i="20"/>
  <c r="O97" i="20"/>
  <c r="O12" i="20"/>
  <c r="Q13" i="20"/>
  <c r="Q14" i="20"/>
  <c r="Q15" i="20"/>
  <c r="Q16" i="20"/>
  <c r="N11" i="25"/>
  <c r="C16" i="25"/>
  <c r="H11" i="23"/>
  <c r="H12" i="23"/>
  <c r="H13" i="23"/>
  <c r="H14" i="23"/>
  <c r="H15" i="23"/>
  <c r="Q17" i="20"/>
  <c r="H17" i="23"/>
  <c r="Q19" i="20"/>
  <c r="H21" i="23"/>
  <c r="Q23" i="20"/>
  <c r="H22" i="23"/>
  <c r="Q24" i="20"/>
  <c r="H23" i="23"/>
  <c r="Q25" i="20"/>
  <c r="H24" i="23"/>
  <c r="Q26" i="20"/>
  <c r="H25" i="23"/>
  <c r="Q27" i="20"/>
  <c r="H29" i="23"/>
  <c r="Q31" i="20"/>
  <c r="H31" i="23"/>
  <c r="Q33" i="20"/>
  <c r="H33" i="23"/>
  <c r="Q35" i="20"/>
  <c r="H37" i="23"/>
  <c r="Q39" i="20"/>
  <c r="H38" i="23"/>
  <c r="Q40" i="20"/>
  <c r="H39" i="23"/>
  <c r="Q41" i="20"/>
  <c r="H40" i="23"/>
  <c r="Q42" i="20"/>
  <c r="H41" i="23"/>
  <c r="Q43" i="20"/>
  <c r="H45" i="23"/>
  <c r="Q47" i="20"/>
  <c r="H47" i="23"/>
  <c r="Q49" i="20"/>
  <c r="H49" i="23"/>
  <c r="Q51" i="20"/>
  <c r="H53" i="23"/>
  <c r="Q55" i="20"/>
  <c r="H54" i="23"/>
  <c r="Q56" i="20"/>
  <c r="H55" i="23"/>
  <c r="Q57" i="20"/>
  <c r="H56" i="23"/>
  <c r="Q58" i="20"/>
  <c r="H57" i="23"/>
  <c r="Q59" i="20"/>
  <c r="H61" i="23"/>
  <c r="Q63" i="20"/>
  <c r="H63" i="23"/>
  <c r="Q65" i="20"/>
  <c r="H65" i="23"/>
  <c r="Q67" i="20"/>
  <c r="H69" i="23"/>
  <c r="Q71" i="20"/>
  <c r="H70" i="23"/>
  <c r="Q72" i="20"/>
  <c r="H71" i="23"/>
  <c r="Q73" i="20"/>
  <c r="H72" i="23"/>
  <c r="Q74" i="20"/>
  <c r="H73" i="23"/>
  <c r="Q75" i="20"/>
  <c r="H77" i="23"/>
  <c r="Q79" i="20"/>
  <c r="H79" i="23"/>
  <c r="Q81" i="20"/>
  <c r="H81" i="23"/>
  <c r="Q83" i="20"/>
  <c r="H85" i="23"/>
  <c r="Q87" i="20"/>
  <c r="H86" i="23"/>
  <c r="Q88" i="20"/>
  <c r="H87" i="23"/>
  <c r="Q89" i="20"/>
  <c r="H88" i="23"/>
  <c r="Q90" i="20"/>
  <c r="H89" i="23"/>
  <c r="Q91" i="20"/>
  <c r="H93" i="23"/>
  <c r="Q95" i="20"/>
  <c r="H95" i="23"/>
  <c r="Q97" i="20"/>
  <c r="H97" i="23"/>
  <c r="Q99" i="20"/>
  <c r="H101" i="23"/>
  <c r="Q103" i="20"/>
  <c r="H102" i="23"/>
  <c r="Q104" i="20"/>
  <c r="H103" i="23"/>
  <c r="Q105" i="20"/>
  <c r="H104" i="23"/>
  <c r="Q106" i="20"/>
  <c r="H105" i="23"/>
  <c r="Q107" i="20"/>
  <c r="Q111" i="20"/>
  <c r="K11" i="27"/>
  <c r="D17" i="23"/>
  <c r="D18" i="23"/>
  <c r="H18" i="23"/>
  <c r="Q20" i="20"/>
  <c r="D19" i="23"/>
  <c r="H19" i="23"/>
  <c r="Q21" i="20"/>
  <c r="D20" i="23"/>
  <c r="H20" i="23"/>
  <c r="Q22" i="20"/>
  <c r="D21" i="23"/>
  <c r="D22" i="23"/>
  <c r="D23" i="23"/>
  <c r="D24" i="23"/>
  <c r="D25" i="23"/>
  <c r="D26" i="23"/>
  <c r="H26" i="23"/>
  <c r="Q28" i="20"/>
  <c r="D27" i="23"/>
  <c r="H27" i="23"/>
  <c r="Q29" i="20"/>
  <c r="D28" i="23"/>
  <c r="H28" i="23"/>
  <c r="Q30" i="20"/>
  <c r="D29" i="23"/>
  <c r="D30" i="23"/>
  <c r="H30" i="23"/>
  <c r="Q32" i="20"/>
  <c r="D31" i="23"/>
  <c r="D32" i="23"/>
  <c r="D33" i="23"/>
  <c r="D34" i="23"/>
  <c r="H34" i="23"/>
  <c r="Q36" i="20"/>
  <c r="D35" i="23"/>
  <c r="H35" i="23"/>
  <c r="Q37" i="20"/>
  <c r="D36" i="23"/>
  <c r="H36" i="23"/>
  <c r="Q38" i="20"/>
  <c r="D37" i="23"/>
  <c r="D38" i="23"/>
  <c r="D39" i="23"/>
  <c r="D40" i="23"/>
  <c r="D41" i="23"/>
  <c r="D42" i="23"/>
  <c r="H42" i="23"/>
  <c r="Q44" i="20"/>
  <c r="D43" i="23"/>
  <c r="H43" i="23"/>
  <c r="Q45" i="20"/>
  <c r="D44" i="23"/>
  <c r="H44" i="23"/>
  <c r="Q46" i="20"/>
  <c r="D45" i="23"/>
  <c r="D46" i="23"/>
  <c r="H46" i="23"/>
  <c r="Q48" i="20"/>
  <c r="D47" i="23"/>
  <c r="D48" i="23"/>
  <c r="H48" i="23"/>
  <c r="Q50" i="20"/>
  <c r="D49" i="23"/>
  <c r="D50" i="23"/>
  <c r="H50" i="23"/>
  <c r="Q52" i="20"/>
  <c r="D51" i="23"/>
  <c r="H51" i="23"/>
  <c r="Q53" i="20"/>
  <c r="D52" i="23"/>
  <c r="H52" i="23"/>
  <c r="Q54" i="20"/>
  <c r="D53" i="23"/>
  <c r="D54" i="23"/>
  <c r="D55" i="23"/>
  <c r="D56" i="23"/>
  <c r="D57" i="23"/>
  <c r="D58" i="23"/>
  <c r="H58" i="23"/>
  <c r="Q60" i="20"/>
  <c r="D59" i="23"/>
  <c r="H59" i="23"/>
  <c r="Q61" i="20"/>
  <c r="D60" i="23"/>
  <c r="H60" i="23"/>
  <c r="Q62" i="20"/>
  <c r="D61" i="23"/>
  <c r="D62" i="23"/>
  <c r="H62" i="23"/>
  <c r="Q64" i="20"/>
  <c r="D63" i="23"/>
  <c r="D64" i="23"/>
  <c r="H64" i="23"/>
  <c r="Q66" i="20"/>
  <c r="D65" i="23"/>
  <c r="D66" i="23"/>
  <c r="H66" i="23"/>
  <c r="Q68" i="20"/>
  <c r="D67" i="23"/>
  <c r="H67" i="23"/>
  <c r="Q69" i="20"/>
  <c r="D68" i="23"/>
  <c r="H68" i="23"/>
  <c r="Q70" i="20"/>
  <c r="D69" i="23"/>
  <c r="D70" i="23"/>
  <c r="D71" i="23"/>
  <c r="D72" i="23"/>
  <c r="D73" i="23"/>
  <c r="D74" i="23"/>
  <c r="H74" i="23"/>
  <c r="Q76" i="20"/>
  <c r="D75" i="23"/>
  <c r="H75" i="23"/>
  <c r="Q77" i="20"/>
  <c r="D76" i="23"/>
  <c r="H76" i="23"/>
  <c r="Q78" i="20"/>
  <c r="D77" i="23"/>
  <c r="D78" i="23"/>
  <c r="H78" i="23"/>
  <c r="Q80" i="20"/>
  <c r="D79" i="23"/>
  <c r="D80" i="23"/>
  <c r="H80" i="23"/>
  <c r="Q82" i="20"/>
  <c r="D81" i="23"/>
  <c r="D82" i="23"/>
  <c r="H82" i="23"/>
  <c r="Q84" i="20"/>
  <c r="D83" i="23"/>
  <c r="H83" i="23"/>
  <c r="Q85" i="20"/>
  <c r="D84" i="23"/>
  <c r="H84" i="23"/>
  <c r="Q86" i="20"/>
  <c r="D85" i="23"/>
  <c r="D86" i="23"/>
  <c r="D87" i="23"/>
  <c r="D88" i="23"/>
  <c r="D89" i="23"/>
  <c r="D90" i="23"/>
  <c r="H90" i="23"/>
  <c r="Q92" i="20"/>
  <c r="D91" i="23"/>
  <c r="H91" i="23"/>
  <c r="Q93" i="20"/>
  <c r="D92" i="23"/>
  <c r="H92" i="23"/>
  <c r="Q94" i="20"/>
  <c r="D93" i="23"/>
  <c r="D94" i="23"/>
  <c r="H94" i="23"/>
  <c r="Q96" i="20"/>
  <c r="D95" i="23"/>
  <c r="D96" i="23"/>
  <c r="H96" i="23"/>
  <c r="Q98" i="20"/>
  <c r="D97" i="23"/>
  <c r="D98" i="23"/>
  <c r="H98" i="23"/>
  <c r="Q100" i="20"/>
  <c r="D99" i="23"/>
  <c r="H99" i="23"/>
  <c r="Q101" i="20"/>
  <c r="D100" i="23"/>
  <c r="H100" i="23"/>
  <c r="Q102" i="20"/>
  <c r="D101" i="23"/>
  <c r="D102" i="23"/>
  <c r="D103" i="23"/>
  <c r="D104" i="23"/>
  <c r="D105" i="23"/>
  <c r="D106" i="23"/>
  <c r="H106" i="23"/>
  <c r="Q108" i="20"/>
  <c r="D107" i="23"/>
  <c r="H107" i="23"/>
  <c r="Q109" i="20"/>
  <c r="D108" i="23"/>
  <c r="H108" i="23"/>
  <c r="Q110" i="20"/>
  <c r="D109" i="23"/>
  <c r="D16" i="23"/>
  <c r="H16" i="23"/>
  <c r="Q18" i="20"/>
  <c r="K17" i="20"/>
  <c r="P17" i="20"/>
  <c r="C16" i="23"/>
  <c r="C110" i="23"/>
  <c r="C15" i="5"/>
  <c r="D16" i="5"/>
  <c r="H16" i="5"/>
  <c r="D17" i="5"/>
  <c r="H17" i="5"/>
  <c r="O19" i="20"/>
  <c r="D18" i="5"/>
  <c r="H18" i="5"/>
  <c r="D19" i="5"/>
  <c r="H19" i="5"/>
  <c r="O21" i="20"/>
  <c r="D20" i="5"/>
  <c r="H20" i="5"/>
  <c r="D21" i="5"/>
  <c r="H21" i="5"/>
  <c r="O23" i="20"/>
  <c r="D22" i="5"/>
  <c r="H22" i="5"/>
  <c r="O24" i="20"/>
  <c r="D23" i="5"/>
  <c r="H23" i="5"/>
  <c r="O25" i="20"/>
  <c r="D24" i="5"/>
  <c r="H24" i="5"/>
  <c r="O26" i="20"/>
  <c r="D25" i="5"/>
  <c r="H25" i="5"/>
  <c r="O27" i="20"/>
  <c r="D26" i="5"/>
  <c r="H26" i="5"/>
  <c r="O28" i="20"/>
  <c r="D27" i="5"/>
  <c r="D28" i="5"/>
  <c r="H28" i="5"/>
  <c r="O30" i="20"/>
  <c r="D29" i="5"/>
  <c r="H29" i="5"/>
  <c r="O31" i="20"/>
  <c r="D30" i="5"/>
  <c r="H30" i="5"/>
  <c r="O32" i="20"/>
  <c r="D31" i="5"/>
  <c r="H31" i="5"/>
  <c r="O33" i="20"/>
  <c r="D32" i="5"/>
  <c r="D33" i="5"/>
  <c r="H33" i="5"/>
  <c r="O35" i="20"/>
  <c r="D34" i="5"/>
  <c r="H34" i="5"/>
  <c r="D35" i="5"/>
  <c r="H35" i="5"/>
  <c r="O37" i="20"/>
  <c r="D36" i="5"/>
  <c r="H36" i="5"/>
  <c r="O38" i="20"/>
  <c r="D37" i="5"/>
  <c r="H37" i="5"/>
  <c r="O39" i="20"/>
  <c r="D38" i="5"/>
  <c r="H38" i="5"/>
  <c r="O40" i="20"/>
  <c r="D39" i="5"/>
  <c r="H39" i="5"/>
  <c r="O41" i="20"/>
  <c r="D40" i="5"/>
  <c r="H40" i="5"/>
  <c r="O42" i="20"/>
  <c r="D41" i="5"/>
  <c r="H41" i="5"/>
  <c r="O43" i="20"/>
  <c r="D42" i="5"/>
  <c r="H42" i="5"/>
  <c r="O44" i="20"/>
  <c r="D43" i="5"/>
  <c r="H43" i="5"/>
  <c r="O45" i="20"/>
  <c r="D44" i="5"/>
  <c r="H44" i="5"/>
  <c r="O46" i="20"/>
  <c r="D45" i="5"/>
  <c r="H45" i="5"/>
  <c r="O47" i="20"/>
  <c r="D46" i="5"/>
  <c r="H46" i="5"/>
  <c r="O48" i="20"/>
  <c r="D47" i="5"/>
  <c r="H47" i="5"/>
  <c r="O49" i="20"/>
  <c r="D48" i="5"/>
  <c r="H48" i="5"/>
  <c r="O50" i="20"/>
  <c r="D49" i="5"/>
  <c r="H49" i="5"/>
  <c r="D50" i="5"/>
  <c r="D51" i="5"/>
  <c r="H51" i="5"/>
  <c r="O53" i="20"/>
  <c r="D52" i="5"/>
  <c r="H52" i="5"/>
  <c r="O54" i="20"/>
  <c r="D53" i="5"/>
  <c r="H53" i="5"/>
  <c r="O55" i="20"/>
  <c r="D54" i="5"/>
  <c r="H54" i="5"/>
  <c r="O56" i="20"/>
  <c r="D55" i="5"/>
  <c r="H55" i="5"/>
  <c r="O57" i="20"/>
  <c r="D56" i="5"/>
  <c r="H56" i="5"/>
  <c r="O58" i="20"/>
  <c r="D57" i="5"/>
  <c r="H57" i="5"/>
  <c r="O59" i="20"/>
  <c r="D58" i="5"/>
  <c r="D59" i="5"/>
  <c r="H59" i="5"/>
  <c r="O61" i="20"/>
  <c r="D60" i="5"/>
  <c r="H60" i="5"/>
  <c r="O62" i="20"/>
  <c r="D61" i="5"/>
  <c r="H61" i="5"/>
  <c r="O63" i="20"/>
  <c r="D62" i="5"/>
  <c r="H62" i="5"/>
  <c r="O64" i="20"/>
  <c r="D63" i="5"/>
  <c r="H63" i="5"/>
  <c r="O65" i="20"/>
  <c r="D64" i="5"/>
  <c r="H64" i="5"/>
  <c r="O66" i="20"/>
  <c r="D65" i="5"/>
  <c r="H65" i="5"/>
  <c r="O67" i="20"/>
  <c r="D66" i="5"/>
  <c r="H66" i="5"/>
  <c r="O68" i="20"/>
  <c r="D67" i="5"/>
  <c r="D68" i="5"/>
  <c r="H68" i="5"/>
  <c r="O70" i="20"/>
  <c r="D69" i="5"/>
  <c r="H69" i="5"/>
  <c r="O71" i="20"/>
  <c r="D70" i="5"/>
  <c r="H70" i="5"/>
  <c r="O72" i="20"/>
  <c r="D71" i="5"/>
  <c r="H71" i="5"/>
  <c r="O73" i="20"/>
  <c r="D72" i="5"/>
  <c r="H72" i="5"/>
  <c r="O74" i="20"/>
  <c r="D73" i="5"/>
  <c r="H73" i="5"/>
  <c r="O75" i="20"/>
  <c r="D74" i="5"/>
  <c r="H74" i="5"/>
  <c r="O76" i="20"/>
  <c r="D75" i="5"/>
  <c r="H75" i="5"/>
  <c r="O77" i="20"/>
  <c r="D76" i="5"/>
  <c r="H76" i="5"/>
  <c r="O78" i="20"/>
  <c r="D77" i="5"/>
  <c r="H77" i="5"/>
  <c r="O79" i="20"/>
  <c r="D78" i="5"/>
  <c r="H78" i="5"/>
  <c r="O80" i="20"/>
  <c r="D79" i="5"/>
  <c r="H79" i="5"/>
  <c r="O81" i="20"/>
  <c r="D80" i="5"/>
  <c r="H80" i="5"/>
  <c r="O82" i="20"/>
  <c r="D81" i="5"/>
  <c r="H81" i="5"/>
  <c r="O83" i="20"/>
  <c r="D82" i="5"/>
  <c r="H82" i="5"/>
  <c r="O84" i="20"/>
  <c r="D83" i="5"/>
  <c r="H83" i="5"/>
  <c r="O85" i="20"/>
  <c r="D84" i="5"/>
  <c r="H84" i="5"/>
  <c r="O86" i="20"/>
  <c r="D85" i="5"/>
  <c r="H85" i="5"/>
  <c r="O87" i="20"/>
  <c r="D86" i="5"/>
  <c r="H86" i="5"/>
  <c r="D87" i="5"/>
  <c r="H87" i="5"/>
  <c r="O89" i="20"/>
  <c r="D88" i="5"/>
  <c r="H88" i="5"/>
  <c r="O90" i="20"/>
  <c r="D89" i="5"/>
  <c r="D90" i="5"/>
  <c r="H90" i="5"/>
  <c r="O92" i="20"/>
  <c r="D91" i="5"/>
  <c r="H91" i="5"/>
  <c r="O93" i="20"/>
  <c r="D92" i="5"/>
  <c r="H92" i="5"/>
  <c r="O94" i="20"/>
  <c r="D93" i="5"/>
  <c r="H93" i="5"/>
  <c r="O95" i="20"/>
  <c r="D94" i="5"/>
  <c r="H94" i="5"/>
  <c r="O96" i="20"/>
  <c r="D95" i="5"/>
  <c r="H95" i="5"/>
  <c r="D96" i="5"/>
  <c r="H96" i="5"/>
  <c r="O98" i="20"/>
  <c r="D97" i="5"/>
  <c r="H97" i="5"/>
  <c r="O99" i="20"/>
  <c r="D98" i="5"/>
  <c r="H98" i="5"/>
  <c r="O100" i="20"/>
  <c r="D99" i="5"/>
  <c r="H99" i="5"/>
  <c r="O101" i="20"/>
  <c r="D100" i="5"/>
  <c r="H100" i="5"/>
  <c r="O102" i="20"/>
  <c r="D101" i="5"/>
  <c r="H101" i="5"/>
  <c r="O103" i="20"/>
  <c r="D102" i="5"/>
  <c r="H102" i="5"/>
  <c r="O104" i="20"/>
  <c r="D103" i="5"/>
  <c r="H103" i="5"/>
  <c r="O105" i="20"/>
  <c r="D104" i="5"/>
  <c r="H104" i="5"/>
  <c r="O106" i="20"/>
  <c r="D105" i="5"/>
  <c r="H105" i="5"/>
  <c r="O107" i="20"/>
  <c r="D106" i="5"/>
  <c r="H106" i="5"/>
  <c r="O108" i="20"/>
  <c r="D107" i="5"/>
  <c r="H107" i="5"/>
  <c r="O109" i="20"/>
  <c r="D108" i="5"/>
  <c r="H108" i="5"/>
  <c r="O110" i="20"/>
  <c r="D109" i="5"/>
  <c r="H109" i="5"/>
  <c r="O111" i="20"/>
  <c r="D15" i="5"/>
  <c r="H32" i="5"/>
  <c r="H50" i="5"/>
  <c r="O52" i="20"/>
  <c r="H58" i="5"/>
  <c r="O60" i="20"/>
  <c r="H67" i="5"/>
  <c r="O69" i="20"/>
  <c r="H89" i="5"/>
  <c r="O91" i="20"/>
  <c r="H14" i="5"/>
  <c r="H10" i="5"/>
  <c r="H11" i="5"/>
  <c r="O13" i="20"/>
  <c r="H12" i="5"/>
  <c r="O14" i="20"/>
  <c r="H13" i="5"/>
  <c r="O15" i="20"/>
  <c r="P19" i="20"/>
  <c r="P21" i="20"/>
  <c r="P22" i="20"/>
  <c r="P16" i="20"/>
  <c r="K18" i="20"/>
  <c r="K19" i="20"/>
  <c r="K20" i="20"/>
  <c r="K21" i="20"/>
  <c r="K22" i="20"/>
  <c r="K16" i="20"/>
  <c r="K12" i="20"/>
  <c r="K13" i="20"/>
  <c r="P13" i="20"/>
  <c r="K14" i="20"/>
  <c r="P14" i="20"/>
  <c r="K15" i="20"/>
  <c r="P15" i="20"/>
  <c r="K23" i="20"/>
  <c r="H15" i="5"/>
  <c r="O17" i="20"/>
  <c r="G118" i="25"/>
  <c r="D17" i="25"/>
  <c r="F17" i="25"/>
  <c r="D18" i="25"/>
  <c r="F18" i="25"/>
  <c r="D19" i="25"/>
  <c r="F19" i="25"/>
  <c r="D20" i="25"/>
  <c r="F20" i="25"/>
  <c r="D21" i="25"/>
  <c r="F21" i="25"/>
  <c r="D22" i="25"/>
  <c r="F22" i="25"/>
  <c r="D23" i="25"/>
  <c r="F23" i="25"/>
  <c r="D24" i="25"/>
  <c r="F24" i="25"/>
  <c r="D25" i="25"/>
  <c r="F25" i="25"/>
  <c r="D26" i="25"/>
  <c r="F26" i="25"/>
  <c r="D27" i="25"/>
  <c r="F27" i="25"/>
  <c r="D28" i="25"/>
  <c r="F28" i="25"/>
  <c r="D29" i="25"/>
  <c r="F29" i="25"/>
  <c r="D30" i="25"/>
  <c r="F30" i="25"/>
  <c r="D31" i="25"/>
  <c r="F31" i="25"/>
  <c r="D32" i="25"/>
  <c r="N32" i="25"/>
  <c r="F32" i="25"/>
  <c r="D33" i="25"/>
  <c r="F33" i="25"/>
  <c r="D34" i="25"/>
  <c r="F34" i="25"/>
  <c r="D35" i="25"/>
  <c r="F35" i="25"/>
  <c r="D36" i="25"/>
  <c r="F36" i="25"/>
  <c r="D37" i="25"/>
  <c r="F37" i="25"/>
  <c r="D38" i="25"/>
  <c r="F38" i="25"/>
  <c r="D39" i="25"/>
  <c r="F39" i="25"/>
  <c r="D40" i="25"/>
  <c r="F40" i="25"/>
  <c r="D41" i="25"/>
  <c r="F41" i="25"/>
  <c r="D42" i="25"/>
  <c r="F42" i="25"/>
  <c r="D43" i="25"/>
  <c r="F43" i="25"/>
  <c r="D44" i="25"/>
  <c r="F44" i="25"/>
  <c r="D45" i="25"/>
  <c r="F45" i="25"/>
  <c r="D46" i="25"/>
  <c r="F46" i="25"/>
  <c r="D47" i="25"/>
  <c r="F47" i="25"/>
  <c r="D48" i="25"/>
  <c r="F48" i="25"/>
  <c r="D49" i="25"/>
  <c r="F49" i="25"/>
  <c r="D50" i="25"/>
  <c r="F50" i="25"/>
  <c r="D51" i="25"/>
  <c r="F51" i="25"/>
  <c r="D52" i="25"/>
  <c r="F52" i="25"/>
  <c r="D53" i="25"/>
  <c r="F53" i="25"/>
  <c r="D54" i="25"/>
  <c r="F54" i="25"/>
  <c r="D55" i="25"/>
  <c r="F55" i="25"/>
  <c r="D56" i="25"/>
  <c r="F56" i="25"/>
  <c r="D57" i="25"/>
  <c r="F57" i="25"/>
  <c r="D58" i="25"/>
  <c r="F58" i="25"/>
  <c r="D59" i="25"/>
  <c r="F59" i="25"/>
  <c r="D60" i="25"/>
  <c r="F60" i="25"/>
  <c r="D61" i="25"/>
  <c r="F61" i="25"/>
  <c r="D62" i="25"/>
  <c r="F62" i="25"/>
  <c r="D63" i="25"/>
  <c r="F63" i="25"/>
  <c r="D64" i="25"/>
  <c r="F64" i="25"/>
  <c r="D65" i="25"/>
  <c r="F65" i="25"/>
  <c r="D66" i="25"/>
  <c r="F66" i="25"/>
  <c r="D67" i="25"/>
  <c r="F67" i="25"/>
  <c r="D68" i="25"/>
  <c r="F68" i="25"/>
  <c r="D69" i="25"/>
  <c r="F69" i="25"/>
  <c r="D70" i="25"/>
  <c r="F70" i="25"/>
  <c r="D71" i="25"/>
  <c r="F71" i="25"/>
  <c r="D72" i="25"/>
  <c r="F72" i="25"/>
  <c r="D73" i="25"/>
  <c r="F73" i="25"/>
  <c r="D74" i="25"/>
  <c r="F74" i="25"/>
  <c r="D75" i="25"/>
  <c r="F75" i="25"/>
  <c r="D76" i="25"/>
  <c r="F76" i="25"/>
  <c r="D77" i="25"/>
  <c r="F77" i="25"/>
  <c r="D78" i="25"/>
  <c r="F78" i="25"/>
  <c r="D79" i="25"/>
  <c r="F79" i="25"/>
  <c r="D80" i="25"/>
  <c r="F80" i="25"/>
  <c r="D81" i="25"/>
  <c r="F81" i="25"/>
  <c r="D82" i="25"/>
  <c r="G84" i="20"/>
  <c r="F82" i="25"/>
  <c r="D83" i="25"/>
  <c r="F83" i="25"/>
  <c r="D84" i="25"/>
  <c r="F84" i="25"/>
  <c r="D85" i="25"/>
  <c r="F85" i="25"/>
  <c r="D86" i="25"/>
  <c r="F86" i="25"/>
  <c r="D87" i="25"/>
  <c r="F87" i="25"/>
  <c r="D88" i="25"/>
  <c r="F88" i="25"/>
  <c r="D89" i="25"/>
  <c r="F89" i="25"/>
  <c r="D90" i="25"/>
  <c r="F90" i="25"/>
  <c r="D91" i="25"/>
  <c r="F91" i="25"/>
  <c r="D92" i="25"/>
  <c r="F92" i="25"/>
  <c r="D93" i="25"/>
  <c r="F93" i="25"/>
  <c r="D94" i="25"/>
  <c r="F94" i="25"/>
  <c r="D95" i="25"/>
  <c r="F95" i="25"/>
  <c r="D96" i="25"/>
  <c r="F96" i="25"/>
  <c r="D97" i="25"/>
  <c r="F97" i="25"/>
  <c r="D98" i="25"/>
  <c r="F98" i="25"/>
  <c r="D99" i="25"/>
  <c r="F99" i="25"/>
  <c r="D100" i="25"/>
  <c r="F100" i="25"/>
  <c r="D101" i="25"/>
  <c r="F101" i="25"/>
  <c r="D102" i="25"/>
  <c r="F102" i="25"/>
  <c r="D103" i="25"/>
  <c r="F103" i="25"/>
  <c r="D104" i="25"/>
  <c r="F104" i="25"/>
  <c r="D105" i="25"/>
  <c r="F105" i="25"/>
  <c r="D106" i="25"/>
  <c r="F106" i="25"/>
  <c r="D107" i="25"/>
  <c r="F107" i="25"/>
  <c r="D108" i="25"/>
  <c r="F108" i="25"/>
  <c r="D109" i="25"/>
  <c r="F109" i="25"/>
  <c r="F16" i="25"/>
  <c r="D16" i="25"/>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K86" i="27"/>
  <c r="E87" i="27"/>
  <c r="E88" i="27"/>
  <c r="E89" i="27"/>
  <c r="E90" i="27"/>
  <c r="E91" i="27"/>
  <c r="E92" i="27"/>
  <c r="E93" i="27"/>
  <c r="E94" i="27"/>
  <c r="E95" i="27"/>
  <c r="E96" i="27"/>
  <c r="E97" i="27"/>
  <c r="E98" i="27"/>
  <c r="E99" i="27"/>
  <c r="E100" i="27"/>
  <c r="E101" i="27"/>
  <c r="E102" i="27"/>
  <c r="K102" i="27"/>
  <c r="E103" i="27"/>
  <c r="E104" i="27"/>
  <c r="E105" i="27"/>
  <c r="E106" i="27"/>
  <c r="E107" i="27"/>
  <c r="E108" i="27"/>
  <c r="E109" i="27"/>
  <c r="E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K57" i="27"/>
  <c r="D58" i="27"/>
  <c r="D59" i="27"/>
  <c r="D60" i="27"/>
  <c r="D61" i="27"/>
  <c r="D62" i="27"/>
  <c r="D63" i="27"/>
  <c r="D64" i="27"/>
  <c r="D65" i="27"/>
  <c r="D66" i="27"/>
  <c r="D67" i="27"/>
  <c r="D68" i="27"/>
  <c r="D69" i="27"/>
  <c r="D70" i="27"/>
  <c r="D71" i="27"/>
  <c r="K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5" i="27"/>
  <c r="F109" i="27"/>
  <c r="B24" i="22"/>
  <c r="H10" i="23"/>
  <c r="E34" i="8"/>
  <c r="E31" i="8"/>
  <c r="E36" i="8"/>
  <c r="E35" i="8"/>
  <c r="E37" i="8"/>
  <c r="E38" i="8"/>
  <c r="B36" i="8"/>
  <c r="B35" i="8"/>
  <c r="B34" i="8"/>
  <c r="B37" i="8"/>
  <c r="B38" i="8"/>
  <c r="B31" i="8"/>
  <c r="B13" i="8"/>
  <c r="D34" i="18"/>
  <c r="D33" i="18"/>
  <c r="D31" i="18"/>
  <c r="D26" i="18"/>
  <c r="D25" i="18"/>
  <c r="D24" i="18"/>
  <c r="D23" i="18"/>
  <c r="D22" i="18"/>
  <c r="F34" i="18"/>
  <c r="C140" i="14"/>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2" i="20"/>
  <c r="N112" i="20"/>
  <c r="B18" i="30"/>
  <c r="M13" i="20"/>
  <c r="M14" i="20"/>
  <c r="M15" i="20"/>
  <c r="M16" i="20"/>
  <c r="M12"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S94" i="20"/>
  <c r="T94" i="20"/>
  <c r="H95" i="20"/>
  <c r="H96" i="20"/>
  <c r="H97" i="20"/>
  <c r="H98" i="20"/>
  <c r="H99" i="20"/>
  <c r="H100" i="20"/>
  <c r="H101" i="20"/>
  <c r="H102" i="20"/>
  <c r="H103" i="20"/>
  <c r="H104" i="20"/>
  <c r="H105" i="20"/>
  <c r="H106" i="20"/>
  <c r="H107" i="20"/>
  <c r="H108" i="20"/>
  <c r="H109" i="20"/>
  <c r="H110" i="20"/>
  <c r="H111" i="20"/>
  <c r="H13" i="20"/>
  <c r="H14" i="20"/>
  <c r="H15" i="20"/>
  <c r="H12" i="20"/>
  <c r="C110" i="5"/>
  <c r="G13" i="20"/>
  <c r="G14" i="20"/>
  <c r="G15" i="20"/>
  <c r="G16" i="20"/>
  <c r="G17" i="20"/>
  <c r="G12"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 i="20"/>
  <c r="W11" i="20"/>
  <c r="X11" i="20"/>
  <c r="E51" i="20"/>
  <c r="E67" i="20"/>
  <c r="E75" i="20"/>
  <c r="E17" i="20"/>
  <c r="C11" i="25"/>
  <c r="E13" i="20"/>
  <c r="C12" i="25"/>
  <c r="E14" i="20"/>
  <c r="C13" i="25"/>
  <c r="C14" i="25"/>
  <c r="E18" i="20"/>
  <c r="C17" i="25"/>
  <c r="N17" i="25"/>
  <c r="C18" i="25"/>
  <c r="C19" i="25"/>
  <c r="E21" i="20"/>
  <c r="C20" i="25"/>
  <c r="E22" i="20"/>
  <c r="C21" i="25"/>
  <c r="E23" i="20"/>
  <c r="C22" i="25"/>
  <c r="E24" i="20"/>
  <c r="C23" i="25"/>
  <c r="C24" i="25"/>
  <c r="E26" i="20"/>
  <c r="C25" i="25"/>
  <c r="C26" i="25"/>
  <c r="E28" i="20"/>
  <c r="C27" i="25"/>
  <c r="E29" i="20"/>
  <c r="C28" i="25"/>
  <c r="E30" i="20"/>
  <c r="C29" i="25"/>
  <c r="E31" i="20"/>
  <c r="C30" i="25"/>
  <c r="E32" i="20"/>
  <c r="C31" i="25"/>
  <c r="E33" i="20"/>
  <c r="C32" i="25"/>
  <c r="E34" i="20"/>
  <c r="C33" i="25"/>
  <c r="C34" i="25"/>
  <c r="E36" i="20"/>
  <c r="C35" i="25"/>
  <c r="C36" i="25"/>
  <c r="E38" i="20"/>
  <c r="C37" i="25"/>
  <c r="E39" i="20"/>
  <c r="C38" i="25"/>
  <c r="E40" i="20"/>
  <c r="C39" i="25"/>
  <c r="E41" i="20"/>
  <c r="C40" i="25"/>
  <c r="E42" i="20"/>
  <c r="C41" i="25"/>
  <c r="E43" i="20"/>
  <c r="C42" i="25"/>
  <c r="E44" i="20"/>
  <c r="C43" i="25"/>
  <c r="E45" i="20"/>
  <c r="C44" i="25"/>
  <c r="E46" i="20"/>
  <c r="C45" i="25"/>
  <c r="E47" i="20"/>
  <c r="C46" i="25"/>
  <c r="E48" i="20"/>
  <c r="C47" i="25"/>
  <c r="E49" i="20"/>
  <c r="C48" i="25"/>
  <c r="E50" i="20"/>
  <c r="C49" i="25"/>
  <c r="C50" i="25"/>
  <c r="E52" i="20"/>
  <c r="C51" i="25"/>
  <c r="E53" i="20"/>
  <c r="C52" i="25"/>
  <c r="E54" i="20"/>
  <c r="C53" i="25"/>
  <c r="E55" i="20"/>
  <c r="C54" i="25"/>
  <c r="E56" i="20"/>
  <c r="C55" i="25"/>
  <c r="N55" i="25"/>
  <c r="E57" i="20"/>
  <c r="C56" i="25"/>
  <c r="E58" i="20"/>
  <c r="C57" i="25"/>
  <c r="E59" i="20"/>
  <c r="C58" i="25"/>
  <c r="E60" i="20"/>
  <c r="C59" i="25"/>
  <c r="E61" i="20"/>
  <c r="C60" i="25"/>
  <c r="E62" i="20"/>
  <c r="C61" i="25"/>
  <c r="E63" i="20"/>
  <c r="C62" i="25"/>
  <c r="E64" i="20"/>
  <c r="C63" i="25"/>
  <c r="E65" i="20"/>
  <c r="C64" i="25"/>
  <c r="C65" i="25"/>
  <c r="C66" i="25"/>
  <c r="E68" i="20"/>
  <c r="C67" i="25"/>
  <c r="E69" i="20"/>
  <c r="C68" i="25"/>
  <c r="E70" i="20"/>
  <c r="C69" i="25"/>
  <c r="E71" i="20"/>
  <c r="C70" i="25"/>
  <c r="E72" i="20"/>
  <c r="C71" i="25"/>
  <c r="E73" i="20"/>
  <c r="C72" i="25"/>
  <c r="E74" i="20"/>
  <c r="C73" i="25"/>
  <c r="C74" i="25"/>
  <c r="E76" i="20"/>
  <c r="C75" i="25"/>
  <c r="E77" i="20"/>
  <c r="C76" i="25"/>
  <c r="E78" i="20"/>
  <c r="C77" i="25"/>
  <c r="E79" i="20"/>
  <c r="C78" i="25"/>
  <c r="E80" i="20"/>
  <c r="C79" i="25"/>
  <c r="E81" i="20"/>
  <c r="C80" i="25"/>
  <c r="E82" i="20"/>
  <c r="C81" i="25"/>
  <c r="E83" i="20"/>
  <c r="C82" i="25"/>
  <c r="C83" i="25"/>
  <c r="C84" i="25"/>
  <c r="C85" i="25"/>
  <c r="E87" i="20"/>
  <c r="C86" i="25"/>
  <c r="C87" i="25"/>
  <c r="E89" i="20"/>
  <c r="C88" i="25"/>
  <c r="E90" i="20"/>
  <c r="C89" i="25"/>
  <c r="E91" i="20"/>
  <c r="C90" i="25"/>
  <c r="E92" i="20"/>
  <c r="C91" i="25"/>
  <c r="E93" i="20"/>
  <c r="C92" i="25"/>
  <c r="E94" i="20"/>
  <c r="C93" i="25"/>
  <c r="N93" i="25"/>
  <c r="E95" i="20"/>
  <c r="C94" i="25"/>
  <c r="C95" i="25"/>
  <c r="E97" i="20"/>
  <c r="C96" i="25"/>
  <c r="E98" i="20"/>
  <c r="C97" i="25"/>
  <c r="E99" i="20"/>
  <c r="C98" i="25"/>
  <c r="E100" i="20"/>
  <c r="C99" i="25"/>
  <c r="E101" i="20"/>
  <c r="C100" i="25"/>
  <c r="E102" i="20"/>
  <c r="C101" i="25"/>
  <c r="E103" i="20"/>
  <c r="C102" i="25"/>
  <c r="E104" i="20"/>
  <c r="C103" i="25"/>
  <c r="C104" i="25"/>
  <c r="E106" i="20"/>
  <c r="C105" i="25"/>
  <c r="E107" i="20"/>
  <c r="C106" i="25"/>
  <c r="E108" i="20"/>
  <c r="C107" i="25"/>
  <c r="E109" i="20"/>
  <c r="C108" i="25"/>
  <c r="E110" i="20"/>
  <c r="C109" i="25"/>
  <c r="E111" i="20"/>
  <c r="C10" i="25"/>
  <c r="E11" i="20"/>
  <c r="E12" i="20"/>
  <c r="D111" i="24"/>
  <c r="C110" i="27"/>
  <c r="F105" i="27"/>
  <c r="F15" i="27"/>
  <c r="G96" i="25"/>
  <c r="G15" i="27"/>
  <c r="J24" i="27"/>
  <c r="J16" i="27"/>
  <c r="L18" i="20"/>
  <c r="J109" i="27"/>
  <c r="L111" i="20"/>
  <c r="J108" i="27"/>
  <c r="J107" i="27"/>
  <c r="J106" i="27"/>
  <c r="L108" i="20"/>
  <c r="J105" i="27"/>
  <c r="L107" i="20"/>
  <c r="J104" i="27"/>
  <c r="J103" i="27"/>
  <c r="L105" i="20"/>
  <c r="J102" i="27"/>
  <c r="L104" i="20"/>
  <c r="J101" i="27"/>
  <c r="J100" i="27"/>
  <c r="J99" i="27"/>
  <c r="L101" i="20"/>
  <c r="J98" i="27"/>
  <c r="L100" i="20"/>
  <c r="J97" i="27"/>
  <c r="L99" i="20"/>
  <c r="J96" i="27"/>
  <c r="J95" i="27"/>
  <c r="L97" i="20"/>
  <c r="J94" i="27"/>
  <c r="L96" i="20"/>
  <c r="J93" i="27"/>
  <c r="J92" i="27"/>
  <c r="J91" i="27"/>
  <c r="L93" i="20"/>
  <c r="J90" i="27"/>
  <c r="L92" i="20"/>
  <c r="J89" i="27"/>
  <c r="J88" i="27"/>
  <c r="L90" i="20"/>
  <c r="J87" i="27"/>
  <c r="L89" i="20"/>
  <c r="J86" i="27"/>
  <c r="L88" i="20"/>
  <c r="J85" i="27"/>
  <c r="L87" i="20"/>
  <c r="J84" i="27"/>
  <c r="J83" i="27"/>
  <c r="L85" i="20"/>
  <c r="J82" i="27"/>
  <c r="L84" i="20"/>
  <c r="J81" i="27"/>
  <c r="J80" i="27"/>
  <c r="L82" i="20"/>
  <c r="J79" i="27"/>
  <c r="L81" i="20"/>
  <c r="J78" i="27"/>
  <c r="L80" i="20"/>
  <c r="J77" i="27"/>
  <c r="J76" i="27"/>
  <c r="J75" i="27"/>
  <c r="L77" i="20"/>
  <c r="J74" i="27"/>
  <c r="J73" i="27"/>
  <c r="J72" i="27"/>
  <c r="L74" i="20"/>
  <c r="J71" i="27"/>
  <c r="L73" i="20"/>
  <c r="J70" i="27"/>
  <c r="J69" i="27"/>
  <c r="J68" i="27"/>
  <c r="J67" i="27"/>
  <c r="K67" i="27"/>
  <c r="L69" i="20"/>
  <c r="J66" i="27"/>
  <c r="L68" i="20"/>
  <c r="J65" i="27"/>
  <c r="J64" i="27"/>
  <c r="J63" i="27"/>
  <c r="L65" i="20"/>
  <c r="J62" i="27"/>
  <c r="L64" i="20"/>
  <c r="J61" i="27"/>
  <c r="J60" i="27"/>
  <c r="J59" i="27"/>
  <c r="J58" i="27"/>
  <c r="J57" i="27"/>
  <c r="J56" i="27"/>
  <c r="L58" i="20"/>
  <c r="J55" i="27"/>
  <c r="L57" i="20"/>
  <c r="J54" i="27"/>
  <c r="L56" i="20"/>
  <c r="J53" i="27"/>
  <c r="J52" i="27"/>
  <c r="J51" i="27"/>
  <c r="L53" i="20"/>
  <c r="J50" i="27"/>
  <c r="L52" i="20"/>
  <c r="J49" i="27"/>
  <c r="J48" i="27"/>
  <c r="J47" i="27"/>
  <c r="J46" i="27"/>
  <c r="J45" i="27"/>
  <c r="J44" i="27"/>
  <c r="J43" i="27"/>
  <c r="L45" i="20"/>
  <c r="J42" i="27"/>
  <c r="L44" i="20"/>
  <c r="J41" i="27"/>
  <c r="J40" i="27"/>
  <c r="L42" i="20"/>
  <c r="J39" i="27"/>
  <c r="L41" i="20"/>
  <c r="J38" i="27"/>
  <c r="L40" i="20"/>
  <c r="J37" i="27"/>
  <c r="J36" i="27"/>
  <c r="J35" i="27"/>
  <c r="J34" i="27"/>
  <c r="J33" i="27"/>
  <c r="J32" i="27"/>
  <c r="J31" i="27"/>
  <c r="L33" i="20"/>
  <c r="J30" i="27"/>
  <c r="L32" i="20"/>
  <c r="J29" i="27"/>
  <c r="J28" i="27"/>
  <c r="J27" i="27"/>
  <c r="L29" i="20"/>
  <c r="J26" i="27"/>
  <c r="L28" i="20"/>
  <c r="J25" i="27"/>
  <c r="J23" i="27"/>
  <c r="J22" i="27"/>
  <c r="L24" i="20"/>
  <c r="J21" i="27"/>
  <c r="L23" i="20"/>
  <c r="J20" i="27"/>
  <c r="L22" i="20"/>
  <c r="J19" i="27"/>
  <c r="L21" i="20"/>
  <c r="J18" i="27"/>
  <c r="J17" i="27"/>
  <c r="L19" i="20"/>
  <c r="J15" i="27"/>
  <c r="H11" i="24"/>
  <c r="C12" i="20"/>
  <c r="M109" i="25"/>
  <c r="M108" i="25"/>
  <c r="M107" i="25"/>
  <c r="F109" i="20"/>
  <c r="M106" i="25"/>
  <c r="F108" i="20"/>
  <c r="M105" i="25"/>
  <c r="F107" i="20"/>
  <c r="M104" i="25"/>
  <c r="F106" i="20"/>
  <c r="M103" i="25"/>
  <c r="F105" i="20"/>
  <c r="M102" i="25"/>
  <c r="M101" i="25"/>
  <c r="M100" i="25"/>
  <c r="F102" i="20"/>
  <c r="M99" i="25"/>
  <c r="F101" i="20"/>
  <c r="M98" i="25"/>
  <c r="F100" i="20"/>
  <c r="M97" i="25"/>
  <c r="M96" i="25"/>
  <c r="M95" i="25"/>
  <c r="M94" i="25"/>
  <c r="M93" i="25"/>
  <c r="M92" i="25"/>
  <c r="M91" i="25"/>
  <c r="F93" i="20"/>
  <c r="M90" i="25"/>
  <c r="F92" i="20"/>
  <c r="M89" i="25"/>
  <c r="F91" i="20"/>
  <c r="M88" i="25"/>
  <c r="M87" i="25"/>
  <c r="F89" i="20"/>
  <c r="M86" i="25"/>
  <c r="F88" i="20"/>
  <c r="M85" i="25"/>
  <c r="M84" i="25"/>
  <c r="M83" i="25"/>
  <c r="M82" i="25"/>
  <c r="M81" i="25"/>
  <c r="M80" i="25"/>
  <c r="M79" i="25"/>
  <c r="M78" i="25"/>
  <c r="F80" i="20"/>
  <c r="M77" i="25"/>
  <c r="F79" i="20"/>
  <c r="M76" i="25"/>
  <c r="M75" i="25"/>
  <c r="F77" i="20"/>
  <c r="M74" i="25"/>
  <c r="F76" i="20"/>
  <c r="M73" i="25"/>
  <c r="F75" i="20"/>
  <c r="M72" i="25"/>
  <c r="M71" i="25"/>
  <c r="F73" i="20"/>
  <c r="M70" i="25"/>
  <c r="F72" i="20"/>
  <c r="M69" i="25"/>
  <c r="M68" i="25"/>
  <c r="M67" i="25"/>
  <c r="F69" i="20"/>
  <c r="M66" i="25"/>
  <c r="M65" i="25"/>
  <c r="F67" i="20"/>
  <c r="M64" i="25"/>
  <c r="M63" i="25"/>
  <c r="F65" i="20"/>
  <c r="M62" i="25"/>
  <c r="F64" i="20"/>
  <c r="M61" i="25"/>
  <c r="M60" i="25"/>
  <c r="F62" i="20"/>
  <c r="M59" i="25"/>
  <c r="F61" i="20"/>
  <c r="M58" i="25"/>
  <c r="M57" i="25"/>
  <c r="M56" i="25"/>
  <c r="M55" i="25"/>
  <c r="M54" i="25"/>
  <c r="F56" i="20"/>
  <c r="M53" i="25"/>
  <c r="F55" i="20"/>
  <c r="M52" i="25"/>
  <c r="F54" i="20"/>
  <c r="M51" i="25"/>
  <c r="F53" i="20"/>
  <c r="M50" i="25"/>
  <c r="F52" i="20"/>
  <c r="M49" i="25"/>
  <c r="M48" i="25"/>
  <c r="F50" i="20"/>
  <c r="M47" i="25"/>
  <c r="F49" i="20"/>
  <c r="M46" i="25"/>
  <c r="M45" i="25"/>
  <c r="M44" i="25"/>
  <c r="F46" i="20"/>
  <c r="M43" i="25"/>
  <c r="M42" i="25"/>
  <c r="F44" i="20"/>
  <c r="M41" i="25"/>
  <c r="M40" i="25"/>
  <c r="M39" i="25"/>
  <c r="F41" i="20"/>
  <c r="M38" i="25"/>
  <c r="F40" i="20"/>
  <c r="M37" i="25"/>
  <c r="F39" i="20"/>
  <c r="M36" i="25"/>
  <c r="N36" i="25"/>
  <c r="M35" i="25"/>
  <c r="M34" i="25"/>
  <c r="F36" i="20"/>
  <c r="M33" i="25"/>
  <c r="M32" i="25"/>
  <c r="M31" i="25"/>
  <c r="M30" i="25"/>
  <c r="M29" i="25"/>
  <c r="F31" i="20"/>
  <c r="M28" i="25"/>
  <c r="M27" i="25"/>
  <c r="F29" i="20"/>
  <c r="M26" i="25"/>
  <c r="M25" i="25"/>
  <c r="F27" i="20"/>
  <c r="M24" i="25"/>
  <c r="F26" i="20"/>
  <c r="M23" i="25"/>
  <c r="F25" i="20"/>
  <c r="M22" i="25"/>
  <c r="M21" i="25"/>
  <c r="F23" i="20"/>
  <c r="M20" i="25"/>
  <c r="F22" i="20"/>
  <c r="M19" i="25"/>
  <c r="M18" i="25"/>
  <c r="M17" i="25"/>
  <c r="F19" i="20"/>
  <c r="M16" i="25"/>
  <c r="I109" i="25"/>
  <c r="I108" i="25"/>
  <c r="I107" i="25"/>
  <c r="I106" i="25"/>
  <c r="I105" i="25"/>
  <c r="I104" i="25"/>
  <c r="I103" i="25"/>
  <c r="I102" i="25"/>
  <c r="G104" i="20"/>
  <c r="I101" i="25"/>
  <c r="I100" i="25"/>
  <c r="I99" i="25"/>
  <c r="I98" i="25"/>
  <c r="I97" i="25"/>
  <c r="I96" i="25"/>
  <c r="I95" i="25"/>
  <c r="I94" i="25"/>
  <c r="I93" i="25"/>
  <c r="I92" i="25"/>
  <c r="I91" i="25"/>
  <c r="I90" i="25"/>
  <c r="I89" i="25"/>
  <c r="I88" i="25"/>
  <c r="I87" i="25"/>
  <c r="I86" i="25"/>
  <c r="I85" i="25"/>
  <c r="N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N53" i="25"/>
  <c r="I52" i="25"/>
  <c r="I51" i="25"/>
  <c r="I50" i="25"/>
  <c r="I49" i="25"/>
  <c r="I48" i="25"/>
  <c r="I47" i="25"/>
  <c r="I46" i="25"/>
  <c r="I45" i="25"/>
  <c r="N45" i="25"/>
  <c r="I44" i="25"/>
  <c r="I43" i="25"/>
  <c r="I42" i="25"/>
  <c r="I41" i="25"/>
  <c r="I40" i="25"/>
  <c r="I39" i="25"/>
  <c r="I38" i="25"/>
  <c r="G40" i="20"/>
  <c r="I37" i="25"/>
  <c r="I36" i="25"/>
  <c r="I35" i="25"/>
  <c r="I34" i="25"/>
  <c r="I33" i="25"/>
  <c r="I32" i="25"/>
  <c r="I31" i="25"/>
  <c r="I30" i="25"/>
  <c r="I29" i="25"/>
  <c r="I28" i="25"/>
  <c r="N28" i="25"/>
  <c r="I27" i="25"/>
  <c r="I26" i="25"/>
  <c r="I25" i="25"/>
  <c r="I24" i="25"/>
  <c r="I23" i="25"/>
  <c r="I22" i="25"/>
  <c r="I21" i="25"/>
  <c r="I20" i="25"/>
  <c r="I19" i="25"/>
  <c r="I18" i="25"/>
  <c r="I17" i="25"/>
  <c r="H109" i="25"/>
  <c r="H108" i="25"/>
  <c r="H107" i="25"/>
  <c r="N107" i="25"/>
  <c r="H106" i="25"/>
  <c r="H105" i="25"/>
  <c r="H104" i="25"/>
  <c r="N104" i="25"/>
  <c r="H103" i="25"/>
  <c r="H102" i="25"/>
  <c r="H101" i="25"/>
  <c r="H100" i="25"/>
  <c r="H99" i="25"/>
  <c r="H98" i="25"/>
  <c r="H97" i="25"/>
  <c r="N97" i="25"/>
  <c r="H96" i="25"/>
  <c r="N96" i="25"/>
  <c r="H95" i="25"/>
  <c r="H94" i="25"/>
  <c r="H93" i="25"/>
  <c r="H92" i="25"/>
  <c r="H91" i="25"/>
  <c r="H90" i="25"/>
  <c r="H89" i="25"/>
  <c r="H88" i="25"/>
  <c r="H87" i="25"/>
  <c r="H86" i="25"/>
  <c r="H85" i="25"/>
  <c r="H84" i="25"/>
  <c r="H83" i="25"/>
  <c r="H82" i="25"/>
  <c r="H81" i="25"/>
  <c r="N81" i="25"/>
  <c r="H80" i="25"/>
  <c r="N80" i="25"/>
  <c r="H79" i="25"/>
  <c r="H78" i="25"/>
  <c r="H77" i="25"/>
  <c r="H76" i="25"/>
  <c r="N76" i="25"/>
  <c r="H75" i="25"/>
  <c r="H74" i="25"/>
  <c r="H73" i="25"/>
  <c r="H72" i="25"/>
  <c r="N72" i="25"/>
  <c r="H71" i="25"/>
  <c r="H70" i="25"/>
  <c r="H68" i="25"/>
  <c r="H67" i="25"/>
  <c r="N67" i="25"/>
  <c r="H66" i="25"/>
  <c r="H65" i="25"/>
  <c r="H64" i="25"/>
  <c r="H63" i="25"/>
  <c r="H62" i="25"/>
  <c r="H60" i="25"/>
  <c r="H59" i="25"/>
  <c r="H58" i="25"/>
  <c r="H57" i="25"/>
  <c r="H56" i="25"/>
  <c r="H55" i="25"/>
  <c r="H54" i="25"/>
  <c r="H53" i="25"/>
  <c r="H52" i="25"/>
  <c r="H51" i="25"/>
  <c r="H50" i="25"/>
  <c r="H49" i="25"/>
  <c r="N49" i="25"/>
  <c r="H48" i="25"/>
  <c r="H47" i="25"/>
  <c r="H46" i="25"/>
  <c r="H45" i="25"/>
  <c r="H44" i="25"/>
  <c r="N44" i="25"/>
  <c r="H43" i="25"/>
  <c r="H42" i="25"/>
  <c r="H41" i="25"/>
  <c r="H40" i="25"/>
  <c r="N40" i="25"/>
  <c r="H39" i="25"/>
  <c r="H38" i="25"/>
  <c r="H37" i="25"/>
  <c r="H36" i="25"/>
  <c r="G16" i="25"/>
  <c r="H16" i="24"/>
  <c r="C17" i="20"/>
  <c r="H15" i="24"/>
  <c r="H14" i="24"/>
  <c r="C15" i="20"/>
  <c r="H13" i="24"/>
  <c r="C14" i="20"/>
  <c r="H12" i="24"/>
  <c r="C13" i="20"/>
  <c r="E11" i="24"/>
  <c r="C111" i="17"/>
  <c r="K111" i="17"/>
  <c r="M111" i="17"/>
  <c r="N111" i="17"/>
  <c r="P111" i="17"/>
  <c r="C112" i="17"/>
  <c r="K112" i="17"/>
  <c r="M112" i="17"/>
  <c r="N112" i="17"/>
  <c r="P112" i="17"/>
  <c r="B111" i="17"/>
  <c r="H47" i="6"/>
  <c r="H39" i="6"/>
  <c r="C28" i="14"/>
  <c r="C26" i="14"/>
  <c r="L6" i="10"/>
  <c r="L5" i="10"/>
  <c r="B12" i="22"/>
  <c r="E12" i="8"/>
  <c r="E32" i="8"/>
  <c r="E16" i="8"/>
  <c r="E20" i="8"/>
  <c r="B20" i="8"/>
  <c r="B16" i="8"/>
  <c r="B12" i="8"/>
  <c r="B32" i="8"/>
  <c r="O111"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2" i="9"/>
  <c r="C284" i="14"/>
  <c r="C280" i="14"/>
  <c r="B4" i="18"/>
  <c r="B4" i="17"/>
  <c r="C4" i="9"/>
  <c r="B4" i="22"/>
  <c r="B4" i="8"/>
  <c r="C4" i="23"/>
  <c r="C4" i="5"/>
  <c r="C4" i="27"/>
  <c r="B4" i="10"/>
  <c r="B4" i="7"/>
  <c r="C4" i="6"/>
  <c r="C4" i="25"/>
  <c r="C4" i="24"/>
  <c r="C4" i="20"/>
  <c r="C10" i="24"/>
  <c r="B11" i="20"/>
  <c r="S11" i="20"/>
  <c r="B112" i="17"/>
  <c r="L17" i="17"/>
  <c r="AB17" i="17"/>
  <c r="AC17" i="17"/>
  <c r="H17" i="10"/>
  <c r="L18" i="17"/>
  <c r="AB18" i="17"/>
  <c r="AC18" i="17"/>
  <c r="H18" i="10"/>
  <c r="L19" i="17"/>
  <c r="L20" i="17"/>
  <c r="L21" i="17"/>
  <c r="AB21" i="17"/>
  <c r="AC21" i="17"/>
  <c r="H21" i="10"/>
  <c r="L22" i="17"/>
  <c r="AB22" i="17"/>
  <c r="AC22" i="17"/>
  <c r="H22" i="10"/>
  <c r="L23" i="17"/>
  <c r="AB23" i="17"/>
  <c r="AC23" i="17"/>
  <c r="H23" i="10"/>
  <c r="L24" i="17"/>
  <c r="L25" i="17"/>
  <c r="AB25" i="17"/>
  <c r="AC25" i="17"/>
  <c r="H25" i="10"/>
  <c r="L26" i="17"/>
  <c r="AB26" i="17"/>
  <c r="AC26" i="17"/>
  <c r="H26" i="10"/>
  <c r="L27" i="17"/>
  <c r="AB27" i="17"/>
  <c r="AC27" i="17"/>
  <c r="H27" i="10"/>
  <c r="L28" i="17"/>
  <c r="AB28" i="17"/>
  <c r="AC28" i="17"/>
  <c r="H28" i="10"/>
  <c r="L29" i="17"/>
  <c r="AB29" i="17"/>
  <c r="AC29" i="17"/>
  <c r="H29" i="10"/>
  <c r="L30" i="17"/>
  <c r="L31" i="17"/>
  <c r="L32" i="17"/>
  <c r="L33" i="17"/>
  <c r="AB33" i="17"/>
  <c r="L34" i="17"/>
  <c r="AB34" i="17"/>
  <c r="AC34" i="17"/>
  <c r="H34" i="10"/>
  <c r="L35" i="17"/>
  <c r="AB35" i="17"/>
  <c r="AC35" i="17"/>
  <c r="H35" i="10"/>
  <c r="L36" i="17"/>
  <c r="AB36" i="17"/>
  <c r="AC36" i="17"/>
  <c r="H36" i="10"/>
  <c r="L37" i="17"/>
  <c r="L38" i="17"/>
  <c r="L39" i="17"/>
  <c r="L40" i="17"/>
  <c r="AB40" i="17"/>
  <c r="AC40" i="17"/>
  <c r="H40" i="10"/>
  <c r="L41" i="17"/>
  <c r="AB41" i="17"/>
  <c r="AC41" i="17"/>
  <c r="H41" i="10"/>
  <c r="L42" i="17"/>
  <c r="AB42" i="17"/>
  <c r="AC42" i="17"/>
  <c r="H42" i="10"/>
  <c r="L43" i="17"/>
  <c r="L44" i="17"/>
  <c r="L45" i="17"/>
  <c r="L46" i="17"/>
  <c r="AB46" i="17"/>
  <c r="AC46" i="17"/>
  <c r="H46" i="10"/>
  <c r="L47" i="17"/>
  <c r="AB47" i="17"/>
  <c r="L48" i="17"/>
  <c r="AB48" i="17"/>
  <c r="AC48" i="17"/>
  <c r="H48" i="10"/>
  <c r="L49" i="17"/>
  <c r="AB49" i="17"/>
  <c r="AC49" i="17"/>
  <c r="H49" i="10"/>
  <c r="L50" i="17"/>
  <c r="L51" i="17"/>
  <c r="AB51" i="17"/>
  <c r="AC51" i="17"/>
  <c r="H51" i="10"/>
  <c r="L52" i="17"/>
  <c r="AB52" i="17"/>
  <c r="AC52" i="17"/>
  <c r="H52" i="10"/>
  <c r="L53" i="17"/>
  <c r="AB53" i="17"/>
  <c r="AC53" i="17"/>
  <c r="H53" i="10"/>
  <c r="L54" i="17"/>
  <c r="AB54" i="17"/>
  <c r="AC54" i="17"/>
  <c r="H54" i="10"/>
  <c r="L55" i="17"/>
  <c r="L56" i="17"/>
  <c r="L57" i="17"/>
  <c r="AB57" i="17"/>
  <c r="AC57" i="17"/>
  <c r="H57" i="10"/>
  <c r="L58" i="17"/>
  <c r="AB58" i="17"/>
  <c r="AC58" i="17"/>
  <c r="H58" i="10"/>
  <c r="L59" i="17"/>
  <c r="AB59" i="17"/>
  <c r="AC59" i="17"/>
  <c r="H59" i="10"/>
  <c r="L60" i="17"/>
  <c r="AB60" i="17"/>
  <c r="AC60" i="17"/>
  <c r="H60" i="10"/>
  <c r="L61" i="17"/>
  <c r="L62" i="17"/>
  <c r="AB62" i="17"/>
  <c r="AC62" i="17"/>
  <c r="H62" i="10"/>
  <c r="L63" i="17"/>
  <c r="AB63" i="17"/>
  <c r="AC63" i="17"/>
  <c r="H63" i="10"/>
  <c r="L64" i="17"/>
  <c r="AB64" i="17"/>
  <c r="AC64" i="17"/>
  <c r="H64" i="10"/>
  <c r="L65" i="17"/>
  <c r="AB65" i="17"/>
  <c r="AC65" i="17"/>
  <c r="H65" i="10"/>
  <c r="L66" i="17"/>
  <c r="L67" i="17"/>
  <c r="AB67" i="17"/>
  <c r="AC67" i="17"/>
  <c r="H67" i="10"/>
  <c r="L68" i="17"/>
  <c r="AB68" i="17"/>
  <c r="AC68" i="17"/>
  <c r="H68" i="10"/>
  <c r="L69" i="17"/>
  <c r="AB69" i="17"/>
  <c r="AC69" i="17"/>
  <c r="H69" i="10"/>
  <c r="L70" i="17"/>
  <c r="AB70" i="17"/>
  <c r="AC70" i="17"/>
  <c r="H70" i="10"/>
  <c r="L71" i="17"/>
  <c r="L72" i="17"/>
  <c r="L73" i="17"/>
  <c r="L74" i="17"/>
  <c r="AB74" i="17"/>
  <c r="AC74" i="17"/>
  <c r="H74" i="10"/>
  <c r="L75" i="17"/>
  <c r="AB75" i="17"/>
  <c r="AC75" i="17"/>
  <c r="H75" i="10"/>
  <c r="L76" i="17"/>
  <c r="AB76" i="17"/>
  <c r="AC76" i="17"/>
  <c r="H76" i="10"/>
  <c r="L77" i="17"/>
  <c r="L78" i="17"/>
  <c r="AB78" i="17"/>
  <c r="AC78" i="17"/>
  <c r="H78" i="10"/>
  <c r="L79" i="17"/>
  <c r="AB79" i="17"/>
  <c r="AC79" i="17"/>
  <c r="H79" i="10"/>
  <c r="L80" i="17"/>
  <c r="AB80" i="17"/>
  <c r="AC80" i="17"/>
  <c r="H80" i="10"/>
  <c r="L81" i="17"/>
  <c r="AB81" i="17"/>
  <c r="L82" i="17"/>
  <c r="AB82" i="17"/>
  <c r="AC82" i="17"/>
  <c r="H82" i="10"/>
  <c r="L83" i="17"/>
  <c r="L84" i="17"/>
  <c r="L85" i="17"/>
  <c r="AB85" i="17"/>
  <c r="AC85" i="17"/>
  <c r="H85" i="10"/>
  <c r="L86" i="17"/>
  <c r="AB86" i="17"/>
  <c r="AC86" i="17"/>
  <c r="H86" i="10"/>
  <c r="L87" i="17"/>
  <c r="AB87" i="17"/>
  <c r="L88" i="17"/>
  <c r="AB88" i="17"/>
  <c r="AC88" i="17"/>
  <c r="H88" i="10"/>
  <c r="L89" i="17"/>
  <c r="AB89" i="17"/>
  <c r="AC89" i="17"/>
  <c r="H89" i="10"/>
  <c r="L90" i="17"/>
  <c r="L91" i="17"/>
  <c r="L92" i="17"/>
  <c r="AB92" i="17"/>
  <c r="AC92" i="17"/>
  <c r="H92" i="10"/>
  <c r="L93" i="17"/>
  <c r="AB93" i="17"/>
  <c r="AC93" i="17"/>
  <c r="H93" i="10"/>
  <c r="L94" i="17"/>
  <c r="AB94" i="17"/>
  <c r="AC94" i="17"/>
  <c r="H94" i="10"/>
  <c r="L95" i="17"/>
  <c r="AB95" i="17"/>
  <c r="AC95" i="17"/>
  <c r="H95" i="10"/>
  <c r="L96" i="17"/>
  <c r="L97" i="17"/>
  <c r="AB97" i="17"/>
  <c r="AC97" i="17"/>
  <c r="H97" i="10"/>
  <c r="L98" i="17"/>
  <c r="AB98" i="17"/>
  <c r="AC98" i="17"/>
  <c r="H98" i="10"/>
  <c r="L99" i="17"/>
  <c r="AB99" i="17"/>
  <c r="AC99" i="17"/>
  <c r="H99" i="10"/>
  <c r="L100" i="17"/>
  <c r="AB100" i="17"/>
  <c r="AC100" i="17"/>
  <c r="H100" i="10"/>
  <c r="L101" i="17"/>
  <c r="AB101" i="17"/>
  <c r="L102" i="17"/>
  <c r="AB102" i="17"/>
  <c r="AC102" i="17"/>
  <c r="H102" i="10"/>
  <c r="L103" i="17"/>
  <c r="L104" i="17"/>
  <c r="L105" i="17"/>
  <c r="AB105" i="17"/>
  <c r="AC105" i="17"/>
  <c r="H105" i="10"/>
  <c r="L106" i="17"/>
  <c r="AB106" i="17"/>
  <c r="L107" i="17"/>
  <c r="AB107" i="17"/>
  <c r="AC107" i="17"/>
  <c r="H107" i="10"/>
  <c r="L108" i="17"/>
  <c r="AB108" i="17"/>
  <c r="AC108" i="17"/>
  <c r="H108" i="10"/>
  <c r="L109" i="17"/>
  <c r="L110" i="17"/>
  <c r="L16" i="17"/>
  <c r="H10" i="24"/>
  <c r="M10" i="25"/>
  <c r="F11" i="10"/>
  <c r="G11" i="10"/>
  <c r="H11" i="10"/>
  <c r="I11" i="10"/>
  <c r="L12" i="9"/>
  <c r="P12" i="9"/>
  <c r="J11" i="10"/>
  <c r="C17" i="18"/>
  <c r="C375" i="14"/>
  <c r="C384" i="14"/>
  <c r="C386" i="14"/>
  <c r="C388" i="14"/>
  <c r="J10" i="27"/>
  <c r="K10" i="27"/>
  <c r="L12" i="20"/>
  <c r="M11" i="25"/>
  <c r="F13" i="20"/>
  <c r="F12" i="10"/>
  <c r="G12" i="10"/>
  <c r="H12" i="10"/>
  <c r="I12" i="10"/>
  <c r="L13" i="9"/>
  <c r="N13" i="9"/>
  <c r="J11" i="27"/>
  <c r="M12" i="25"/>
  <c r="F14" i="20"/>
  <c r="F13" i="10"/>
  <c r="G13" i="10"/>
  <c r="H13" i="10"/>
  <c r="I13" i="10"/>
  <c r="L14" i="9"/>
  <c r="J12" i="27"/>
  <c r="K12" i="27"/>
  <c r="M13" i="25"/>
  <c r="F15" i="20"/>
  <c r="F14" i="10"/>
  <c r="G14" i="10"/>
  <c r="H14" i="10"/>
  <c r="I14" i="10"/>
  <c r="L15" i="9"/>
  <c r="P15" i="9"/>
  <c r="J14" i="10"/>
  <c r="J13" i="27"/>
  <c r="C16" i="20"/>
  <c r="M14" i="25"/>
  <c r="F16" i="20"/>
  <c r="F15" i="10"/>
  <c r="G15" i="10"/>
  <c r="H15" i="10"/>
  <c r="I15" i="10"/>
  <c r="L16" i="9"/>
  <c r="J14" i="27"/>
  <c r="M15" i="25"/>
  <c r="N15" i="25"/>
  <c r="L17" i="9"/>
  <c r="P17" i="9"/>
  <c r="J16" i="10"/>
  <c r="L17" i="20"/>
  <c r="H17" i="24"/>
  <c r="L18" i="9"/>
  <c r="N18" i="9"/>
  <c r="H18" i="24"/>
  <c r="C19" i="20"/>
  <c r="L19" i="9"/>
  <c r="H19" i="24"/>
  <c r="C20" i="20"/>
  <c r="F20" i="20"/>
  <c r="L20" i="9"/>
  <c r="P20" i="9"/>
  <c r="H20" i="24"/>
  <c r="C21" i="20"/>
  <c r="F21" i="20"/>
  <c r="L21" i="9"/>
  <c r="N21" i="9"/>
  <c r="H21" i="24"/>
  <c r="C22" i="20"/>
  <c r="L22" i="9"/>
  <c r="N22" i="9"/>
  <c r="H22" i="24"/>
  <c r="C23" i="20"/>
  <c r="L23" i="9"/>
  <c r="H23" i="24"/>
  <c r="L24" i="9"/>
  <c r="P24" i="9"/>
  <c r="J23" i="10"/>
  <c r="H24" i="24"/>
  <c r="L25" i="9"/>
  <c r="L25" i="20"/>
  <c r="H25" i="24"/>
  <c r="C26" i="20"/>
  <c r="L26" i="9"/>
  <c r="L26" i="20"/>
  <c r="H26" i="24"/>
  <c r="C27" i="20"/>
  <c r="L27" i="9"/>
  <c r="L27" i="20"/>
  <c r="H27" i="24"/>
  <c r="C28" i="20"/>
  <c r="F28" i="20"/>
  <c r="L28" i="9"/>
  <c r="N28" i="9"/>
  <c r="H28" i="24"/>
  <c r="C29" i="20"/>
  <c r="L29" i="9"/>
  <c r="H29" i="24"/>
  <c r="F30" i="20"/>
  <c r="L30" i="9"/>
  <c r="N30" i="9"/>
  <c r="L30" i="20"/>
  <c r="H30" i="24"/>
  <c r="C31" i="20"/>
  <c r="L31" i="9"/>
  <c r="N31" i="9"/>
  <c r="L31" i="20"/>
  <c r="H31" i="24"/>
  <c r="C32" i="20"/>
  <c r="F32" i="20"/>
  <c r="L32" i="9"/>
  <c r="N32" i="9"/>
  <c r="H32" i="24"/>
  <c r="C33" i="20"/>
  <c r="F33" i="20"/>
  <c r="L33" i="9"/>
  <c r="N33" i="9"/>
  <c r="H33" i="24"/>
  <c r="C34" i="20"/>
  <c r="F34" i="20"/>
  <c r="L34" i="9"/>
  <c r="N34" i="9"/>
  <c r="H34" i="24"/>
  <c r="C35" i="20"/>
  <c r="L35" i="9"/>
  <c r="N35" i="9"/>
  <c r="L35" i="20"/>
  <c r="H35" i="24"/>
  <c r="L36" i="9"/>
  <c r="H36" i="24"/>
  <c r="C37" i="20"/>
  <c r="F37" i="20"/>
  <c r="L37" i="9"/>
  <c r="N37" i="9"/>
  <c r="L37" i="20"/>
  <c r="H37" i="24"/>
  <c r="L38" i="9"/>
  <c r="N38" i="9"/>
  <c r="L38" i="20"/>
  <c r="H38" i="24"/>
  <c r="C39" i="20"/>
  <c r="L39" i="9"/>
  <c r="N39" i="9"/>
  <c r="L39" i="20"/>
  <c r="H39" i="24"/>
  <c r="C40" i="20"/>
  <c r="L40" i="9"/>
  <c r="H40" i="24"/>
  <c r="C41" i="20"/>
  <c r="L41" i="9"/>
  <c r="P41" i="9"/>
  <c r="J40" i="10"/>
  <c r="H41" i="24"/>
  <c r="I41" i="24"/>
  <c r="C42" i="20"/>
  <c r="F42" i="20"/>
  <c r="L42" i="9"/>
  <c r="N42" i="9"/>
  <c r="H42" i="24"/>
  <c r="C43" i="20"/>
  <c r="F43" i="20"/>
  <c r="L43" i="9"/>
  <c r="N43" i="9"/>
  <c r="L43" i="20"/>
  <c r="H43" i="24"/>
  <c r="C44" i="20"/>
  <c r="L44" i="9"/>
  <c r="P44" i="9"/>
  <c r="J43" i="10"/>
  <c r="H44" i="24"/>
  <c r="I44" i="24"/>
  <c r="F45" i="20"/>
  <c r="L45" i="9"/>
  <c r="N45" i="9"/>
  <c r="H45" i="24"/>
  <c r="C46" i="20"/>
  <c r="L46" i="9"/>
  <c r="L46" i="20"/>
  <c r="H46" i="24"/>
  <c r="C47" i="20"/>
  <c r="F47" i="20"/>
  <c r="L47" i="9"/>
  <c r="L47" i="20"/>
  <c r="H47" i="24"/>
  <c r="F48" i="20"/>
  <c r="L48" i="9"/>
  <c r="L48" i="20"/>
  <c r="H48" i="24"/>
  <c r="C49" i="20"/>
  <c r="L49" i="9"/>
  <c r="N49" i="9"/>
  <c r="L49" i="20"/>
  <c r="H49" i="24"/>
  <c r="L50" i="9"/>
  <c r="N50" i="9"/>
  <c r="L50" i="20"/>
  <c r="H50" i="24"/>
  <c r="L51" i="9"/>
  <c r="N51" i="9"/>
  <c r="L51" i="20"/>
  <c r="H51" i="24"/>
  <c r="L52" i="9"/>
  <c r="H52" i="24"/>
  <c r="C53" i="20"/>
  <c r="L53" i="9"/>
  <c r="P53" i="9"/>
  <c r="J52" i="10"/>
  <c r="H53" i="24"/>
  <c r="L54" i="9"/>
  <c r="L54" i="20"/>
  <c r="H54" i="24"/>
  <c r="C55" i="20"/>
  <c r="L55" i="9"/>
  <c r="L55" i="20"/>
  <c r="H55" i="24"/>
  <c r="I55" i="24"/>
  <c r="L56" i="9"/>
  <c r="P56" i="9"/>
  <c r="J55" i="10"/>
  <c r="H56" i="24"/>
  <c r="F57" i="20"/>
  <c r="L57" i="9"/>
  <c r="P57" i="9"/>
  <c r="J56" i="10"/>
  <c r="H57" i="24"/>
  <c r="C58" i="20"/>
  <c r="F58" i="20"/>
  <c r="L58" i="9"/>
  <c r="H58" i="24"/>
  <c r="C59" i="20"/>
  <c r="F59" i="20"/>
  <c r="L59" i="9"/>
  <c r="L59" i="20"/>
  <c r="H59" i="24"/>
  <c r="F60" i="20"/>
  <c r="L60" i="9"/>
  <c r="P60" i="9"/>
  <c r="J59" i="10"/>
  <c r="H60" i="24"/>
  <c r="C61" i="20"/>
  <c r="L61" i="9"/>
  <c r="L61" i="20"/>
  <c r="H61" i="24"/>
  <c r="C62" i="20"/>
  <c r="L62" i="9"/>
  <c r="L62" i="20"/>
  <c r="H62" i="24"/>
  <c r="F63" i="20"/>
  <c r="L63" i="9"/>
  <c r="L63" i="20"/>
  <c r="H63" i="24"/>
  <c r="L64" i="9"/>
  <c r="H64" i="24"/>
  <c r="C65" i="20"/>
  <c r="L65" i="9"/>
  <c r="H65" i="24"/>
  <c r="C66" i="20"/>
  <c r="F66" i="20"/>
  <c r="L66" i="9"/>
  <c r="N66" i="9"/>
  <c r="L66" i="20"/>
  <c r="H66" i="24"/>
  <c r="L67" i="9"/>
  <c r="L67" i="20"/>
  <c r="H67" i="24"/>
  <c r="C68" i="20"/>
  <c r="F68" i="20"/>
  <c r="L68" i="9"/>
  <c r="P68" i="9"/>
  <c r="J67" i="10"/>
  <c r="H68" i="24"/>
  <c r="C69" i="20"/>
  <c r="L69" i="9"/>
  <c r="H69" i="24"/>
  <c r="F70" i="20"/>
  <c r="L70" i="9"/>
  <c r="N70" i="9"/>
  <c r="L70" i="20"/>
  <c r="H70" i="24"/>
  <c r="F71" i="20"/>
  <c r="L71" i="9"/>
  <c r="P71" i="9"/>
  <c r="J70" i="10"/>
  <c r="L71" i="20"/>
  <c r="H71" i="24"/>
  <c r="L72" i="9"/>
  <c r="P72" i="9"/>
  <c r="J71" i="10"/>
  <c r="L72" i="20"/>
  <c r="H72" i="24"/>
  <c r="I72" i="24"/>
  <c r="L73" i="9"/>
  <c r="H73" i="24"/>
  <c r="C74" i="20"/>
  <c r="F74" i="20"/>
  <c r="L74" i="9"/>
  <c r="N74" i="9"/>
  <c r="H74" i="24"/>
  <c r="C75" i="20"/>
  <c r="L75" i="9"/>
  <c r="P75" i="9"/>
  <c r="J74" i="10"/>
  <c r="L75" i="20"/>
  <c r="H75" i="24"/>
  <c r="C76" i="20"/>
  <c r="L76" i="9"/>
  <c r="N76" i="9"/>
  <c r="H76" i="24"/>
  <c r="I76" i="24"/>
  <c r="L77" i="9"/>
  <c r="N77" i="9"/>
  <c r="H77" i="24"/>
  <c r="C78" i="20"/>
  <c r="F78" i="20"/>
  <c r="L78" i="9"/>
  <c r="N78" i="9"/>
  <c r="L78" i="20"/>
  <c r="H78" i="24"/>
  <c r="C79" i="20"/>
  <c r="L79" i="9"/>
  <c r="L79" i="20"/>
  <c r="H79" i="24"/>
  <c r="L80" i="9"/>
  <c r="P80" i="9"/>
  <c r="J79" i="10"/>
  <c r="H80" i="24"/>
  <c r="C81" i="20"/>
  <c r="F81" i="20"/>
  <c r="L81" i="9"/>
  <c r="N81" i="9"/>
  <c r="H81" i="24"/>
  <c r="I81" i="24"/>
  <c r="F82" i="20"/>
  <c r="L82" i="9"/>
  <c r="H82" i="24"/>
  <c r="C83" i="20"/>
  <c r="F83" i="20"/>
  <c r="L83" i="9"/>
  <c r="L83" i="20"/>
  <c r="H83" i="24"/>
  <c r="F84" i="20"/>
  <c r="L84" i="9"/>
  <c r="H84" i="24"/>
  <c r="C85" i="20"/>
  <c r="L85" i="9"/>
  <c r="N85" i="9"/>
  <c r="H85" i="24"/>
  <c r="I85" i="24"/>
  <c r="F86" i="20"/>
  <c r="L86" i="9"/>
  <c r="N86" i="9"/>
  <c r="L86" i="20"/>
  <c r="H86" i="24"/>
  <c r="C87" i="20"/>
  <c r="F87" i="20"/>
  <c r="L87" i="9"/>
  <c r="H87" i="24"/>
  <c r="L88" i="9"/>
  <c r="N88" i="9"/>
  <c r="H88" i="24"/>
  <c r="C89" i="20"/>
  <c r="L89" i="9"/>
  <c r="H89" i="24"/>
  <c r="F90" i="20"/>
  <c r="L90" i="9"/>
  <c r="N90" i="9"/>
  <c r="H90" i="24"/>
  <c r="L91" i="9"/>
  <c r="N91" i="9"/>
  <c r="L91" i="20"/>
  <c r="H91" i="24"/>
  <c r="C92" i="20"/>
  <c r="L92" i="9"/>
  <c r="H92" i="24"/>
  <c r="C93" i="20"/>
  <c r="L93" i="9"/>
  <c r="N93" i="9"/>
  <c r="H93" i="24"/>
  <c r="I93" i="24"/>
  <c r="C94" i="20"/>
  <c r="F94" i="20"/>
  <c r="L94" i="9"/>
  <c r="N94" i="9"/>
  <c r="L94" i="20"/>
  <c r="H94" i="24"/>
  <c r="C95" i="20"/>
  <c r="F95" i="20"/>
  <c r="L95" i="9"/>
  <c r="P95" i="9"/>
  <c r="J94" i="10"/>
  <c r="L95" i="20"/>
  <c r="H95" i="24"/>
  <c r="C96" i="20"/>
  <c r="L96" i="9"/>
  <c r="P96" i="9"/>
  <c r="J95" i="10"/>
  <c r="H96" i="24"/>
  <c r="C97" i="20"/>
  <c r="F97" i="20"/>
  <c r="L97" i="9"/>
  <c r="N97" i="9"/>
  <c r="H97" i="24"/>
  <c r="C98" i="20"/>
  <c r="F98" i="20"/>
  <c r="L98" i="9"/>
  <c r="N98" i="9"/>
  <c r="L98" i="20"/>
  <c r="H98" i="24"/>
  <c r="C99" i="20"/>
  <c r="F99" i="20"/>
  <c r="L99" i="9"/>
  <c r="P99" i="9"/>
  <c r="J98" i="10"/>
  <c r="H99" i="24"/>
  <c r="C100" i="20"/>
  <c r="L100" i="9"/>
  <c r="P100" i="9"/>
  <c r="J99" i="10"/>
  <c r="H100" i="24"/>
  <c r="C101" i="20"/>
  <c r="L101" i="9"/>
  <c r="H101" i="24"/>
  <c r="C102" i="20"/>
  <c r="L102" i="9"/>
  <c r="N102" i="9"/>
  <c r="L102" i="20"/>
  <c r="H102" i="24"/>
  <c r="C103" i="20"/>
  <c r="F103" i="20"/>
  <c r="L103" i="9"/>
  <c r="P103" i="9"/>
  <c r="J102" i="10"/>
  <c r="L103" i="20"/>
  <c r="H103" i="24"/>
  <c r="C104" i="20"/>
  <c r="L104" i="9"/>
  <c r="H104" i="24"/>
  <c r="C105" i="20"/>
  <c r="L105" i="9"/>
  <c r="N105" i="9"/>
  <c r="H105" i="24"/>
  <c r="I105" i="24"/>
  <c r="L106" i="9"/>
  <c r="N106" i="9"/>
  <c r="L106" i="20"/>
  <c r="H106" i="24"/>
  <c r="C107" i="20"/>
  <c r="L107" i="9"/>
  <c r="N107" i="9"/>
  <c r="H107" i="24"/>
  <c r="C108" i="20"/>
  <c r="L108" i="9"/>
  <c r="H108" i="24"/>
  <c r="L109" i="9"/>
  <c r="P109" i="9"/>
  <c r="J108" i="10"/>
  <c r="L109" i="20"/>
  <c r="H109" i="24"/>
  <c r="C110" i="20"/>
  <c r="F110" i="20"/>
  <c r="L110" i="9"/>
  <c r="N110" i="9"/>
  <c r="L110" i="20"/>
  <c r="H110" i="24"/>
  <c r="C111" i="20"/>
  <c r="F111" i="20"/>
  <c r="L111" i="9"/>
  <c r="G17" i="25"/>
  <c r="H17" i="25"/>
  <c r="B17" i="8"/>
  <c r="B21" i="8"/>
  <c r="B28" i="8"/>
  <c r="B29" i="8"/>
  <c r="D61" i="6"/>
  <c r="D60" i="6"/>
  <c r="F60" i="6"/>
  <c r="I60" i="6"/>
  <c r="I69" i="6"/>
  <c r="I70" i="6"/>
  <c r="I73" i="6"/>
  <c r="I74" i="6"/>
  <c r="I76" i="6"/>
  <c r="I77" i="6"/>
  <c r="I36" i="6"/>
  <c r="F39" i="6"/>
  <c r="I40" i="6"/>
  <c r="F43" i="6"/>
  <c r="I44" i="6"/>
  <c r="F47" i="6"/>
  <c r="I47" i="6"/>
  <c r="I48" i="6"/>
  <c r="F51" i="6"/>
  <c r="I52" i="6"/>
  <c r="F55" i="6"/>
  <c r="I55" i="6"/>
  <c r="I57" i="6"/>
  <c r="F11" i="6"/>
  <c r="J17" i="18"/>
  <c r="M17" i="18"/>
  <c r="O17" i="18"/>
  <c r="F17" i="18"/>
  <c r="N17" i="18"/>
  <c r="F12" i="6"/>
  <c r="J18" i="18"/>
  <c r="I18" i="18"/>
  <c r="K18" i="18"/>
  <c r="N18" i="18"/>
  <c r="F13" i="6"/>
  <c r="N19" i="18"/>
  <c r="F14" i="6"/>
  <c r="C224" i="14"/>
  <c r="F226" i="14"/>
  <c r="I97" i="14"/>
  <c r="N20" i="18"/>
  <c r="F15" i="6"/>
  <c r="M21" i="18"/>
  <c r="N21" i="18"/>
  <c r="F16" i="6"/>
  <c r="N22" i="18"/>
  <c r="F17" i="6"/>
  <c r="N23" i="18"/>
  <c r="F18" i="6"/>
  <c r="M24" i="18"/>
  <c r="O24" i="18"/>
  <c r="N24" i="18"/>
  <c r="F19" i="6"/>
  <c r="M25" i="18"/>
  <c r="N25" i="18"/>
  <c r="F20" i="6"/>
  <c r="M26" i="18"/>
  <c r="N26" i="18"/>
  <c r="F21" i="6"/>
  <c r="J27" i="18"/>
  <c r="I27" i="18"/>
  <c r="K27" i="18"/>
  <c r="N27" i="18"/>
  <c r="F22" i="6"/>
  <c r="N28" i="18"/>
  <c r="F23" i="6"/>
  <c r="F186" i="14"/>
  <c r="N29" i="18"/>
  <c r="F24" i="6"/>
  <c r="F206" i="14"/>
  <c r="N30" i="18"/>
  <c r="F25" i="6"/>
  <c r="N31" i="18"/>
  <c r="F26" i="6"/>
  <c r="N32" i="18"/>
  <c r="F27" i="6"/>
  <c r="N33" i="18"/>
  <c r="F28" i="6"/>
  <c r="F29" i="6"/>
  <c r="F35" i="18"/>
  <c r="H29" i="6"/>
  <c r="I29" i="6"/>
  <c r="F30" i="6"/>
  <c r="F36" i="18"/>
  <c r="H30" i="6"/>
  <c r="F31" i="6"/>
  <c r="F37" i="18"/>
  <c r="H31" i="6"/>
  <c r="F32" i="6"/>
  <c r="F38" i="18"/>
  <c r="H32" i="6"/>
  <c r="I33" i="6"/>
  <c r="F17" i="27"/>
  <c r="G17" i="27"/>
  <c r="G18" i="25"/>
  <c r="H18" i="25"/>
  <c r="F18" i="27"/>
  <c r="G18" i="27"/>
  <c r="G19" i="25"/>
  <c r="H19" i="25"/>
  <c r="F19" i="27"/>
  <c r="G19" i="27"/>
  <c r="G20" i="25"/>
  <c r="H20" i="25"/>
  <c r="F20" i="27"/>
  <c r="G20" i="27"/>
  <c r="G21" i="25"/>
  <c r="H21" i="25"/>
  <c r="F21" i="27"/>
  <c r="G21" i="27"/>
  <c r="G22" i="25"/>
  <c r="H22" i="25"/>
  <c r="G24" i="20"/>
  <c r="F22" i="27"/>
  <c r="G22" i="27"/>
  <c r="G23" i="25"/>
  <c r="G25" i="20"/>
  <c r="H23" i="25"/>
  <c r="F23" i="27"/>
  <c r="G23" i="27"/>
  <c r="G24" i="25"/>
  <c r="H24" i="25"/>
  <c r="F24" i="27"/>
  <c r="G24" i="27"/>
  <c r="G25" i="25"/>
  <c r="H25" i="25"/>
  <c r="E17" i="8"/>
  <c r="E18" i="8"/>
  <c r="E21" i="8"/>
  <c r="F25" i="27"/>
  <c r="K25" i="27"/>
  <c r="G25" i="27"/>
  <c r="G26" i="25"/>
  <c r="H26" i="25"/>
  <c r="F26" i="27"/>
  <c r="G26" i="27"/>
  <c r="G27" i="25"/>
  <c r="H27" i="25"/>
  <c r="F27" i="27"/>
  <c r="G27" i="27"/>
  <c r="G28" i="25"/>
  <c r="H28" i="25"/>
  <c r="F28" i="27"/>
  <c r="G28" i="27"/>
  <c r="G29" i="25"/>
  <c r="N29" i="25"/>
  <c r="H29" i="25"/>
  <c r="F29" i="27"/>
  <c r="K29" i="27"/>
  <c r="G29" i="27"/>
  <c r="G30" i="25"/>
  <c r="H30" i="25"/>
  <c r="F30" i="27"/>
  <c r="G30" i="27"/>
  <c r="G31" i="25"/>
  <c r="H31" i="25"/>
  <c r="F31" i="27"/>
  <c r="G31" i="27"/>
  <c r="G32" i="25"/>
  <c r="H32" i="25"/>
  <c r="F32" i="27"/>
  <c r="G32" i="27"/>
  <c r="G33" i="25"/>
  <c r="H33" i="25"/>
  <c r="F33" i="27"/>
  <c r="K33" i="27"/>
  <c r="G33" i="27"/>
  <c r="G34" i="25"/>
  <c r="H34" i="25"/>
  <c r="G36" i="20"/>
  <c r="F34" i="27"/>
  <c r="K34" i="27"/>
  <c r="G34" i="27"/>
  <c r="G35" i="25"/>
  <c r="G37" i="20"/>
  <c r="H35" i="25"/>
  <c r="F35" i="27"/>
  <c r="G35" i="27"/>
  <c r="G36" i="25"/>
  <c r="G38" i="20"/>
  <c r="F36" i="27"/>
  <c r="G36" i="27"/>
  <c r="G37" i="25"/>
  <c r="N37" i="25"/>
  <c r="F37" i="27"/>
  <c r="M39" i="20"/>
  <c r="G37" i="27"/>
  <c r="G38" i="25"/>
  <c r="F38" i="27"/>
  <c r="K38" i="27"/>
  <c r="G38" i="27"/>
  <c r="G39" i="25"/>
  <c r="G41" i="20"/>
  <c r="F39" i="27"/>
  <c r="G39" i="27"/>
  <c r="G40" i="25"/>
  <c r="F40" i="27"/>
  <c r="G40" i="27"/>
  <c r="G41" i="25"/>
  <c r="F41" i="27"/>
  <c r="M43" i="20"/>
  <c r="G41" i="27"/>
  <c r="G42" i="25"/>
  <c r="F42" i="27"/>
  <c r="K42" i="27"/>
  <c r="G42" i="27"/>
  <c r="G43" i="25"/>
  <c r="F43" i="27"/>
  <c r="G43" i="27"/>
  <c r="G44" i="25"/>
  <c r="G46" i="20"/>
  <c r="F44" i="27"/>
  <c r="G44" i="27"/>
  <c r="G45" i="25"/>
  <c r="F45" i="27"/>
  <c r="G45" i="27"/>
  <c r="G46" i="25"/>
  <c r="F46" i="27"/>
  <c r="K46" i="27"/>
  <c r="G46" i="27"/>
  <c r="G47" i="25"/>
  <c r="G49" i="20"/>
  <c r="F47" i="27"/>
  <c r="G47" i="27"/>
  <c r="G48" i="25"/>
  <c r="F48" i="27"/>
  <c r="G48" i="27"/>
  <c r="G49" i="25"/>
  <c r="F49" i="27"/>
  <c r="G49" i="27"/>
  <c r="G50" i="25"/>
  <c r="F50" i="27"/>
  <c r="G50" i="27"/>
  <c r="G51" i="25"/>
  <c r="F51" i="27"/>
  <c r="K51" i="27"/>
  <c r="G51" i="27"/>
  <c r="G52" i="25"/>
  <c r="N52" i="25"/>
  <c r="F52" i="27"/>
  <c r="G52" i="27"/>
  <c r="G53" i="25"/>
  <c r="F53" i="27"/>
  <c r="G53" i="27"/>
  <c r="G54" i="25"/>
  <c r="F54" i="27"/>
  <c r="G54" i="27"/>
  <c r="G55" i="25"/>
  <c r="G57" i="20"/>
  <c r="F55" i="27"/>
  <c r="G55" i="27"/>
  <c r="G56" i="25"/>
  <c r="F56" i="27"/>
  <c r="M58" i="20"/>
  <c r="G56" i="27"/>
  <c r="G57" i="25"/>
  <c r="F57" i="27"/>
  <c r="G57" i="27"/>
  <c r="G58" i="25"/>
  <c r="F58" i="27"/>
  <c r="G58" i="27"/>
  <c r="K58" i="27"/>
  <c r="G59" i="25"/>
  <c r="F59" i="27"/>
  <c r="G59" i="27"/>
  <c r="G60" i="25"/>
  <c r="N60" i="25"/>
  <c r="G62" i="20"/>
  <c r="F60" i="27"/>
  <c r="K60" i="27"/>
  <c r="G60" i="27"/>
  <c r="G61" i="25"/>
  <c r="F61" i="27"/>
  <c r="G61" i="27"/>
  <c r="G62" i="25"/>
  <c r="F62" i="27"/>
  <c r="G62" i="27"/>
  <c r="G63" i="25"/>
  <c r="G65" i="20"/>
  <c r="F63" i="27"/>
  <c r="G63" i="27"/>
  <c r="G64" i="25"/>
  <c r="F64" i="27"/>
  <c r="G64" i="27"/>
  <c r="G65" i="25"/>
  <c r="F65" i="27"/>
  <c r="K65" i="27"/>
  <c r="G65" i="27"/>
  <c r="G66" i="25"/>
  <c r="F66" i="27"/>
  <c r="G66" i="27"/>
  <c r="K66" i="27"/>
  <c r="G67" i="25"/>
  <c r="F67" i="27"/>
  <c r="G67" i="27"/>
  <c r="G68" i="25"/>
  <c r="F68" i="27"/>
  <c r="G68" i="27"/>
  <c r="G69" i="25"/>
  <c r="F69" i="27"/>
  <c r="K69" i="27"/>
  <c r="G69" i="27"/>
  <c r="G70" i="25"/>
  <c r="N70" i="25"/>
  <c r="F70" i="27"/>
  <c r="G70" i="27"/>
  <c r="G71" i="25"/>
  <c r="G73" i="20"/>
  <c r="F71" i="27"/>
  <c r="G71" i="27"/>
  <c r="G72" i="25"/>
  <c r="F72" i="27"/>
  <c r="K72" i="27"/>
  <c r="G72" i="27"/>
  <c r="G73" i="25"/>
  <c r="F73" i="27"/>
  <c r="K73" i="27"/>
  <c r="G73" i="27"/>
  <c r="G74" i="25"/>
  <c r="F74" i="27"/>
  <c r="G74" i="27"/>
  <c r="G75" i="25"/>
  <c r="N75" i="25"/>
  <c r="F75" i="27"/>
  <c r="G75" i="27"/>
  <c r="G76" i="25"/>
  <c r="F76" i="27"/>
  <c r="G76" i="27"/>
  <c r="G77" i="25"/>
  <c r="N77" i="25"/>
  <c r="F77" i="27"/>
  <c r="K77" i="27"/>
  <c r="G77" i="27"/>
  <c r="M79" i="20"/>
  <c r="G78" i="25"/>
  <c r="N78" i="25"/>
  <c r="F78" i="27"/>
  <c r="G78" i="27"/>
  <c r="K78" i="27"/>
  <c r="G79" i="25"/>
  <c r="G81" i="20"/>
  <c r="F79" i="27"/>
  <c r="G79" i="27"/>
  <c r="G80" i="25"/>
  <c r="F80" i="27"/>
  <c r="G80" i="27"/>
  <c r="G81" i="25"/>
  <c r="G83" i="20"/>
  <c r="F81" i="27"/>
  <c r="G81" i="27"/>
  <c r="K81" i="27"/>
  <c r="G82" i="25"/>
  <c r="F82" i="27"/>
  <c r="K82" i="27"/>
  <c r="G82" i="27"/>
  <c r="G83" i="25"/>
  <c r="G85" i="20"/>
  <c r="F83" i="27"/>
  <c r="G83" i="27"/>
  <c r="G84" i="25"/>
  <c r="F84" i="27"/>
  <c r="G84" i="27"/>
  <c r="G85" i="25"/>
  <c r="F85" i="27"/>
  <c r="K85" i="27"/>
  <c r="G85" i="27"/>
  <c r="G86" i="25"/>
  <c r="F86" i="27"/>
  <c r="G86" i="27"/>
  <c r="G87" i="25"/>
  <c r="F87" i="27"/>
  <c r="G87" i="27"/>
  <c r="G88" i="25"/>
  <c r="F88" i="27"/>
  <c r="G88" i="27"/>
  <c r="G89" i="25"/>
  <c r="F89" i="27"/>
  <c r="K89" i="27"/>
  <c r="G89" i="27"/>
  <c r="G90" i="25"/>
  <c r="F90" i="27"/>
  <c r="G90" i="27"/>
  <c r="K90" i="27"/>
  <c r="G91" i="25"/>
  <c r="F91" i="27"/>
  <c r="G91" i="27"/>
  <c r="K91" i="27"/>
  <c r="G92" i="25"/>
  <c r="N92" i="25"/>
  <c r="F92" i="27"/>
  <c r="G92" i="27"/>
  <c r="G93" i="25"/>
  <c r="F93" i="27"/>
  <c r="K93" i="27"/>
  <c r="G93" i="27"/>
  <c r="G94" i="25"/>
  <c r="F94" i="27"/>
  <c r="K94" i="27"/>
  <c r="G94" i="27"/>
  <c r="G95" i="25"/>
  <c r="G97" i="20"/>
  <c r="F95" i="27"/>
  <c r="G95" i="27"/>
  <c r="K95" i="27"/>
  <c r="F96" i="27"/>
  <c r="K96" i="27"/>
  <c r="G96" i="27"/>
  <c r="G97" i="25"/>
  <c r="F97" i="27"/>
  <c r="G97" i="27"/>
  <c r="K97" i="27"/>
  <c r="G98" i="25"/>
  <c r="F98" i="27"/>
  <c r="K98" i="27"/>
  <c r="G98" i="27"/>
  <c r="G99" i="25"/>
  <c r="N99" i="25"/>
  <c r="F99" i="27"/>
  <c r="G99" i="27"/>
  <c r="G100" i="25"/>
  <c r="G102" i="20"/>
  <c r="F100" i="27"/>
  <c r="K100" i="27"/>
  <c r="G100" i="27"/>
  <c r="G101" i="25"/>
  <c r="F101" i="27"/>
  <c r="G101" i="27"/>
  <c r="K101" i="27"/>
  <c r="G102" i="25"/>
  <c r="F102" i="27"/>
  <c r="G102" i="27"/>
  <c r="G103" i="25"/>
  <c r="G105" i="20"/>
  <c r="F103" i="27"/>
  <c r="G103" i="27"/>
  <c r="G104" i="25"/>
  <c r="G106" i="20"/>
  <c r="F104" i="27"/>
  <c r="K104" i="27"/>
  <c r="G104" i="27"/>
  <c r="G105" i="25"/>
  <c r="G105" i="27"/>
  <c r="G106" i="25"/>
  <c r="F106" i="27"/>
  <c r="G106" i="27"/>
  <c r="G107" i="25"/>
  <c r="F107" i="27"/>
  <c r="M109" i="20"/>
  <c r="G107" i="27"/>
  <c r="K107" i="27"/>
  <c r="G108" i="25"/>
  <c r="F108" i="27"/>
  <c r="M110" i="20"/>
  <c r="K108" i="27"/>
  <c r="G108" i="27"/>
  <c r="G109" i="25"/>
  <c r="N109" i="25"/>
  <c r="G109" i="27"/>
  <c r="K109" i="27"/>
  <c r="F16" i="27"/>
  <c r="K16" i="27"/>
  <c r="G16" i="27"/>
  <c r="H16" i="25"/>
  <c r="I16" i="25"/>
  <c r="B19" i="20"/>
  <c r="B20" i="20"/>
  <c r="B21" i="20"/>
  <c r="S21" i="20"/>
  <c r="T21" i="20"/>
  <c r="B22" i="20"/>
  <c r="S22" i="20"/>
  <c r="T22" i="20"/>
  <c r="B23" i="20"/>
  <c r="S23" i="20"/>
  <c r="T23" i="20"/>
  <c r="B24" i="20"/>
  <c r="S24" i="20"/>
  <c r="T24" i="20"/>
  <c r="B25" i="20"/>
  <c r="B26" i="20"/>
  <c r="S26" i="20"/>
  <c r="T26" i="20"/>
  <c r="B27" i="20"/>
  <c r="B28" i="20"/>
  <c r="B29" i="20"/>
  <c r="B30" i="20"/>
  <c r="B31" i="20"/>
  <c r="S31" i="20"/>
  <c r="T31" i="20"/>
  <c r="B32" i="20"/>
  <c r="B33" i="20"/>
  <c r="S33" i="20"/>
  <c r="T33" i="20"/>
  <c r="B34" i="20"/>
  <c r="S34" i="20"/>
  <c r="T34" i="20"/>
  <c r="B35" i="20"/>
  <c r="B36" i="20"/>
  <c r="B37" i="20"/>
  <c r="B38" i="20"/>
  <c r="S38" i="20"/>
  <c r="T38" i="20"/>
  <c r="B39" i="20"/>
  <c r="S39" i="20"/>
  <c r="T39" i="20"/>
  <c r="B40" i="20"/>
  <c r="S40" i="20"/>
  <c r="T40" i="20"/>
  <c r="B41" i="20"/>
  <c r="S41" i="20"/>
  <c r="T41" i="20"/>
  <c r="B42" i="20"/>
  <c r="S42" i="20"/>
  <c r="T42" i="20"/>
  <c r="B43" i="20"/>
  <c r="B44" i="20"/>
  <c r="B45" i="20"/>
  <c r="B46" i="20"/>
  <c r="B47" i="20"/>
  <c r="B48" i="20"/>
  <c r="B49" i="20"/>
  <c r="S49" i="20"/>
  <c r="T49" i="20"/>
  <c r="B50" i="20"/>
  <c r="B51" i="20"/>
  <c r="S51" i="20"/>
  <c r="T51" i="20"/>
  <c r="B52" i="20"/>
  <c r="S52" i="20"/>
  <c r="T52" i="20"/>
  <c r="B53" i="20"/>
  <c r="S53" i="20"/>
  <c r="T53" i="20"/>
  <c r="B54" i="20"/>
  <c r="S54" i="20"/>
  <c r="T54" i="20"/>
  <c r="B55" i="20"/>
  <c r="S55" i="20"/>
  <c r="T55" i="20"/>
  <c r="B56" i="20"/>
  <c r="S56" i="20"/>
  <c r="T56" i="20"/>
  <c r="B57" i="20"/>
  <c r="S57" i="20"/>
  <c r="T57" i="20"/>
  <c r="B58" i="20"/>
  <c r="S58" i="20"/>
  <c r="T58" i="20"/>
  <c r="B59" i="20"/>
  <c r="B60" i="20"/>
  <c r="S60" i="20"/>
  <c r="T60" i="20"/>
  <c r="B61" i="20"/>
  <c r="S61" i="20"/>
  <c r="T61" i="20"/>
  <c r="B62" i="20"/>
  <c r="B63" i="20"/>
  <c r="S63" i="20"/>
  <c r="T63" i="20"/>
  <c r="B64" i="20"/>
  <c r="B65" i="20"/>
  <c r="S65" i="20"/>
  <c r="T65" i="20"/>
  <c r="B66" i="20"/>
  <c r="B67" i="20"/>
  <c r="S67" i="20"/>
  <c r="T67" i="20"/>
  <c r="B68" i="20"/>
  <c r="S68" i="20"/>
  <c r="T68" i="20"/>
  <c r="B69" i="20"/>
  <c r="S69" i="20"/>
  <c r="T69" i="20"/>
  <c r="B70" i="20"/>
  <c r="S70" i="20"/>
  <c r="T70" i="20"/>
  <c r="B71" i="20"/>
  <c r="S71" i="20"/>
  <c r="T71" i="20"/>
  <c r="B72" i="20"/>
  <c r="S72" i="20"/>
  <c r="T72" i="20"/>
  <c r="B73" i="20"/>
  <c r="S73" i="20"/>
  <c r="T73" i="20"/>
  <c r="B74" i="20"/>
  <c r="S74" i="20"/>
  <c r="T74" i="20"/>
  <c r="B75" i="20"/>
  <c r="B76" i="20"/>
  <c r="B77" i="20"/>
  <c r="S77" i="20"/>
  <c r="T77" i="20"/>
  <c r="B78" i="20"/>
  <c r="B79" i="20"/>
  <c r="S79" i="20"/>
  <c r="T79" i="20"/>
  <c r="B80" i="20"/>
  <c r="B81" i="20"/>
  <c r="S81" i="20"/>
  <c r="T81" i="20"/>
  <c r="B82" i="20"/>
  <c r="B83" i="20"/>
  <c r="S83" i="20"/>
  <c r="T83" i="20"/>
  <c r="B84" i="20"/>
  <c r="B85" i="20"/>
  <c r="B86" i="20"/>
  <c r="B87" i="20"/>
  <c r="S87" i="20"/>
  <c r="T87" i="20"/>
  <c r="B88" i="20"/>
  <c r="B89" i="20"/>
  <c r="S89" i="20"/>
  <c r="T89" i="20"/>
  <c r="B90" i="20"/>
  <c r="S90" i="20"/>
  <c r="T90" i="20"/>
  <c r="B91" i="20"/>
  <c r="B92" i="20"/>
  <c r="B93" i="20"/>
  <c r="B94" i="20"/>
  <c r="B95" i="20"/>
  <c r="B96" i="20"/>
  <c r="B97" i="20"/>
  <c r="S97" i="20"/>
  <c r="T97" i="20"/>
  <c r="B98" i="20"/>
  <c r="S98" i="20"/>
  <c r="T98" i="20"/>
  <c r="B99" i="20"/>
  <c r="S99" i="20"/>
  <c r="T99" i="20"/>
  <c r="B100" i="20"/>
  <c r="S100" i="20"/>
  <c r="T100" i="20"/>
  <c r="B101" i="20"/>
  <c r="S101" i="20"/>
  <c r="T101" i="20"/>
  <c r="B102" i="20"/>
  <c r="S102" i="20"/>
  <c r="T102" i="20"/>
  <c r="B103" i="20"/>
  <c r="S103" i="20"/>
  <c r="T103" i="20"/>
  <c r="B104" i="20"/>
  <c r="S104" i="20"/>
  <c r="T104" i="20"/>
  <c r="B105" i="20"/>
  <c r="B106" i="20"/>
  <c r="S106" i="20"/>
  <c r="T106" i="20"/>
  <c r="B107" i="20"/>
  <c r="B108" i="20"/>
  <c r="S108" i="20"/>
  <c r="T108" i="20"/>
  <c r="B109" i="20"/>
  <c r="S109" i="20"/>
  <c r="T109" i="20"/>
  <c r="B110" i="20"/>
  <c r="B111" i="20"/>
  <c r="S111" i="20"/>
  <c r="T111" i="20"/>
  <c r="H110" i="27"/>
  <c r="J110" i="25"/>
  <c r="L110" i="25"/>
  <c r="G110" i="5"/>
  <c r="F110" i="5"/>
  <c r="G110" i="23"/>
  <c r="K110" i="25"/>
  <c r="C12" i="24"/>
  <c r="B13" i="20"/>
  <c r="S13" i="20"/>
  <c r="T13" i="20"/>
  <c r="E12" i="24"/>
  <c r="E111" i="24"/>
  <c r="C13" i="24"/>
  <c r="E13" i="24"/>
  <c r="C14" i="24"/>
  <c r="B15" i="20"/>
  <c r="E14" i="24"/>
  <c r="C15" i="24"/>
  <c r="B16" i="20"/>
  <c r="E15" i="24"/>
  <c r="C16" i="24"/>
  <c r="B17" i="20"/>
  <c r="S17" i="20"/>
  <c r="T17" i="20"/>
  <c r="E16" i="24"/>
  <c r="C17" i="24"/>
  <c r="I17" i="24"/>
  <c r="C11" i="24"/>
  <c r="I110" i="27"/>
  <c r="I64" i="24"/>
  <c r="I32" i="24"/>
  <c r="I78" i="24"/>
  <c r="I40" i="24"/>
  <c r="I99" i="24"/>
  <c r="I88" i="24"/>
  <c r="I67" i="24"/>
  <c r="I84" i="24"/>
  <c r="I20" i="24"/>
  <c r="I95" i="24"/>
  <c r="I19" i="24"/>
  <c r="I36" i="24"/>
  <c r="I30" i="24"/>
  <c r="I92" i="24"/>
  <c r="I60" i="24"/>
  <c r="I28" i="24"/>
  <c r="I103" i="24"/>
  <c r="I91" i="24"/>
  <c r="I43" i="24"/>
  <c r="I27" i="24"/>
  <c r="I86" i="24"/>
  <c r="I82" i="24"/>
  <c r="I58" i="24"/>
  <c r="I38" i="24"/>
  <c r="I34" i="24"/>
  <c r="I26" i="24"/>
  <c r="I22" i="24"/>
  <c r="I101" i="24"/>
  <c r="I97" i="24"/>
  <c r="I77" i="24"/>
  <c r="I73" i="24"/>
  <c r="I65" i="24"/>
  <c r="I61" i="24"/>
  <c r="I33" i="24"/>
  <c r="I21" i="24"/>
  <c r="A30" i="6"/>
  <c r="D29" i="18"/>
  <c r="D17" i="18"/>
  <c r="N15" i="18"/>
  <c r="I15" i="18"/>
  <c r="M15" i="18"/>
  <c r="O15" i="18"/>
  <c r="F15" i="18"/>
  <c r="N14" i="18"/>
  <c r="K14" i="18"/>
  <c r="M14" i="18"/>
  <c r="N13" i="18"/>
  <c r="M13" i="18"/>
  <c r="N12" i="18"/>
  <c r="J12" i="18"/>
  <c r="M12" i="18"/>
  <c r="C12" i="18"/>
  <c r="A122" i="17"/>
  <c r="R80" i="17"/>
  <c r="O80" i="17"/>
  <c r="C371" i="14"/>
  <c r="C330" i="14"/>
  <c r="C332" i="14"/>
  <c r="C322" i="14"/>
  <c r="C324" i="14"/>
  <c r="C313" i="14"/>
  <c r="C315" i="14"/>
  <c r="C305" i="14"/>
  <c r="C307" i="14"/>
  <c r="C259" i="14"/>
  <c r="C217" i="14"/>
  <c r="C200" i="14"/>
  <c r="F178" i="14"/>
  <c r="I169" i="14"/>
  <c r="C147" i="14"/>
  <c r="C119" i="14"/>
  <c r="C116" i="14"/>
  <c r="C74" i="14"/>
  <c r="C71" i="14"/>
  <c r="C51" i="14"/>
  <c r="C48" i="14"/>
  <c r="N109" i="9"/>
  <c r="N89" i="9"/>
  <c r="N83" i="9"/>
  <c r="N82" i="9"/>
  <c r="N75" i="9"/>
  <c r="N73" i="9"/>
  <c r="N72" i="9"/>
  <c r="N69" i="9"/>
  <c r="N68" i="9"/>
  <c r="N67" i="9"/>
  <c r="N62" i="9"/>
  <c r="N57" i="9"/>
  <c r="N55" i="9"/>
  <c r="N54" i="9"/>
  <c r="N53" i="9"/>
  <c r="N52" i="9"/>
  <c r="N48" i="9"/>
  <c r="N44" i="9"/>
  <c r="N40" i="9"/>
  <c r="N36" i="9"/>
  <c r="N20" i="9"/>
  <c r="N16" i="9"/>
  <c r="N15" i="9"/>
  <c r="L11" i="9"/>
  <c r="H75" i="6"/>
  <c r="A32" i="6"/>
  <c r="A31" i="6"/>
  <c r="A29" i="6"/>
  <c r="C28" i="6"/>
  <c r="A28" i="6"/>
  <c r="A27" i="6"/>
  <c r="A26" i="6"/>
  <c r="A25" i="6"/>
  <c r="A24" i="6"/>
  <c r="A23" i="6"/>
  <c r="A22" i="6"/>
  <c r="C21" i="6"/>
  <c r="A21" i="6"/>
  <c r="A20" i="6"/>
  <c r="A19" i="6"/>
  <c r="A18" i="6"/>
  <c r="A17" i="6"/>
  <c r="A16" i="6"/>
  <c r="C15" i="6"/>
  <c r="A15" i="6"/>
  <c r="C14" i="6"/>
  <c r="A14" i="6"/>
  <c r="C13" i="6"/>
  <c r="A13" i="6"/>
  <c r="C12" i="6"/>
  <c r="A12" i="6"/>
  <c r="C11" i="6"/>
  <c r="A11" i="6"/>
  <c r="C298" i="14"/>
  <c r="C286" i="14"/>
  <c r="C288" i="14"/>
  <c r="C290" i="14"/>
  <c r="P111" i="9"/>
  <c r="J110" i="10"/>
  <c r="N111" i="9"/>
  <c r="C109" i="20"/>
  <c r="I108" i="24"/>
  <c r="P104" i="9"/>
  <c r="J103" i="10"/>
  <c r="N104" i="9"/>
  <c r="P63" i="9"/>
  <c r="J62" i="10"/>
  <c r="N63" i="9"/>
  <c r="C50" i="20"/>
  <c r="I49" i="24"/>
  <c r="C48" i="20"/>
  <c r="I47" i="24"/>
  <c r="P27" i="9"/>
  <c r="J26" i="10"/>
  <c r="N27" i="9"/>
  <c r="P23" i="9"/>
  <c r="J22" i="10"/>
  <c r="N23" i="9"/>
  <c r="N65" i="9"/>
  <c r="I54" i="24"/>
  <c r="P92" i="9"/>
  <c r="J91" i="10"/>
  <c r="N92" i="9"/>
  <c r="P88" i="9"/>
  <c r="J87" i="10"/>
  <c r="P87" i="9"/>
  <c r="J86" i="10"/>
  <c r="N87" i="9"/>
  <c r="C70" i="20"/>
  <c r="I69" i="24"/>
  <c r="L13" i="20"/>
  <c r="N58" i="9"/>
  <c r="N101" i="9"/>
  <c r="I68" i="24"/>
  <c r="P84" i="9"/>
  <c r="J83" i="10"/>
  <c r="N84" i="9"/>
  <c r="C63" i="20"/>
  <c r="I62" i="24"/>
  <c r="N100" i="9"/>
  <c r="N96" i="9"/>
  <c r="C57" i="20"/>
  <c r="I56" i="24"/>
  <c r="C56" i="20"/>
  <c r="C54" i="20"/>
  <c r="I53" i="24"/>
  <c r="I48" i="24"/>
  <c r="P34" i="9"/>
  <c r="J33" i="10"/>
  <c r="P26" i="9"/>
  <c r="J25" i="10"/>
  <c r="N26" i="9"/>
  <c r="P22" i="9"/>
  <c r="J21" i="10"/>
  <c r="C11" i="20"/>
  <c r="U11" i="20"/>
  <c r="N29" i="9"/>
  <c r="I45" i="24"/>
  <c r="P91" i="9"/>
  <c r="J90" i="10"/>
  <c r="N80" i="9"/>
  <c r="P79" i="9"/>
  <c r="J78" i="10"/>
  <c r="N79" i="9"/>
  <c r="C71" i="20"/>
  <c r="I70" i="24"/>
  <c r="C67" i="20"/>
  <c r="I66" i="24"/>
  <c r="N60" i="9"/>
  <c r="I42" i="24"/>
  <c r="N61" i="9"/>
  <c r="I109" i="24"/>
  <c r="I39" i="24"/>
  <c r="I75" i="24"/>
  <c r="I107" i="24"/>
  <c r="C86" i="20"/>
  <c r="M18" i="18"/>
  <c r="O18" i="18"/>
  <c r="F18" i="18"/>
  <c r="H12" i="6"/>
  <c r="I12" i="6"/>
  <c r="H28" i="6"/>
  <c r="F110" i="25"/>
  <c r="I74" i="24"/>
  <c r="C73" i="20"/>
  <c r="F12" i="20"/>
  <c r="C36" i="20"/>
  <c r="I35" i="24"/>
  <c r="G111" i="24"/>
  <c r="F68" i="6"/>
  <c r="I68" i="6"/>
  <c r="E110" i="27"/>
  <c r="AC106" i="17"/>
  <c r="H106" i="10"/>
  <c r="AC81" i="17"/>
  <c r="H81" i="10"/>
  <c r="AC87" i="17"/>
  <c r="H87" i="10"/>
  <c r="AC47" i="17"/>
  <c r="H47" i="10"/>
  <c r="AC101" i="17"/>
  <c r="H101" i="10"/>
  <c r="AC33" i="17"/>
  <c r="H33" i="10"/>
  <c r="E18" i="17"/>
  <c r="D18" i="17"/>
  <c r="F18" i="17"/>
  <c r="Q18" i="17"/>
  <c r="E20" i="17"/>
  <c r="D20" i="17"/>
  <c r="E22" i="17"/>
  <c r="D22" i="17"/>
  <c r="E24" i="17"/>
  <c r="E27" i="17"/>
  <c r="D27" i="17"/>
  <c r="G27" i="17"/>
  <c r="H27" i="17"/>
  <c r="E28" i="17"/>
  <c r="D28" i="17"/>
  <c r="E30" i="17"/>
  <c r="D30" i="17"/>
  <c r="E32" i="17"/>
  <c r="D32" i="17"/>
  <c r="F32" i="17"/>
  <c r="Q32" i="17"/>
  <c r="E39" i="17"/>
  <c r="D39" i="17"/>
  <c r="E46" i="17"/>
  <c r="D46" i="17"/>
  <c r="F46" i="17"/>
  <c r="Q46" i="17"/>
  <c r="E51" i="17"/>
  <c r="D51" i="17"/>
  <c r="E55" i="17"/>
  <c r="D55" i="17"/>
  <c r="E57" i="17"/>
  <c r="D57" i="17"/>
  <c r="F57" i="17"/>
  <c r="Q57" i="17"/>
  <c r="R57" i="17"/>
  <c r="O57" i="17"/>
  <c r="E58" i="17"/>
  <c r="D58" i="17"/>
  <c r="E59" i="17"/>
  <c r="D59" i="17"/>
  <c r="E66" i="17"/>
  <c r="D66" i="17"/>
  <c r="E67" i="17"/>
  <c r="D67" i="17"/>
  <c r="E68" i="17"/>
  <c r="D68" i="17"/>
  <c r="G68" i="17"/>
  <c r="E74" i="17"/>
  <c r="D74" i="17"/>
  <c r="F74" i="17"/>
  <c r="Q74" i="17"/>
  <c r="G74" i="17"/>
  <c r="E79" i="17"/>
  <c r="D79" i="17"/>
  <c r="E81" i="17"/>
  <c r="D81" i="17"/>
  <c r="E83" i="17"/>
  <c r="D83" i="17"/>
  <c r="G83" i="17"/>
  <c r="E87" i="17"/>
  <c r="D87" i="17"/>
  <c r="G87" i="17"/>
  <c r="E91" i="17"/>
  <c r="D91" i="17"/>
  <c r="E95" i="17"/>
  <c r="D95" i="17"/>
  <c r="E99" i="17"/>
  <c r="D99" i="17"/>
  <c r="E103" i="17"/>
  <c r="D103" i="17"/>
  <c r="F103" i="17"/>
  <c r="Q103" i="17"/>
  <c r="E107" i="17"/>
  <c r="D107" i="17"/>
  <c r="E101" i="17"/>
  <c r="D101" i="17"/>
  <c r="F101" i="17"/>
  <c r="Q101" i="17"/>
  <c r="R101" i="17"/>
  <c r="O101" i="17"/>
  <c r="E36" i="17"/>
  <c r="D36" i="17"/>
  <c r="G36" i="17"/>
  <c r="E40" i="17"/>
  <c r="D40" i="17"/>
  <c r="F40" i="17"/>
  <c r="Q40" i="17"/>
  <c r="R40" i="17"/>
  <c r="O40" i="17"/>
  <c r="E43" i="17"/>
  <c r="D43" i="17"/>
  <c r="E52" i="17"/>
  <c r="D52" i="17"/>
  <c r="G52" i="17"/>
  <c r="E56" i="17"/>
  <c r="D56" i="17"/>
  <c r="E65" i="17"/>
  <c r="D65" i="17"/>
  <c r="E104" i="17"/>
  <c r="D104" i="17"/>
  <c r="F104" i="17"/>
  <c r="Q104" i="17"/>
  <c r="E17" i="17"/>
  <c r="D17" i="17"/>
  <c r="E26" i="17"/>
  <c r="D26" i="17"/>
  <c r="F26" i="17"/>
  <c r="Q26" i="17"/>
  <c r="E35" i="17"/>
  <c r="D35" i="17"/>
  <c r="E38" i="17"/>
  <c r="D38" i="17"/>
  <c r="E42" i="17"/>
  <c r="D42" i="17"/>
  <c r="F42" i="17"/>
  <c r="Q42" i="17"/>
  <c r="R42" i="17"/>
  <c r="O42" i="17"/>
  <c r="E45" i="17"/>
  <c r="D45" i="17"/>
  <c r="E48" i="17"/>
  <c r="D48" i="17"/>
  <c r="E50" i="17"/>
  <c r="D50" i="17"/>
  <c r="E54" i="17"/>
  <c r="D54" i="17"/>
  <c r="E60" i="17"/>
  <c r="D60" i="17"/>
  <c r="E69" i="17"/>
  <c r="D69" i="17"/>
  <c r="F69" i="17"/>
  <c r="Q69" i="17"/>
  <c r="E73" i="17"/>
  <c r="D73" i="17"/>
  <c r="F73" i="17"/>
  <c r="Q73" i="17"/>
  <c r="R73" i="17"/>
  <c r="O73" i="17"/>
  <c r="E82" i="17"/>
  <c r="D82" i="17"/>
  <c r="E86" i="17"/>
  <c r="D86" i="17"/>
  <c r="E90" i="17"/>
  <c r="D90" i="17"/>
  <c r="E94" i="17"/>
  <c r="D94" i="17"/>
  <c r="G94" i="17"/>
  <c r="E98" i="17"/>
  <c r="D98" i="17"/>
  <c r="E102" i="17"/>
  <c r="D102" i="17"/>
  <c r="E106" i="17"/>
  <c r="D106" i="17"/>
  <c r="E110" i="17"/>
  <c r="D110" i="17"/>
  <c r="E105" i="17"/>
  <c r="D105" i="17"/>
  <c r="F105" i="17"/>
  <c r="Q105" i="17"/>
  <c r="R105" i="17"/>
  <c r="O105" i="17"/>
  <c r="E33" i="17"/>
  <c r="D33" i="17"/>
  <c r="F33" i="17"/>
  <c r="E47" i="17"/>
  <c r="D47" i="17"/>
  <c r="F47" i="17"/>
  <c r="Q47" i="17"/>
  <c r="E75" i="17"/>
  <c r="D75" i="17"/>
  <c r="G75" i="17"/>
  <c r="E84" i="17"/>
  <c r="D84" i="17"/>
  <c r="E100" i="17"/>
  <c r="D100" i="17"/>
  <c r="F100" i="17"/>
  <c r="Q100" i="17"/>
  <c r="E19" i="17"/>
  <c r="D19" i="17"/>
  <c r="E21" i="17"/>
  <c r="D21" i="17"/>
  <c r="F21" i="17"/>
  <c r="E23" i="17"/>
  <c r="D23" i="17"/>
  <c r="F23" i="17"/>
  <c r="Q23" i="17"/>
  <c r="E25" i="17"/>
  <c r="D25" i="17"/>
  <c r="E29" i="17"/>
  <c r="E31" i="17"/>
  <c r="D31" i="17"/>
  <c r="E34" i="17"/>
  <c r="D34" i="17"/>
  <c r="F34" i="17"/>
  <c r="Q34" i="17"/>
  <c r="E37" i="17"/>
  <c r="D37" i="17"/>
  <c r="E41" i="17"/>
  <c r="D41" i="17"/>
  <c r="E44" i="17"/>
  <c r="D44" i="17"/>
  <c r="E53" i="17"/>
  <c r="D53" i="17"/>
  <c r="E61" i="17"/>
  <c r="D61" i="17"/>
  <c r="F61" i="17"/>
  <c r="Q61" i="17"/>
  <c r="R61" i="17"/>
  <c r="O61" i="17"/>
  <c r="E62" i="17"/>
  <c r="D62" i="17"/>
  <c r="E63" i="17"/>
  <c r="D63" i="17"/>
  <c r="G63" i="17"/>
  <c r="E64" i="17"/>
  <c r="D64" i="17"/>
  <c r="E70" i="17"/>
  <c r="D70" i="17"/>
  <c r="E71" i="17"/>
  <c r="D71" i="17"/>
  <c r="F71" i="17"/>
  <c r="E77" i="17"/>
  <c r="D77" i="17"/>
  <c r="F77" i="17"/>
  <c r="E78" i="17"/>
  <c r="D78" i="17"/>
  <c r="E80" i="17"/>
  <c r="D80" i="17"/>
  <c r="F80" i="17"/>
  <c r="Q80" i="17"/>
  <c r="E85" i="17"/>
  <c r="D85" i="17"/>
  <c r="E89" i="17"/>
  <c r="D89" i="17"/>
  <c r="G89" i="17"/>
  <c r="E93" i="17"/>
  <c r="D93" i="17"/>
  <c r="F93" i="17"/>
  <c r="Q93" i="17"/>
  <c r="R93" i="17"/>
  <c r="O93" i="17"/>
  <c r="E97" i="17"/>
  <c r="D97" i="17"/>
  <c r="G97" i="17"/>
  <c r="E109" i="17"/>
  <c r="D109" i="17"/>
  <c r="E49" i="17"/>
  <c r="D49" i="17"/>
  <c r="E72" i="17"/>
  <c r="D72" i="17"/>
  <c r="E76" i="17"/>
  <c r="D76" i="17"/>
  <c r="G76" i="17"/>
  <c r="H76" i="17"/>
  <c r="I76" i="17"/>
  <c r="E88" i="17"/>
  <c r="D88" i="17"/>
  <c r="E92" i="17"/>
  <c r="D92" i="17"/>
  <c r="E96" i="17"/>
  <c r="D96" i="17"/>
  <c r="E108" i="17"/>
  <c r="D108" i="17"/>
  <c r="U111" i="17"/>
  <c r="U112" i="17"/>
  <c r="E16" i="17"/>
  <c r="C17" i="14"/>
  <c r="D16" i="17"/>
  <c r="E110" i="23"/>
  <c r="F51" i="20"/>
  <c r="F35" i="20"/>
  <c r="F24" i="20"/>
  <c r="F18" i="20"/>
  <c r="G28" i="17"/>
  <c r="B12" i="20"/>
  <c r="E110" i="5"/>
  <c r="G46" i="17"/>
  <c r="H46" i="17"/>
  <c r="J19" i="10"/>
  <c r="P35" i="9"/>
  <c r="J34" i="10"/>
  <c r="P36" i="9"/>
  <c r="J35" i="10"/>
  <c r="P48" i="9"/>
  <c r="J47" i="10"/>
  <c r="P50" i="9"/>
  <c r="J49" i="10"/>
  <c r="P13" i="9"/>
  <c r="P21" i="9"/>
  <c r="J20" i="10"/>
  <c r="P29" i="9"/>
  <c r="J28" i="10"/>
  <c r="P52" i="9"/>
  <c r="J51" i="10"/>
  <c r="P16" i="9"/>
  <c r="J15" i="10"/>
  <c r="P54" i="9"/>
  <c r="J53" i="10"/>
  <c r="P40" i="9"/>
  <c r="J39" i="10"/>
  <c r="F110" i="23"/>
  <c r="C377" i="14"/>
  <c r="C379" i="14"/>
  <c r="C40" i="18"/>
  <c r="C41" i="18"/>
  <c r="F24" i="18"/>
  <c r="H18" i="6"/>
  <c r="I18" i="6"/>
  <c r="M111" i="20"/>
  <c r="K75" i="27"/>
  <c r="K59" i="27"/>
  <c r="K43" i="27"/>
  <c r="K35" i="27"/>
  <c r="K31" i="27"/>
  <c r="K28" i="27"/>
  <c r="K27" i="27"/>
  <c r="K56" i="27"/>
  <c r="K48" i="27"/>
  <c r="K44" i="27"/>
  <c r="K40" i="27"/>
  <c r="K36" i="27"/>
  <c r="K15" i="27"/>
  <c r="K49" i="27"/>
  <c r="K45" i="27"/>
  <c r="K24" i="27"/>
  <c r="K20" i="27"/>
  <c r="K17" i="27"/>
  <c r="K105" i="27"/>
  <c r="M89" i="20"/>
  <c r="K87" i="27"/>
  <c r="M81" i="20"/>
  <c r="K79" i="27"/>
  <c r="M73" i="20"/>
  <c r="M65" i="20"/>
  <c r="K63" i="27"/>
  <c r="M36" i="20"/>
  <c r="M44" i="20"/>
  <c r="M94" i="20"/>
  <c r="K92" i="27"/>
  <c r="M86" i="20"/>
  <c r="K84" i="27"/>
  <c r="M82" i="20"/>
  <c r="K80" i="27"/>
  <c r="M78" i="20"/>
  <c r="K76" i="27"/>
  <c r="M70" i="20"/>
  <c r="K68" i="27"/>
  <c r="M62" i="20"/>
  <c r="M23" i="20"/>
  <c r="K21" i="27"/>
  <c r="G82" i="20"/>
  <c r="G74" i="20"/>
  <c r="G66" i="20"/>
  <c r="G58" i="20"/>
  <c r="G50" i="20"/>
  <c r="G42" i="20"/>
  <c r="G96" i="20"/>
  <c r="G88" i="20"/>
  <c r="G80" i="20"/>
  <c r="G64" i="20"/>
  <c r="G56" i="20"/>
  <c r="F104" i="20"/>
  <c r="F96" i="20"/>
  <c r="G95" i="20"/>
  <c r="G87" i="20"/>
  <c r="G79" i="20"/>
  <c r="G47" i="20"/>
  <c r="G93" i="20"/>
  <c r="G77" i="20"/>
  <c r="G69" i="20"/>
  <c r="G101" i="20"/>
  <c r="G109" i="20"/>
  <c r="B17" i="22"/>
  <c r="B18" i="22"/>
  <c r="B19" i="22"/>
  <c r="G23" i="17"/>
  <c r="F68" i="17"/>
  <c r="Q68" i="17"/>
  <c r="R68" i="17"/>
  <c r="O68" i="17"/>
  <c r="G73" i="17"/>
  <c r="G80" i="17"/>
  <c r="H80" i="17"/>
  <c r="I80" i="17"/>
  <c r="S80" i="17"/>
  <c r="F76" i="17"/>
  <c r="Q76" i="17"/>
  <c r="G105" i="17"/>
  <c r="H105" i="17"/>
  <c r="AB19" i="17"/>
  <c r="AC19" i="17"/>
  <c r="H19" i="10"/>
  <c r="I39" i="6"/>
  <c r="F37" i="17"/>
  <c r="Q37" i="17"/>
  <c r="Q33" i="17"/>
  <c r="G33" i="17"/>
  <c r="H33" i="17"/>
  <c r="F35" i="17"/>
  <c r="Q35" i="17"/>
  <c r="R35" i="17"/>
  <c r="O35" i="17"/>
  <c r="F83" i="17"/>
  <c r="Q83" i="17"/>
  <c r="F87" i="17"/>
  <c r="Q87" i="17"/>
  <c r="G61" i="17"/>
  <c r="H61" i="17"/>
  <c r="I51" i="6"/>
  <c r="I28" i="6"/>
  <c r="O26" i="18"/>
  <c r="F26" i="18"/>
  <c r="H20" i="6"/>
  <c r="I20" i="6"/>
  <c r="I30" i="6"/>
  <c r="O25" i="18"/>
  <c r="F25" i="18"/>
  <c r="H19" i="6"/>
  <c r="I19" i="6"/>
  <c r="O13" i="18"/>
  <c r="O21" i="18"/>
  <c r="F21" i="18"/>
  <c r="H15" i="6"/>
  <c r="I15" i="6"/>
  <c r="G86" i="20"/>
  <c r="G78" i="20"/>
  <c r="G51" i="20"/>
  <c r="G34" i="20"/>
  <c r="G32" i="20"/>
  <c r="G30" i="20"/>
  <c r="G19" i="20"/>
  <c r="G99" i="20"/>
  <c r="I110" i="25"/>
  <c r="G26" i="20"/>
  <c r="G71" i="20"/>
  <c r="G55" i="20"/>
  <c r="G35" i="20"/>
  <c r="G33" i="20"/>
  <c r="G29" i="20"/>
  <c r="G111" i="20"/>
  <c r="G18" i="20"/>
  <c r="G98" i="20"/>
  <c r="M18" i="20"/>
  <c r="M88" i="20"/>
  <c r="M104" i="20"/>
  <c r="M93" i="20"/>
  <c r="M45" i="20"/>
  <c r="M37" i="20"/>
  <c r="M35" i="20"/>
  <c r="M26" i="20"/>
  <c r="M22" i="20"/>
  <c r="M20" i="20"/>
  <c r="M99" i="20"/>
  <c r="M80" i="20"/>
  <c r="M96" i="20"/>
  <c r="M64" i="20"/>
  <c r="M48" i="20"/>
  <c r="M50" i="20"/>
  <c r="J110" i="27"/>
  <c r="B27" i="30"/>
  <c r="M106" i="20"/>
  <c r="M98" i="20"/>
  <c r="M95" i="20"/>
  <c r="M87" i="20"/>
  <c r="M71" i="20"/>
  <c r="M55" i="20"/>
  <c r="M47" i="20"/>
  <c r="M42" i="20"/>
  <c r="M33" i="20"/>
  <c r="M29" i="20"/>
  <c r="M27" i="20"/>
  <c r="L76" i="20"/>
  <c r="M103" i="20"/>
  <c r="M92" i="20"/>
  <c r="M84" i="20"/>
  <c r="M68" i="20"/>
  <c r="M60" i="20"/>
  <c r="L36" i="20"/>
  <c r="M97" i="20"/>
  <c r="L60" i="20"/>
  <c r="M19" i="20"/>
  <c r="M102" i="20"/>
  <c r="M91" i="20"/>
  <c r="M83" i="20"/>
  <c r="M75" i="20"/>
  <c r="M67" i="20"/>
  <c r="M59" i="20"/>
  <c r="M51" i="20"/>
  <c r="M46" i="20"/>
  <c r="M38" i="20"/>
  <c r="M34" i="20"/>
  <c r="M30" i="20"/>
  <c r="M17" i="20"/>
  <c r="M77" i="20"/>
  <c r="M69" i="20"/>
  <c r="M61" i="20"/>
  <c r="M53" i="20"/>
  <c r="M40" i="20"/>
  <c r="M107" i="20"/>
  <c r="E14" i="8"/>
  <c r="B14" i="8"/>
  <c r="B22" i="8"/>
  <c r="P101" i="9"/>
  <c r="J100" i="10"/>
  <c r="P105" i="9"/>
  <c r="J104" i="10"/>
  <c r="I43" i="6"/>
  <c r="I58" i="6"/>
  <c r="P69" i="9"/>
  <c r="J68" i="10"/>
  <c r="P58" i="9"/>
  <c r="J57" i="10"/>
  <c r="P89" i="9"/>
  <c r="J88" i="10"/>
  <c r="P93" i="9"/>
  <c r="J92" i="10"/>
  <c r="P97" i="9"/>
  <c r="J96" i="10"/>
  <c r="P66" i="9"/>
  <c r="J65" i="10"/>
  <c r="F38" i="20"/>
  <c r="F85" i="20"/>
  <c r="I46" i="24"/>
  <c r="I57" i="24"/>
  <c r="I52" i="24"/>
  <c r="I18" i="24"/>
  <c r="I80" i="24"/>
  <c r="I104" i="24"/>
  <c r="I98" i="24"/>
  <c r="I94" i="24"/>
  <c r="C77" i="20"/>
  <c r="I102" i="24"/>
  <c r="I100" i="24"/>
  <c r="I96" i="24"/>
  <c r="I31" i="24"/>
  <c r="I25" i="24"/>
  <c r="I106" i="24"/>
  <c r="J76" i="17"/>
  <c r="S76" i="17"/>
  <c r="G82" i="17"/>
  <c r="H82" i="17"/>
  <c r="F82" i="17"/>
  <c r="Q82" i="17"/>
  <c r="R82" i="17"/>
  <c r="O82" i="17"/>
  <c r="F50" i="17"/>
  <c r="Q50" i="17"/>
  <c r="R50" i="17"/>
  <c r="O50" i="17"/>
  <c r="G50" i="17"/>
  <c r="H50" i="17"/>
  <c r="F59" i="17"/>
  <c r="Q59" i="17"/>
  <c r="G59" i="17"/>
  <c r="H59" i="17"/>
  <c r="G88" i="17"/>
  <c r="H88" i="17"/>
  <c r="G71" i="17"/>
  <c r="H71" i="17"/>
  <c r="Q71" i="17"/>
  <c r="R71" i="17"/>
  <c r="O71" i="17"/>
  <c r="F99" i="17"/>
  <c r="Q99" i="17"/>
  <c r="R99" i="17"/>
  <c r="O99" i="17"/>
  <c r="G99" i="17"/>
  <c r="H99" i="17"/>
  <c r="G90" i="17"/>
  <c r="H90" i="17"/>
  <c r="I78" i="6"/>
  <c r="K112" i="20"/>
  <c r="B17" i="30"/>
  <c r="M27" i="18"/>
  <c r="O27" i="18"/>
  <c r="F27" i="18"/>
  <c r="H21" i="6"/>
  <c r="I21" i="6"/>
  <c r="G32" i="17"/>
  <c r="H32" i="17"/>
  <c r="F55" i="17"/>
  <c r="Q55" i="17"/>
  <c r="R55" i="17"/>
  <c r="O55" i="17"/>
  <c r="G18" i="17"/>
  <c r="H18" i="17"/>
  <c r="I18" i="17"/>
  <c r="O14" i="18"/>
  <c r="F14" i="18"/>
  <c r="F94" i="17"/>
  <c r="Q94" i="17"/>
  <c r="R94" i="17"/>
  <c r="O94" i="17"/>
  <c r="F36" i="17"/>
  <c r="Q36" i="17"/>
  <c r="R36" i="17"/>
  <c r="O36" i="17"/>
  <c r="G79" i="17"/>
  <c r="H79" i="17"/>
  <c r="S79" i="17"/>
  <c r="H36" i="17"/>
  <c r="G39" i="17"/>
  <c r="F70" i="17"/>
  <c r="Q70" i="17"/>
  <c r="R70" i="17"/>
  <c r="O70" i="17"/>
  <c r="F79" i="17"/>
  <c r="Q79" i="17"/>
  <c r="R79" i="17"/>
  <c r="O79" i="17"/>
  <c r="H94" i="17"/>
  <c r="G69" i="17"/>
  <c r="H69" i="17"/>
  <c r="I69" i="17"/>
  <c r="F17" i="17"/>
  <c r="Q17" i="17"/>
  <c r="R17" i="17"/>
  <c r="O17" i="17"/>
  <c r="T17" i="17"/>
  <c r="G17" i="17"/>
  <c r="AB110" i="17"/>
  <c r="AC110" i="17"/>
  <c r="H110" i="10"/>
  <c r="AB103" i="17"/>
  <c r="AC103" i="17"/>
  <c r="H103" i="10"/>
  <c r="AB90" i="17"/>
  <c r="AC90" i="17"/>
  <c r="H90" i="10"/>
  <c r="AB77" i="17"/>
  <c r="AC77" i="17"/>
  <c r="H77" i="10"/>
  <c r="AB72" i="17"/>
  <c r="AC72" i="17"/>
  <c r="H72" i="10"/>
  <c r="AB61" i="17"/>
  <c r="AC61" i="17"/>
  <c r="H61" i="10"/>
  <c r="AB56" i="17"/>
  <c r="AC56" i="17"/>
  <c r="H56" i="10"/>
  <c r="AB44" i="17"/>
  <c r="AC44" i="17"/>
  <c r="H44" i="10"/>
  <c r="AB38" i="17"/>
  <c r="AC38" i="17"/>
  <c r="H38" i="10"/>
  <c r="AB31" i="17"/>
  <c r="AC31" i="17"/>
  <c r="H31" i="10"/>
  <c r="AB109" i="17"/>
  <c r="AC109" i="17"/>
  <c r="H109" i="10"/>
  <c r="AB96" i="17"/>
  <c r="AC96" i="17"/>
  <c r="H96" i="10"/>
  <c r="AB83" i="17"/>
  <c r="AC83" i="17"/>
  <c r="H83" i="10"/>
  <c r="AB71" i="17"/>
  <c r="AC71" i="17"/>
  <c r="H71" i="10"/>
  <c r="AB66" i="17"/>
  <c r="AC66" i="17"/>
  <c r="H66" i="10"/>
  <c r="AB55" i="17"/>
  <c r="AC55" i="17"/>
  <c r="H55" i="10"/>
  <c r="AB50" i="17"/>
  <c r="AC50" i="17"/>
  <c r="H50" i="10"/>
  <c r="AB43" i="17"/>
  <c r="AC43" i="17"/>
  <c r="H43" i="10"/>
  <c r="AB37" i="17"/>
  <c r="AC37" i="17"/>
  <c r="H37" i="10"/>
  <c r="AB30" i="17"/>
  <c r="AC30" i="17"/>
  <c r="H30" i="10"/>
  <c r="AB24" i="17"/>
  <c r="AC24" i="17"/>
  <c r="H24" i="10"/>
  <c r="I10" i="24"/>
  <c r="I32" i="6"/>
  <c r="AB104" i="17"/>
  <c r="AC104" i="17"/>
  <c r="H104" i="10"/>
  <c r="AB91" i="17"/>
  <c r="AC91" i="17"/>
  <c r="H91" i="10"/>
  <c r="AB73" i="17"/>
  <c r="AC73" i="17"/>
  <c r="H73" i="10"/>
  <c r="AB45" i="17"/>
  <c r="AC45" i="17"/>
  <c r="H45" i="10"/>
  <c r="AB39" i="17"/>
  <c r="AC39" i="17"/>
  <c r="H39" i="10"/>
  <c r="AB32" i="17"/>
  <c r="AC32" i="17"/>
  <c r="H32" i="10"/>
  <c r="AB20" i="17"/>
  <c r="AC20" i="17"/>
  <c r="H20" i="10"/>
  <c r="Q21" i="17"/>
  <c r="R21" i="17"/>
  <c r="O21" i="17"/>
  <c r="G110" i="27"/>
  <c r="B14" i="20"/>
  <c r="S14" i="20"/>
  <c r="T14" i="20"/>
  <c r="C111" i="24"/>
  <c r="G93" i="17"/>
  <c r="F62" i="17"/>
  <c r="Q62" i="17"/>
  <c r="R62" i="17"/>
  <c r="O62" i="17"/>
  <c r="G62" i="17"/>
  <c r="H62" i="17"/>
  <c r="F56" i="17"/>
  <c r="Q56" i="17"/>
  <c r="R56" i="17"/>
  <c r="O56" i="17"/>
  <c r="G56" i="17"/>
  <c r="H56" i="17"/>
  <c r="I105" i="17"/>
  <c r="J105" i="17"/>
  <c r="G44" i="17"/>
  <c r="H44" i="17"/>
  <c r="F44" i="17"/>
  <c r="Q44" i="17"/>
  <c r="R44" i="17"/>
  <c r="O44" i="17"/>
  <c r="G21" i="17"/>
  <c r="H21" i="17"/>
  <c r="F98" i="17"/>
  <c r="Q98" i="17"/>
  <c r="R98" i="17"/>
  <c r="O98" i="17"/>
  <c r="G98" i="17"/>
  <c r="H98" i="17"/>
  <c r="I36" i="17"/>
  <c r="H17" i="17"/>
  <c r="G109" i="17"/>
  <c r="H109" i="17"/>
  <c r="F109" i="17"/>
  <c r="Q109" i="17"/>
  <c r="R109" i="17"/>
  <c r="O109" i="17"/>
  <c r="H89" i="17"/>
  <c r="F89" i="17"/>
  <c r="Q89" i="17"/>
  <c r="R89" i="17"/>
  <c r="O89" i="17"/>
  <c r="F78" i="17"/>
  <c r="Q78" i="17"/>
  <c r="R78" i="17"/>
  <c r="O78" i="17"/>
  <c r="X78" i="17"/>
  <c r="G78" i="17"/>
  <c r="H78" i="17"/>
  <c r="I78" i="17"/>
  <c r="G41" i="17"/>
  <c r="H41" i="17"/>
  <c r="F41" i="17"/>
  <c r="Q41" i="17"/>
  <c r="R41" i="17"/>
  <c r="O41" i="17"/>
  <c r="T41" i="17"/>
  <c r="V41" i="17"/>
  <c r="W41" i="17"/>
  <c r="G25" i="17"/>
  <c r="H25" i="17"/>
  <c r="F25" i="17"/>
  <c r="Q25" i="17"/>
  <c r="R25" i="17"/>
  <c r="O25" i="17"/>
  <c r="X105" i="17"/>
  <c r="Y105" i="17"/>
  <c r="F105" i="10"/>
  <c r="F60" i="17"/>
  <c r="Q60" i="17"/>
  <c r="R60" i="17"/>
  <c r="O60" i="17"/>
  <c r="G60" i="17"/>
  <c r="H60" i="17"/>
  <c r="G104" i="17"/>
  <c r="H104" i="17"/>
  <c r="F67" i="17"/>
  <c r="Q67" i="17"/>
  <c r="R67" i="17"/>
  <c r="O67" i="17"/>
  <c r="G67" i="17"/>
  <c r="H67" i="17"/>
  <c r="G77" i="17"/>
  <c r="H77" i="17"/>
  <c r="Q77" i="17"/>
  <c r="R77" i="17"/>
  <c r="O77" i="17"/>
  <c r="H75" i="17"/>
  <c r="F75" i="17"/>
  <c r="Q75" i="17"/>
  <c r="R75" i="17"/>
  <c r="O75" i="17"/>
  <c r="G43" i="17"/>
  <c r="H43" i="17"/>
  <c r="F43" i="17"/>
  <c r="Q43" i="17"/>
  <c r="R43" i="17"/>
  <c r="O43" i="17"/>
  <c r="F85" i="17"/>
  <c r="Q85" i="17"/>
  <c r="R85" i="17"/>
  <c r="O85" i="17"/>
  <c r="G85" i="17"/>
  <c r="H85" i="17"/>
  <c r="F53" i="17"/>
  <c r="Q53" i="17"/>
  <c r="R53" i="17"/>
  <c r="O53" i="17"/>
  <c r="G53" i="17"/>
  <c r="H53" i="17"/>
  <c r="F31" i="17"/>
  <c r="Q31" i="17"/>
  <c r="R31" i="17"/>
  <c r="O31" i="17"/>
  <c r="G31" i="17"/>
  <c r="G100" i="17"/>
  <c r="H100" i="17"/>
  <c r="G101" i="17"/>
  <c r="H101" i="17"/>
  <c r="G51" i="17"/>
  <c r="H51" i="17"/>
  <c r="F51" i="17"/>
  <c r="Q51" i="17"/>
  <c r="R51" i="17"/>
  <c r="O51" i="17"/>
  <c r="H28" i="17"/>
  <c r="F28" i="17"/>
  <c r="Q28" i="17"/>
  <c r="R28" i="17"/>
  <c r="O28" i="17"/>
  <c r="G22" i="17"/>
  <c r="H22" i="17"/>
  <c r="F22" i="17"/>
  <c r="Q22" i="17"/>
  <c r="R22" i="17"/>
  <c r="O22" i="17"/>
  <c r="F54" i="17"/>
  <c r="Q54" i="17"/>
  <c r="R54" i="17"/>
  <c r="O54" i="17"/>
  <c r="G54" i="17"/>
  <c r="H54" i="17"/>
  <c r="H74" i="17"/>
  <c r="I74" i="17"/>
  <c r="J74" i="17"/>
  <c r="I31" i="6"/>
  <c r="F90" i="17"/>
  <c r="Q90" i="17"/>
  <c r="R90" i="17"/>
  <c r="O90" i="17"/>
  <c r="F88" i="17"/>
  <c r="Q88" i="17"/>
  <c r="R88" i="17"/>
  <c r="O88" i="17"/>
  <c r="H23" i="17"/>
  <c r="G47" i="17"/>
  <c r="H47" i="17"/>
  <c r="F48" i="17"/>
  <c r="Q48" i="17"/>
  <c r="R48" i="17"/>
  <c r="O48" i="17"/>
  <c r="G103" i="17"/>
  <c r="H103" i="17"/>
  <c r="F58" i="17"/>
  <c r="Q58" i="17"/>
  <c r="R58" i="17"/>
  <c r="O58" i="17"/>
  <c r="G58" i="17"/>
  <c r="H58" i="17"/>
  <c r="O12" i="18"/>
  <c r="P102" i="9"/>
  <c r="J101" i="10"/>
  <c r="P81" i="9"/>
  <c r="J80" i="10"/>
  <c r="P77" i="9"/>
  <c r="J76" i="10"/>
  <c r="I110" i="24"/>
  <c r="P82" i="9"/>
  <c r="J81" i="10"/>
  <c r="P78" i="9"/>
  <c r="J77" i="10"/>
  <c r="P67" i="9"/>
  <c r="J66" i="10"/>
  <c r="P61" i="9"/>
  <c r="J60" i="10"/>
  <c r="C45" i="20"/>
  <c r="B14" i="22"/>
  <c r="B15" i="22"/>
  <c r="P110" i="9"/>
  <c r="J109" i="10"/>
  <c r="P83" i="9"/>
  <c r="J82" i="10"/>
  <c r="P73" i="9"/>
  <c r="J72" i="10"/>
  <c r="P65" i="9"/>
  <c r="J64" i="10"/>
  <c r="P62" i="9"/>
  <c r="J61" i="10"/>
  <c r="P55" i="9"/>
  <c r="J54" i="10"/>
  <c r="P45" i="9"/>
  <c r="J44" i="10"/>
  <c r="B26" i="22"/>
  <c r="B27" i="22"/>
  <c r="S105" i="17"/>
  <c r="H11" i="6"/>
  <c r="I11" i="6"/>
  <c r="J80" i="17"/>
  <c r="T80" i="17"/>
  <c r="V80" i="17"/>
  <c r="I59" i="17"/>
  <c r="I90" i="17"/>
  <c r="J90" i="17"/>
  <c r="I79" i="17"/>
  <c r="T11" i="20"/>
  <c r="I88" i="17"/>
  <c r="J69" i="17"/>
  <c r="I22" i="17"/>
  <c r="S22" i="17"/>
  <c r="I25" i="17"/>
  <c r="S25" i="17"/>
  <c r="S78" i="17"/>
  <c r="I21" i="17"/>
  <c r="J21" i="17"/>
  <c r="I62" i="17"/>
  <c r="J62" i="17"/>
  <c r="I104" i="17"/>
  <c r="I103" i="17"/>
  <c r="I101" i="17"/>
  <c r="J101" i="17"/>
  <c r="X101" i="17"/>
  <c r="Y101" i="17"/>
  <c r="F101" i="10"/>
  <c r="I53" i="17"/>
  <c r="I17" i="17"/>
  <c r="S17" i="17"/>
  <c r="I44" i="17"/>
  <c r="I23" i="17"/>
  <c r="S23" i="17"/>
  <c r="I77" i="17"/>
  <c r="S18" i="17"/>
  <c r="I41" i="17"/>
  <c r="J41" i="17"/>
  <c r="I100" i="17"/>
  <c r="I109" i="17"/>
  <c r="I60" i="17"/>
  <c r="V11" i="20"/>
  <c r="I58" i="17"/>
  <c r="S58" i="17"/>
  <c r="S69" i="17"/>
  <c r="S88" i="17"/>
  <c r="S44" i="17"/>
  <c r="S62" i="17"/>
  <c r="S90" i="17"/>
  <c r="J58" i="17"/>
  <c r="X58" i="17"/>
  <c r="Y58" i="17"/>
  <c r="F58" i="10"/>
  <c r="S41" i="17"/>
  <c r="J22" i="17"/>
  <c r="X22" i="17"/>
  <c r="Y22" i="17"/>
  <c r="F22" i="10"/>
  <c r="J23" i="17"/>
  <c r="J17" i="17"/>
  <c r="S21" i="17"/>
  <c r="J78" i="17"/>
  <c r="S74" i="17"/>
  <c r="S109" i="17"/>
  <c r="S101" i="17"/>
  <c r="S103" i="17"/>
  <c r="T58" i="17"/>
  <c r="V58" i="17"/>
  <c r="W58" i="17"/>
  <c r="X17" i="17"/>
  <c r="Y17" i="17"/>
  <c r="F17" i="10"/>
  <c r="V17" i="17"/>
  <c r="W17" i="17"/>
  <c r="T78" i="17"/>
  <c r="V78" i="17"/>
  <c r="Y78" i="17"/>
  <c r="F78" i="10"/>
  <c r="Y11" i="20"/>
  <c r="C19" i="6"/>
  <c r="C24" i="6"/>
  <c r="C26" i="6"/>
  <c r="C22" i="6"/>
  <c r="P85" i="9"/>
  <c r="J84" i="10"/>
  <c r="N17" i="9"/>
  <c r="N71" i="9"/>
  <c r="N56" i="9"/>
  <c r="P43" i="9"/>
  <c r="J42" i="10"/>
  <c r="P32" i="9"/>
  <c r="J31" i="10"/>
  <c r="P39" i="9"/>
  <c r="J38" i="10"/>
  <c r="P76" i="9"/>
  <c r="J75" i="10"/>
  <c r="P90" i="9"/>
  <c r="J89" i="10"/>
  <c r="P49" i="9"/>
  <c r="J48" i="10"/>
  <c r="P70" i="9"/>
  <c r="J69" i="10"/>
  <c r="P106" i="9"/>
  <c r="J105" i="10"/>
  <c r="P94" i="9"/>
  <c r="J93" i="10"/>
  <c r="N103" i="9"/>
  <c r="N95" i="9"/>
  <c r="P107" i="9"/>
  <c r="J106" i="10"/>
  <c r="P86" i="9"/>
  <c r="J85" i="10"/>
  <c r="P98" i="9"/>
  <c r="J97" i="10"/>
  <c r="P51" i="9"/>
  <c r="J50" i="10"/>
  <c r="P37" i="9"/>
  <c r="J36" i="10"/>
  <c r="P31" i="9"/>
  <c r="J30" i="10"/>
  <c r="P42" i="9"/>
  <c r="J41" i="10"/>
  <c r="P30" i="9"/>
  <c r="J29" i="10"/>
  <c r="N41" i="9"/>
  <c r="P38" i="9"/>
  <c r="J37" i="10"/>
  <c r="P33" i="9"/>
  <c r="J32" i="10"/>
  <c r="N24" i="9"/>
  <c r="P18" i="9"/>
  <c r="J17" i="10"/>
  <c r="N12" i="9"/>
  <c r="S110" i="20"/>
  <c r="T110" i="20"/>
  <c r="S78" i="20"/>
  <c r="T78" i="20"/>
  <c r="S62" i="20"/>
  <c r="T62" i="20"/>
  <c r="S46" i="20"/>
  <c r="T46" i="20"/>
  <c r="S30" i="20"/>
  <c r="T30" i="20"/>
  <c r="S12" i="20"/>
  <c r="T12" i="20"/>
  <c r="S64" i="20"/>
  <c r="T64" i="20"/>
  <c r="S48" i="20"/>
  <c r="T48" i="20"/>
  <c r="S32" i="20"/>
  <c r="T32" i="20"/>
  <c r="S107" i="20"/>
  <c r="T107" i="20"/>
  <c r="S91" i="20"/>
  <c r="T91" i="20"/>
  <c r="S75" i="20"/>
  <c r="T75" i="20"/>
  <c r="S43" i="20"/>
  <c r="T43" i="20"/>
  <c r="S80" i="20"/>
  <c r="T80" i="20"/>
  <c r="I63" i="24"/>
  <c r="C64" i="20"/>
  <c r="AB84" i="17"/>
  <c r="AC84" i="17"/>
  <c r="H84" i="10"/>
  <c r="L111" i="17"/>
  <c r="C21" i="14"/>
  <c r="I27" i="17"/>
  <c r="J27" i="17"/>
  <c r="W78" i="17"/>
  <c r="I67" i="17"/>
  <c r="J67" i="17"/>
  <c r="S67" i="17"/>
  <c r="I71" i="17"/>
  <c r="J71" i="17"/>
  <c r="I85" i="17"/>
  <c r="S85" i="17"/>
  <c r="W80" i="17"/>
  <c r="I56" i="17"/>
  <c r="J56" i="17"/>
  <c r="T56" i="17"/>
  <c r="V56" i="17"/>
  <c r="S56" i="17"/>
  <c r="T51" i="17"/>
  <c r="V51" i="17"/>
  <c r="X90" i="17"/>
  <c r="Y90" i="17"/>
  <c r="F90" i="10"/>
  <c r="T90" i="17"/>
  <c r="V90" i="17"/>
  <c r="I43" i="17"/>
  <c r="J43" i="17"/>
  <c r="X21" i="17"/>
  <c r="Y21" i="17"/>
  <c r="F21" i="10"/>
  <c r="T21" i="17"/>
  <c r="V21" i="17"/>
  <c r="G107" i="20"/>
  <c r="N105" i="25"/>
  <c r="G91" i="20"/>
  <c r="N89" i="25"/>
  <c r="G59" i="20"/>
  <c r="N57" i="25"/>
  <c r="N41" i="25"/>
  <c r="G43" i="20"/>
  <c r="X60" i="17"/>
  <c r="Y60" i="17"/>
  <c r="F60" i="10"/>
  <c r="T60" i="17"/>
  <c r="V60" i="17"/>
  <c r="H52" i="17"/>
  <c r="F52" i="17"/>
  <c r="Q52" i="17"/>
  <c r="R52" i="17"/>
  <c r="O52" i="17"/>
  <c r="I98" i="17"/>
  <c r="S98" i="17"/>
  <c r="J98" i="17"/>
  <c r="I32" i="17"/>
  <c r="J32" i="17"/>
  <c r="X98" i="17"/>
  <c r="Y98" i="17"/>
  <c r="F98" i="10"/>
  <c r="T98" i="17"/>
  <c r="V98" i="17"/>
  <c r="I33" i="17"/>
  <c r="S33" i="17"/>
  <c r="J33" i="17"/>
  <c r="I82" i="17"/>
  <c r="S82" i="17"/>
  <c r="X41" i="17"/>
  <c r="Y41" i="17"/>
  <c r="F41" i="10"/>
  <c r="I47" i="17"/>
  <c r="J47" i="17"/>
  <c r="J25" i="17"/>
  <c r="T25" i="17"/>
  <c r="V25" i="17"/>
  <c r="F91" i="17"/>
  <c r="Q91" i="17"/>
  <c r="R91" i="17"/>
  <c r="O91" i="17"/>
  <c r="G91" i="17"/>
  <c r="H91" i="17"/>
  <c r="J53" i="17"/>
  <c r="T53" i="17"/>
  <c r="V53" i="17"/>
  <c r="S53" i="17"/>
  <c r="J51" i="17"/>
  <c r="X51" i="17"/>
  <c r="Y51" i="17"/>
  <c r="F51" i="10"/>
  <c r="I51" i="17"/>
  <c r="S51" i="17"/>
  <c r="F45" i="17"/>
  <c r="Q45" i="17"/>
  <c r="R45" i="17"/>
  <c r="O45" i="17"/>
  <c r="G86" i="17"/>
  <c r="H86" i="17"/>
  <c r="N65" i="25"/>
  <c r="G67" i="20"/>
  <c r="S104" i="17"/>
  <c r="J79" i="17"/>
  <c r="T79" i="17"/>
  <c r="V79" i="17"/>
  <c r="B28" i="22"/>
  <c r="S54" i="17"/>
  <c r="I54" i="17"/>
  <c r="J54" i="17"/>
  <c r="X54" i="17"/>
  <c r="Y54" i="17"/>
  <c r="F54" i="10"/>
  <c r="J59" i="17"/>
  <c r="S59" i="17"/>
  <c r="G38" i="17"/>
  <c r="H38" i="17"/>
  <c r="F38" i="17"/>
  <c r="Q38" i="17"/>
  <c r="R38" i="17"/>
  <c r="O38" i="17"/>
  <c r="I28" i="17"/>
  <c r="J28" i="17"/>
  <c r="J104" i="17"/>
  <c r="S100" i="17"/>
  <c r="J100" i="17"/>
  <c r="D29" i="17"/>
  <c r="E112" i="17"/>
  <c r="G108" i="17"/>
  <c r="F108" i="17"/>
  <c r="Q108" i="17"/>
  <c r="R108" i="17"/>
  <c r="O108" i="17"/>
  <c r="F97" i="17"/>
  <c r="Q97" i="17"/>
  <c r="R97" i="17"/>
  <c r="O97" i="17"/>
  <c r="H97" i="17"/>
  <c r="F63" i="17"/>
  <c r="Q63" i="17"/>
  <c r="R63" i="17"/>
  <c r="O63" i="17"/>
  <c r="H63" i="17"/>
  <c r="X62" i="17"/>
  <c r="Y62" i="17"/>
  <c r="F62" i="10"/>
  <c r="T62" i="17"/>
  <c r="V62" i="17"/>
  <c r="I75" i="17"/>
  <c r="S75" i="17"/>
  <c r="J75" i="17"/>
  <c r="X75" i="17"/>
  <c r="Y75" i="17"/>
  <c r="F75" i="10"/>
  <c r="T44" i="17"/>
  <c r="V44" i="17"/>
  <c r="X44" i="17"/>
  <c r="Y44" i="17"/>
  <c r="F44" i="10"/>
  <c r="G45" i="17"/>
  <c r="H45" i="17"/>
  <c r="I50" i="17"/>
  <c r="J50" i="17"/>
  <c r="X50" i="17"/>
  <c r="Y50" i="17"/>
  <c r="F50" i="10"/>
  <c r="G96" i="17"/>
  <c r="H96" i="17"/>
  <c r="F96" i="17"/>
  <c r="Q96" i="17"/>
  <c r="R96" i="17"/>
  <c r="O96" i="17"/>
  <c r="T22" i="17"/>
  <c r="V22" i="17"/>
  <c r="I89" i="17"/>
  <c r="S89" i="17"/>
  <c r="T50" i="17"/>
  <c r="V50" i="17"/>
  <c r="I46" i="17"/>
  <c r="J46" i="17"/>
  <c r="S46" i="17"/>
  <c r="G110" i="17"/>
  <c r="H110" i="17"/>
  <c r="F110" i="17"/>
  <c r="Q110" i="17"/>
  <c r="R110" i="17"/>
  <c r="O110" i="17"/>
  <c r="X80" i="17"/>
  <c r="Y80" i="17"/>
  <c r="F80" i="10"/>
  <c r="T101" i="17"/>
  <c r="V101" i="17"/>
  <c r="S60" i="17"/>
  <c r="J60" i="17"/>
  <c r="F86" i="17"/>
  <c r="Q86" i="17"/>
  <c r="R86" i="17"/>
  <c r="O86" i="17"/>
  <c r="H108" i="17"/>
  <c r="F106" i="17"/>
  <c r="Q106" i="17"/>
  <c r="R106" i="17"/>
  <c r="O106" i="17"/>
  <c r="G106" i="17"/>
  <c r="H106" i="17"/>
  <c r="J77" i="17"/>
  <c r="S77" i="17"/>
  <c r="S99" i="17"/>
  <c r="I99" i="17"/>
  <c r="J99" i="17"/>
  <c r="X25" i="17"/>
  <c r="Y25" i="17"/>
  <c r="F25" i="10"/>
  <c r="J109" i="17"/>
  <c r="X109" i="17"/>
  <c r="Y109" i="17"/>
  <c r="F109" i="10"/>
  <c r="I94" i="17"/>
  <c r="S94" i="17"/>
  <c r="J94" i="17"/>
  <c r="X94" i="17"/>
  <c r="Y94" i="17"/>
  <c r="F94" i="10"/>
  <c r="F65" i="17"/>
  <c r="Q65" i="17"/>
  <c r="R65" i="17"/>
  <c r="O65" i="17"/>
  <c r="G65" i="17"/>
  <c r="H65" i="17"/>
  <c r="G30" i="17"/>
  <c r="H30" i="17"/>
  <c r="F30" i="17"/>
  <c r="Q30" i="17"/>
  <c r="R30" i="17"/>
  <c r="O30" i="17"/>
  <c r="F27" i="17"/>
  <c r="Q27" i="17"/>
  <c r="R27" i="17"/>
  <c r="O27" i="17"/>
  <c r="G64" i="17"/>
  <c r="H64" i="17"/>
  <c r="F64" i="17"/>
  <c r="Q64" i="17"/>
  <c r="R64" i="17"/>
  <c r="O64" i="17"/>
  <c r="K50" i="27"/>
  <c r="M52" i="20"/>
  <c r="I59" i="24"/>
  <c r="C60" i="20"/>
  <c r="J12" i="10"/>
  <c r="T105" i="17"/>
  <c r="V105" i="17"/>
  <c r="M101" i="20"/>
  <c r="K99" i="27"/>
  <c r="G92" i="17"/>
  <c r="H92" i="17"/>
  <c r="F92" i="17"/>
  <c r="Q92" i="17"/>
  <c r="R92" i="17"/>
  <c r="O92" i="17"/>
  <c r="H93" i="17"/>
  <c r="I23" i="24"/>
  <c r="C24" i="20"/>
  <c r="C18" i="20"/>
  <c r="H111" i="24"/>
  <c r="M105" i="20"/>
  <c r="K103" i="27"/>
  <c r="M57" i="20"/>
  <c r="K55" i="27"/>
  <c r="M41" i="20"/>
  <c r="K39" i="27"/>
  <c r="M25" i="20"/>
  <c r="K23" i="27"/>
  <c r="K70" i="27"/>
  <c r="M72" i="20"/>
  <c r="M56" i="20"/>
  <c r="K54" i="27"/>
  <c r="K22" i="27"/>
  <c r="M24" i="20"/>
  <c r="N106" i="25"/>
  <c r="G108" i="20"/>
  <c r="G100" i="20"/>
  <c r="N98" i="25"/>
  <c r="N90" i="25"/>
  <c r="G92" i="20"/>
  <c r="G76" i="20"/>
  <c r="G68" i="20"/>
  <c r="N66" i="25"/>
  <c r="G60" i="20"/>
  <c r="N58" i="25"/>
  <c r="G52" i="20"/>
  <c r="N50" i="25"/>
  <c r="N42" i="25"/>
  <c r="G44" i="20"/>
  <c r="N34" i="25"/>
  <c r="G28" i="20"/>
  <c r="G20" i="20"/>
  <c r="D110" i="25"/>
  <c r="M90" i="20"/>
  <c r="K88" i="27"/>
  <c r="K83" i="27"/>
  <c r="M85" i="20"/>
  <c r="K19" i="27"/>
  <c r="F110" i="27"/>
  <c r="M21" i="20"/>
  <c r="I37" i="24"/>
  <c r="C38" i="20"/>
  <c r="M32" i="20"/>
  <c r="K30" i="27"/>
  <c r="K26" i="27"/>
  <c r="M28" i="20"/>
  <c r="H57" i="17"/>
  <c r="J88" i="17"/>
  <c r="T88" i="17"/>
  <c r="V88" i="17"/>
  <c r="R33" i="17"/>
  <c r="O33" i="17"/>
  <c r="G19" i="17"/>
  <c r="H19" i="17"/>
  <c r="F19" i="17"/>
  <c r="Q19" i="17"/>
  <c r="R19" i="17"/>
  <c r="O19" i="17"/>
  <c r="H73" i="17"/>
  <c r="G35" i="17"/>
  <c r="H35" i="17"/>
  <c r="F81" i="17"/>
  <c r="Q81" i="17"/>
  <c r="R81" i="17"/>
  <c r="O81" i="17"/>
  <c r="G81" i="17"/>
  <c r="H81" i="17"/>
  <c r="G45" i="20"/>
  <c r="N43" i="25"/>
  <c r="G110" i="25"/>
  <c r="G57" i="17"/>
  <c r="R37" i="17"/>
  <c r="O37" i="17"/>
  <c r="R47" i="17"/>
  <c r="O47" i="17"/>
  <c r="R69" i="17"/>
  <c r="O69" i="17"/>
  <c r="R26" i="17"/>
  <c r="O26" i="17"/>
  <c r="H42" i="17"/>
  <c r="I61" i="17"/>
  <c r="S61" i="17"/>
  <c r="J61" i="17"/>
  <c r="X61" i="17"/>
  <c r="Y61" i="17"/>
  <c r="F61" i="10"/>
  <c r="R100" i="17"/>
  <c r="O100" i="17"/>
  <c r="G107" i="17"/>
  <c r="H107" i="17"/>
  <c r="F107" i="17"/>
  <c r="Q107" i="17"/>
  <c r="R107" i="17"/>
  <c r="O107" i="17"/>
  <c r="C106" i="20"/>
  <c r="B18" i="20"/>
  <c r="C90" i="20"/>
  <c r="I89" i="24"/>
  <c r="G42" i="17"/>
  <c r="R87" i="17"/>
  <c r="O87" i="17"/>
  <c r="G84" i="17"/>
  <c r="H84" i="17"/>
  <c r="F84" i="17"/>
  <c r="Q84" i="17"/>
  <c r="R84" i="17"/>
  <c r="O84" i="17"/>
  <c r="F102" i="17"/>
  <c r="Q102" i="17"/>
  <c r="R102" i="17"/>
  <c r="O102" i="17"/>
  <c r="G102" i="17"/>
  <c r="H102" i="17"/>
  <c r="R103" i="17"/>
  <c r="O103" i="17"/>
  <c r="D24" i="17"/>
  <c r="E111" i="17"/>
  <c r="M54" i="20"/>
  <c r="K52" i="27"/>
  <c r="H40" i="17"/>
  <c r="R59" i="17"/>
  <c r="O59" i="17"/>
  <c r="F72" i="17"/>
  <c r="Q72" i="17"/>
  <c r="R72" i="17"/>
  <c r="O72" i="17"/>
  <c r="G72" i="17"/>
  <c r="H72" i="17"/>
  <c r="G37" i="17"/>
  <c r="H37" i="17"/>
  <c r="R74" i="17"/>
  <c r="O74" i="17"/>
  <c r="R46" i="17"/>
  <c r="O46" i="17"/>
  <c r="K106" i="27"/>
  <c r="M108" i="20"/>
  <c r="G40" i="17"/>
  <c r="J44" i="17"/>
  <c r="J18" i="17"/>
  <c r="F16" i="17"/>
  <c r="G16" i="17"/>
  <c r="H16" i="17"/>
  <c r="G49" i="17"/>
  <c r="F49" i="17"/>
  <c r="Q49" i="17"/>
  <c r="R49" i="17"/>
  <c r="O49" i="17"/>
  <c r="H49" i="17"/>
  <c r="R34" i="17"/>
  <c r="O34" i="17"/>
  <c r="R104" i="17"/>
  <c r="O104" i="17"/>
  <c r="E37" i="20"/>
  <c r="S37" i="20"/>
  <c r="N35" i="25"/>
  <c r="G34" i="17"/>
  <c r="H34" i="17"/>
  <c r="G95" i="17"/>
  <c r="H95" i="17"/>
  <c r="F95" i="17"/>
  <c r="Q95" i="17"/>
  <c r="R95" i="17"/>
  <c r="O95" i="17"/>
  <c r="H68" i="17"/>
  <c r="K32" i="27"/>
  <c r="L34" i="20"/>
  <c r="J103" i="17"/>
  <c r="S36" i="17"/>
  <c r="J36" i="17"/>
  <c r="T36" i="17"/>
  <c r="V36" i="17"/>
  <c r="R83" i="17"/>
  <c r="O83" i="17"/>
  <c r="R76" i="17"/>
  <c r="O76" i="17"/>
  <c r="G70" i="17"/>
  <c r="H70" i="17"/>
  <c r="H31" i="17"/>
  <c r="G48" i="17"/>
  <c r="H48" i="17"/>
  <c r="F39" i="17"/>
  <c r="Q39" i="17"/>
  <c r="R39" i="17"/>
  <c r="O39" i="17"/>
  <c r="H39" i="17"/>
  <c r="M110" i="25"/>
  <c r="B25" i="30"/>
  <c r="K18" i="27"/>
  <c r="L20" i="20"/>
  <c r="G39" i="20"/>
  <c r="G55" i="17"/>
  <c r="H55" i="17"/>
  <c r="N108" i="25"/>
  <c r="G110" i="20"/>
  <c r="G54" i="20"/>
  <c r="M49" i="20"/>
  <c r="K47" i="27"/>
  <c r="G21" i="20"/>
  <c r="C82" i="20"/>
  <c r="P59" i="9"/>
  <c r="J58" i="10"/>
  <c r="N59" i="9"/>
  <c r="N64" i="25"/>
  <c r="E66" i="20"/>
  <c r="K61" i="27"/>
  <c r="M63" i="20"/>
  <c r="I29" i="24"/>
  <c r="C30" i="20"/>
  <c r="N25" i="9"/>
  <c r="P25" i="9"/>
  <c r="J24" i="10"/>
  <c r="P19" i="9"/>
  <c r="J18" i="10"/>
  <c r="N19" i="9"/>
  <c r="L15" i="20"/>
  <c r="K13" i="27"/>
  <c r="E26" i="8"/>
  <c r="E33" i="8"/>
  <c r="E25" i="8"/>
  <c r="C91" i="20"/>
  <c r="I90" i="24"/>
  <c r="I71" i="24"/>
  <c r="C72" i="20"/>
  <c r="I24" i="24"/>
  <c r="C25" i="20"/>
  <c r="S36" i="20"/>
  <c r="S20" i="20"/>
  <c r="E28" i="8"/>
  <c r="E29" i="8"/>
  <c r="E22" i="8"/>
  <c r="E23" i="8"/>
  <c r="S35" i="20"/>
  <c r="S19" i="20"/>
  <c r="K74" i="27"/>
  <c r="M76" i="20"/>
  <c r="G53" i="20"/>
  <c r="N51" i="25"/>
  <c r="AB16" i="17"/>
  <c r="L112" i="17"/>
  <c r="C20" i="14"/>
  <c r="N84" i="25"/>
  <c r="E86" i="20"/>
  <c r="S86" i="20"/>
  <c r="N74" i="25"/>
  <c r="E85" i="20"/>
  <c r="S85" i="20"/>
  <c r="N83" i="25"/>
  <c r="N73" i="25"/>
  <c r="N30" i="25"/>
  <c r="H27" i="5"/>
  <c r="D110" i="5"/>
  <c r="M31" i="20"/>
  <c r="M100" i="20"/>
  <c r="G90" i="20"/>
  <c r="N88" i="25"/>
  <c r="N46" i="25"/>
  <c r="G48" i="20"/>
  <c r="C52" i="20"/>
  <c r="I51" i="24"/>
  <c r="N47" i="9"/>
  <c r="P47" i="9"/>
  <c r="J46" i="10"/>
  <c r="E105" i="20"/>
  <c r="S105" i="20"/>
  <c r="N103" i="25"/>
  <c r="N82" i="25"/>
  <c r="H32" i="23"/>
  <c r="Q34" i="20"/>
  <c r="D110" i="23"/>
  <c r="M74" i="20"/>
  <c r="K41" i="27"/>
  <c r="R23" i="17"/>
  <c r="O23" i="17"/>
  <c r="G20" i="17"/>
  <c r="H20" i="17"/>
  <c r="F20" i="17"/>
  <c r="Q20" i="17"/>
  <c r="R20" i="17"/>
  <c r="O20" i="17"/>
  <c r="N99" i="9"/>
  <c r="G94" i="20"/>
  <c r="N69" i="25"/>
  <c r="M66" i="20"/>
  <c r="K64" i="27"/>
  <c r="I79" i="24"/>
  <c r="C80" i="20"/>
  <c r="G26" i="17"/>
  <c r="H26" i="17"/>
  <c r="H87" i="17"/>
  <c r="F66" i="17"/>
  <c r="Q66" i="17"/>
  <c r="R66" i="17"/>
  <c r="O66" i="17"/>
  <c r="G66" i="17"/>
  <c r="H66" i="17"/>
  <c r="R18" i="17"/>
  <c r="O18" i="17"/>
  <c r="G103" i="20"/>
  <c r="N108" i="9"/>
  <c r="P108" i="9"/>
  <c r="J107" i="10"/>
  <c r="C84" i="20"/>
  <c r="I83" i="24"/>
  <c r="G61" i="20"/>
  <c r="N59" i="25"/>
  <c r="B25" i="8"/>
  <c r="B26" i="8"/>
  <c r="B33" i="8"/>
  <c r="B18" i="8"/>
  <c r="B23" i="8"/>
  <c r="B39" i="8"/>
  <c r="I87" i="24"/>
  <c r="C88" i="20"/>
  <c r="I50" i="24"/>
  <c r="C51" i="20"/>
  <c r="N14" i="9"/>
  <c r="P14" i="9"/>
  <c r="J13" i="10"/>
  <c r="G31" i="20"/>
  <c r="P28" i="9"/>
  <c r="J27" i="10"/>
  <c r="R32" i="17"/>
  <c r="O32" i="17"/>
  <c r="G70" i="20"/>
  <c r="N68" i="25"/>
  <c r="N46" i="9"/>
  <c r="P46" i="9"/>
  <c r="J45" i="10"/>
  <c r="N48" i="25"/>
  <c r="N101" i="25"/>
  <c r="N91" i="25"/>
  <c r="N14" i="25"/>
  <c r="E16" i="20"/>
  <c r="G72" i="20"/>
  <c r="K37" i="27"/>
  <c r="E15" i="20"/>
  <c r="E112" i="20"/>
  <c r="B15" i="30"/>
  <c r="N13" i="25"/>
  <c r="G22" i="20"/>
  <c r="N20" i="25"/>
  <c r="P64" i="9"/>
  <c r="J63" i="10"/>
  <c r="N64" i="9"/>
  <c r="N26" i="25"/>
  <c r="N94" i="25"/>
  <c r="N102" i="25"/>
  <c r="E84" i="20"/>
  <c r="S84" i="20"/>
  <c r="N25" i="25"/>
  <c r="K53" i="27"/>
  <c r="G27" i="20"/>
  <c r="N12" i="25"/>
  <c r="P74" i="9"/>
  <c r="J73" i="10"/>
  <c r="N33" i="25"/>
  <c r="N24" i="25"/>
  <c r="C110" i="25"/>
  <c r="N10" i="25"/>
  <c r="N23" i="25"/>
  <c r="E25" i="20"/>
  <c r="S25" i="20"/>
  <c r="G23" i="20"/>
  <c r="D110" i="27"/>
  <c r="N95" i="25"/>
  <c r="N87" i="25"/>
  <c r="G89" i="20"/>
  <c r="N79" i="25"/>
  <c r="N71" i="25"/>
  <c r="N63" i="25"/>
  <c r="Q12" i="20"/>
  <c r="Q112" i="20"/>
  <c r="S82" i="20"/>
  <c r="S66" i="20"/>
  <c r="S50" i="20"/>
  <c r="N22" i="25"/>
  <c r="N31" i="25"/>
  <c r="H83" i="17"/>
  <c r="N21" i="25"/>
  <c r="E110" i="25"/>
  <c r="S95" i="20"/>
  <c r="S47" i="20"/>
  <c r="N54" i="25"/>
  <c r="N100" i="25"/>
  <c r="N39" i="25"/>
  <c r="S93" i="20"/>
  <c r="S45" i="20"/>
  <c r="S29" i="20"/>
  <c r="L16" i="20"/>
  <c r="K14" i="27"/>
  <c r="E88" i="20"/>
  <c r="S88" i="20"/>
  <c r="N86" i="25"/>
  <c r="E20" i="20"/>
  <c r="N18" i="25"/>
  <c r="E35" i="20"/>
  <c r="S92" i="20"/>
  <c r="S76" i="20"/>
  <c r="S44" i="20"/>
  <c r="S28" i="20"/>
  <c r="K62" i="27"/>
  <c r="L14" i="20"/>
  <c r="N38" i="25"/>
  <c r="E27" i="20"/>
  <c r="S59" i="20"/>
  <c r="S27" i="20"/>
  <c r="N62" i="25"/>
  <c r="N56" i="25"/>
  <c r="E96" i="20"/>
  <c r="S96" i="20"/>
  <c r="N47" i="25"/>
  <c r="E19" i="20"/>
  <c r="N19" i="25"/>
  <c r="N16" i="25"/>
  <c r="P18" i="20"/>
  <c r="P112" i="20"/>
  <c r="B19" i="30"/>
  <c r="H61" i="25"/>
  <c r="N27" i="25"/>
  <c r="F17" i="20"/>
  <c r="I48" i="17"/>
  <c r="J48" i="17"/>
  <c r="T37" i="20"/>
  <c r="I92" i="17"/>
  <c r="J92" i="17"/>
  <c r="T92" i="17"/>
  <c r="V92" i="17"/>
  <c r="S92" i="17"/>
  <c r="X71" i="17"/>
  <c r="Y71" i="17"/>
  <c r="F71" i="10"/>
  <c r="T71" i="17"/>
  <c r="V71" i="17"/>
  <c r="W56" i="17"/>
  <c r="T96" i="20"/>
  <c r="I106" i="17"/>
  <c r="J106" i="17"/>
  <c r="T67" i="17"/>
  <c r="V67" i="17"/>
  <c r="X67" i="17"/>
  <c r="Y67" i="17"/>
  <c r="F67" i="10"/>
  <c r="I20" i="17"/>
  <c r="J20" i="17"/>
  <c r="S20" i="17"/>
  <c r="X99" i="17"/>
  <c r="Y99" i="17"/>
  <c r="F99" i="10"/>
  <c r="T99" i="17"/>
  <c r="V99" i="17"/>
  <c r="W79" i="17"/>
  <c r="W36" i="17"/>
  <c r="I102" i="17"/>
  <c r="S102" i="17"/>
  <c r="J102" i="17"/>
  <c r="T102" i="17"/>
  <c r="V102" i="17"/>
  <c r="W88" i="17"/>
  <c r="I86" i="17"/>
  <c r="S86" i="17"/>
  <c r="J86" i="17"/>
  <c r="X86" i="17"/>
  <c r="Y86" i="17"/>
  <c r="F86" i="10"/>
  <c r="I110" i="17"/>
  <c r="S110" i="17"/>
  <c r="J110" i="17"/>
  <c r="T110" i="17"/>
  <c r="V110" i="17"/>
  <c r="I16" i="17"/>
  <c r="J16" i="17"/>
  <c r="T85" i="20"/>
  <c r="I45" i="17"/>
  <c r="J45" i="17"/>
  <c r="I91" i="17"/>
  <c r="S91" i="17"/>
  <c r="J91" i="17"/>
  <c r="T91" i="17"/>
  <c r="V91" i="17"/>
  <c r="I81" i="17"/>
  <c r="J81" i="17"/>
  <c r="X81" i="17"/>
  <c r="Y81" i="17"/>
  <c r="F81" i="10"/>
  <c r="S81" i="17"/>
  <c r="I66" i="17"/>
  <c r="S66" i="17"/>
  <c r="J66" i="17"/>
  <c r="T66" i="17"/>
  <c r="V66" i="17"/>
  <c r="I107" i="17"/>
  <c r="J107" i="17"/>
  <c r="S107" i="17"/>
  <c r="S55" i="17"/>
  <c r="I55" i="17"/>
  <c r="J55" i="17"/>
  <c r="T86" i="20"/>
  <c r="S34" i="17"/>
  <c r="I34" i="17"/>
  <c r="J34" i="17"/>
  <c r="T34" i="17"/>
  <c r="V34" i="17"/>
  <c r="I30" i="17"/>
  <c r="S30" i="17"/>
  <c r="J30" i="17"/>
  <c r="X28" i="17"/>
  <c r="Y28" i="17"/>
  <c r="F28" i="10"/>
  <c r="T28" i="17"/>
  <c r="V28" i="17"/>
  <c r="T43" i="17"/>
  <c r="V43" i="17"/>
  <c r="X43" i="17"/>
  <c r="Y43" i="17"/>
  <c r="F43" i="10"/>
  <c r="T25" i="20"/>
  <c r="I35" i="17"/>
  <c r="S35" i="17"/>
  <c r="J35" i="17"/>
  <c r="T88" i="20"/>
  <c r="T105" i="20"/>
  <c r="T84" i="20"/>
  <c r="I65" i="17"/>
  <c r="S65" i="17"/>
  <c r="J65" i="17"/>
  <c r="M112" i="20"/>
  <c r="I87" i="17"/>
  <c r="S87" i="17"/>
  <c r="J87" i="17"/>
  <c r="X87" i="17"/>
  <c r="Y87" i="17"/>
  <c r="F87" i="10"/>
  <c r="T50" i="20"/>
  <c r="S47" i="17"/>
  <c r="C21" i="10"/>
  <c r="W21" i="17"/>
  <c r="W51" i="17"/>
  <c r="J85" i="17"/>
  <c r="T65" i="17"/>
  <c r="V65" i="17"/>
  <c r="X65" i="17"/>
  <c r="Y65" i="17"/>
  <c r="F65" i="10"/>
  <c r="W53" i="17"/>
  <c r="W98" i="17"/>
  <c r="X76" i="17"/>
  <c r="Y76" i="17"/>
  <c r="F76" i="10"/>
  <c r="T76" i="17"/>
  <c r="V76" i="17"/>
  <c r="I108" i="17"/>
  <c r="S108" i="17"/>
  <c r="J108" i="17"/>
  <c r="W62" i="17"/>
  <c r="S71" i="17"/>
  <c r="T82" i="20"/>
  <c r="S15" i="20"/>
  <c r="T20" i="20"/>
  <c r="S19" i="17"/>
  <c r="I19" i="17"/>
  <c r="J19" i="17"/>
  <c r="J111" i="10"/>
  <c r="E13" i="30"/>
  <c r="G13" i="30"/>
  <c r="H13" i="30"/>
  <c r="W50" i="17"/>
  <c r="S43" i="17"/>
  <c r="S27" i="17"/>
  <c r="T27" i="20"/>
  <c r="T93" i="20"/>
  <c r="W105" i="17"/>
  <c r="I49" i="17"/>
  <c r="J49" i="17"/>
  <c r="S49" i="17"/>
  <c r="T28" i="20"/>
  <c r="T36" i="20"/>
  <c r="T33" i="17"/>
  <c r="V33" i="17"/>
  <c r="X33" i="17"/>
  <c r="Y33" i="17"/>
  <c r="F33" i="10"/>
  <c r="T94" i="17"/>
  <c r="V94" i="17"/>
  <c r="S32" i="17"/>
  <c r="T66" i="20"/>
  <c r="H29" i="17"/>
  <c r="G29" i="17"/>
  <c r="F29" i="17"/>
  <c r="Q29" i="17"/>
  <c r="R29" i="17"/>
  <c r="O29" i="17"/>
  <c r="T59" i="20"/>
  <c r="W44" i="17"/>
  <c r="T104" i="17"/>
  <c r="V104" i="17"/>
  <c r="X104" i="17"/>
  <c r="Y104" i="17"/>
  <c r="F104" i="10"/>
  <c r="O29" i="20"/>
  <c r="O112" i="20"/>
  <c r="H110" i="5"/>
  <c r="B38" i="30"/>
  <c r="L112" i="20"/>
  <c r="I42" i="17"/>
  <c r="J42" i="17"/>
  <c r="S42" i="17"/>
  <c r="F112" i="20"/>
  <c r="G63" i="20"/>
  <c r="H110" i="25"/>
  <c r="T44" i="20"/>
  <c r="T59" i="17"/>
  <c r="V59" i="17"/>
  <c r="X59" i="17"/>
  <c r="Y59" i="17"/>
  <c r="F59" i="10"/>
  <c r="T69" i="17"/>
  <c r="V69" i="17"/>
  <c r="X69" i="17"/>
  <c r="Y69" i="17"/>
  <c r="F69" i="10"/>
  <c r="J89" i="17"/>
  <c r="J63" i="17"/>
  <c r="X63" i="17"/>
  <c r="Y63" i="17"/>
  <c r="F63" i="10"/>
  <c r="S63" i="17"/>
  <c r="I63" i="17"/>
  <c r="W90" i="17"/>
  <c r="T46" i="17"/>
  <c r="V46" i="17"/>
  <c r="X46" i="17"/>
  <c r="Y46" i="17"/>
  <c r="F46" i="10"/>
  <c r="W60" i="17"/>
  <c r="T45" i="20"/>
  <c r="J84" i="17"/>
  <c r="T84" i="17"/>
  <c r="V84" i="17"/>
  <c r="I84" i="17"/>
  <c r="S84" i="17"/>
  <c r="D112" i="17"/>
  <c r="C13" i="14"/>
  <c r="I40" i="17"/>
  <c r="J40" i="17"/>
  <c r="S40" i="17"/>
  <c r="T47" i="17"/>
  <c r="V47" i="17"/>
  <c r="X47" i="17"/>
  <c r="Y47" i="17"/>
  <c r="F47" i="10"/>
  <c r="I57" i="17"/>
  <c r="S57" i="17"/>
  <c r="J57" i="17"/>
  <c r="G119" i="25"/>
  <c r="B35" i="30"/>
  <c r="W101" i="17"/>
  <c r="C25" i="10"/>
  <c r="W25" i="17"/>
  <c r="J82" i="17"/>
  <c r="T23" i="17"/>
  <c r="V23" i="17"/>
  <c r="X23" i="17"/>
  <c r="Y23" i="17"/>
  <c r="F23" i="10"/>
  <c r="T100" i="17"/>
  <c r="V100" i="17"/>
  <c r="X100" i="17"/>
  <c r="Y100" i="17"/>
  <c r="F100" i="10"/>
  <c r="T35" i="20"/>
  <c r="S37" i="17"/>
  <c r="I37" i="17"/>
  <c r="J37" i="17"/>
  <c r="X37" i="17"/>
  <c r="Y37" i="17"/>
  <c r="F37" i="10"/>
  <c r="T95" i="20"/>
  <c r="G111" i="17"/>
  <c r="G112" i="20"/>
  <c r="B24" i="30"/>
  <c r="T61" i="17"/>
  <c r="V61" i="17"/>
  <c r="C22" i="10"/>
  <c r="W22" i="17"/>
  <c r="I97" i="17"/>
  <c r="J97" i="17"/>
  <c r="I38" i="17"/>
  <c r="J38" i="17"/>
  <c r="X53" i="17"/>
  <c r="Y53" i="17"/>
  <c r="F53" i="10"/>
  <c r="T19" i="20"/>
  <c r="F14" i="24"/>
  <c r="F15" i="24"/>
  <c r="F16" i="24"/>
  <c r="F11" i="24"/>
  <c r="F12" i="24"/>
  <c r="F13" i="24"/>
  <c r="P112" i="9"/>
  <c r="T92" i="20"/>
  <c r="Q16" i="17"/>
  <c r="C112" i="20"/>
  <c r="T64" i="17"/>
  <c r="V64" i="17"/>
  <c r="X64" i="17"/>
  <c r="Y64" i="17"/>
  <c r="F64" i="10"/>
  <c r="X88" i="17"/>
  <c r="Y88" i="17"/>
  <c r="F88" i="10"/>
  <c r="S28" i="17"/>
  <c r="X79" i="17"/>
  <c r="Y79" i="17"/>
  <c r="F79" i="10"/>
  <c r="X77" i="17"/>
  <c r="Y77" i="17"/>
  <c r="F77" i="10"/>
  <c r="T77" i="17"/>
  <c r="V77" i="17"/>
  <c r="K110" i="27"/>
  <c r="I26" i="17"/>
  <c r="J26" i="17"/>
  <c r="X34" i="17"/>
  <c r="Y34" i="17"/>
  <c r="F34" i="10"/>
  <c r="T76" i="20"/>
  <c r="F290" i="14"/>
  <c r="C292" i="14"/>
  <c r="C294" i="14"/>
  <c r="C296" i="14"/>
  <c r="B26" i="18"/>
  <c r="C20" i="6"/>
  <c r="F298" i="14"/>
  <c r="C300" i="14"/>
  <c r="C101" i="14"/>
  <c r="I68" i="17"/>
  <c r="S68" i="17"/>
  <c r="I64" i="17"/>
  <c r="S64" i="17"/>
  <c r="J64" i="17"/>
  <c r="T109" i="17"/>
  <c r="V109" i="17"/>
  <c r="I96" i="17"/>
  <c r="J96" i="17"/>
  <c r="T108" i="17"/>
  <c r="V108" i="17"/>
  <c r="X108" i="17"/>
  <c r="Y108" i="17"/>
  <c r="F108" i="10"/>
  <c r="T29" i="20"/>
  <c r="J31" i="17"/>
  <c r="I31" i="17"/>
  <c r="S31" i="17"/>
  <c r="I72" i="17"/>
  <c r="S72" i="17"/>
  <c r="C17" i="10"/>
  <c r="I83" i="17"/>
  <c r="J83" i="17"/>
  <c r="S83" i="17"/>
  <c r="T32" i="17"/>
  <c r="V32" i="17"/>
  <c r="X32" i="17"/>
  <c r="Y32" i="17"/>
  <c r="F32" i="10"/>
  <c r="AC16" i="17"/>
  <c r="AB111" i="17"/>
  <c r="AB112" i="17"/>
  <c r="S18" i="20"/>
  <c r="B112" i="20"/>
  <c r="B14" i="30"/>
  <c r="T27" i="17"/>
  <c r="V27" i="17"/>
  <c r="X27" i="17"/>
  <c r="Y27" i="17"/>
  <c r="F27" i="10"/>
  <c r="X56" i="17"/>
  <c r="Y56" i="17"/>
  <c r="F56" i="10"/>
  <c r="T81" i="17"/>
  <c r="V81" i="17"/>
  <c r="X74" i="17"/>
  <c r="Y74" i="17"/>
  <c r="F74" i="10"/>
  <c r="T74" i="17"/>
  <c r="V74" i="17"/>
  <c r="E39" i="8"/>
  <c r="I73" i="17"/>
  <c r="S73" i="17"/>
  <c r="B37" i="30"/>
  <c r="F119" i="27"/>
  <c r="T20" i="17"/>
  <c r="V20" i="17"/>
  <c r="X20" i="17"/>
  <c r="Y20" i="17"/>
  <c r="F20" i="10"/>
  <c r="N61" i="25"/>
  <c r="N110" i="25"/>
  <c r="I39" i="17"/>
  <c r="J39" i="17"/>
  <c r="I95" i="17"/>
  <c r="J95" i="17"/>
  <c r="G24" i="17"/>
  <c r="G112" i="17"/>
  <c r="F24" i="17"/>
  <c r="Q24" i="17"/>
  <c r="R24" i="17"/>
  <c r="O24" i="17"/>
  <c r="D111" i="17"/>
  <c r="C14" i="14"/>
  <c r="I93" i="17"/>
  <c r="J93" i="17"/>
  <c r="S93" i="17"/>
  <c r="X30" i="17"/>
  <c r="Y30" i="17"/>
  <c r="F30" i="10"/>
  <c r="T30" i="17"/>
  <c r="V30" i="17"/>
  <c r="S50" i="17"/>
  <c r="X36" i="17"/>
  <c r="Y36" i="17"/>
  <c r="F36" i="10"/>
  <c r="T54" i="17"/>
  <c r="V54" i="17"/>
  <c r="T75" i="17"/>
  <c r="V75" i="17"/>
  <c r="I52" i="17"/>
  <c r="J52" i="17"/>
  <c r="I70" i="17"/>
  <c r="J70" i="17"/>
  <c r="S70" i="17"/>
  <c r="T47" i="20"/>
  <c r="X18" i="17"/>
  <c r="Y18" i="17"/>
  <c r="F18" i="10"/>
  <c r="T18" i="17"/>
  <c r="V18" i="17"/>
  <c r="T103" i="17"/>
  <c r="V103" i="17"/>
  <c r="X103" i="17"/>
  <c r="Y103" i="17"/>
  <c r="F103" i="10"/>
  <c r="W34" i="17"/>
  <c r="C34" i="10"/>
  <c r="X106" i="17"/>
  <c r="Y106" i="17"/>
  <c r="F106" i="10"/>
  <c r="T106" i="17"/>
  <c r="V106" i="17"/>
  <c r="W66" i="17"/>
  <c r="C66" i="10"/>
  <c r="T83" i="17"/>
  <c r="V83" i="17"/>
  <c r="X83" i="17"/>
  <c r="Y83" i="17"/>
  <c r="F83" i="10"/>
  <c r="W84" i="17"/>
  <c r="C84" i="10"/>
  <c r="T26" i="17"/>
  <c r="V26" i="17"/>
  <c r="X26" i="17"/>
  <c r="Y26" i="17"/>
  <c r="F26" i="10"/>
  <c r="T55" i="17"/>
  <c r="V55" i="17"/>
  <c r="X55" i="17"/>
  <c r="Y55" i="17"/>
  <c r="F55" i="10"/>
  <c r="W102" i="17"/>
  <c r="C102" i="10"/>
  <c r="X45" i="17"/>
  <c r="Y45" i="17"/>
  <c r="F45" i="10"/>
  <c r="T45" i="17"/>
  <c r="V45" i="17"/>
  <c r="W110" i="17"/>
  <c r="C110" i="10"/>
  <c r="T19" i="17"/>
  <c r="V19" i="17"/>
  <c r="X19" i="17"/>
  <c r="Y19" i="17"/>
  <c r="F19" i="10"/>
  <c r="T96" i="17"/>
  <c r="V96" i="17"/>
  <c r="X96" i="17"/>
  <c r="Y96" i="17"/>
  <c r="F96" i="10"/>
  <c r="X40" i="17"/>
  <c r="Y40" i="17"/>
  <c r="F40" i="10"/>
  <c r="T40" i="17"/>
  <c r="V40" i="17"/>
  <c r="X107" i="17"/>
  <c r="Y107" i="17"/>
  <c r="F107" i="10"/>
  <c r="T107" i="17"/>
  <c r="V107" i="17"/>
  <c r="W92" i="17"/>
  <c r="C92" i="10"/>
  <c r="T95" i="17"/>
  <c r="V95" i="17"/>
  <c r="X95" i="17"/>
  <c r="Y95" i="17"/>
  <c r="F95" i="10"/>
  <c r="X97" i="17"/>
  <c r="Y97" i="17"/>
  <c r="F97" i="10"/>
  <c r="T97" i="17"/>
  <c r="V97" i="17"/>
  <c r="T39" i="17"/>
  <c r="V39" i="17"/>
  <c r="X39" i="17"/>
  <c r="Y39" i="17"/>
  <c r="F39" i="10"/>
  <c r="T52" i="17"/>
  <c r="V52" i="17"/>
  <c r="X52" i="17"/>
  <c r="Y52" i="17"/>
  <c r="F52" i="10"/>
  <c r="T42" i="17"/>
  <c r="V42" i="17"/>
  <c r="X42" i="17"/>
  <c r="Y42" i="17"/>
  <c r="F42" i="10"/>
  <c r="C91" i="10"/>
  <c r="W91" i="17"/>
  <c r="X38" i="17"/>
  <c r="Y38" i="17"/>
  <c r="F38" i="10"/>
  <c r="T38" i="17"/>
  <c r="V38" i="17"/>
  <c r="X49" i="17"/>
  <c r="Y49" i="17"/>
  <c r="F49" i="10"/>
  <c r="T49" i="17"/>
  <c r="V49" i="17"/>
  <c r="X48" i="17"/>
  <c r="Y48" i="17"/>
  <c r="F48" i="10"/>
  <c r="T48" i="17"/>
  <c r="V48" i="17"/>
  <c r="C41" i="10"/>
  <c r="C78" i="10"/>
  <c r="C58" i="10"/>
  <c r="C80" i="10"/>
  <c r="X92" i="17"/>
  <c r="Y92" i="17"/>
  <c r="F92" i="10"/>
  <c r="S52" i="17"/>
  <c r="S95" i="17"/>
  <c r="C23" i="10"/>
  <c r="W23" i="17"/>
  <c r="C44" i="10"/>
  <c r="C105" i="10"/>
  <c r="W99" i="17"/>
  <c r="C99" i="10"/>
  <c r="W109" i="17"/>
  <c r="C109" i="10"/>
  <c r="T31" i="17"/>
  <c r="V31" i="17"/>
  <c r="X31" i="17"/>
  <c r="Y31" i="17"/>
  <c r="F31" i="10"/>
  <c r="X82" i="17"/>
  <c r="Y82" i="17"/>
  <c r="F82" i="10"/>
  <c r="T82" i="17"/>
  <c r="V82" i="17"/>
  <c r="W28" i="17"/>
  <c r="C28" i="10"/>
  <c r="W75" i="17"/>
  <c r="C75" i="10"/>
  <c r="D12" i="20"/>
  <c r="I11" i="24"/>
  <c r="F111" i="24"/>
  <c r="B34" i="30"/>
  <c r="C33" i="14"/>
  <c r="I239" i="14"/>
  <c r="I263" i="14"/>
  <c r="F389" i="14"/>
  <c r="C390" i="14"/>
  <c r="C60" i="10"/>
  <c r="X89" i="17"/>
  <c r="Y89" i="17"/>
  <c r="F89" i="10"/>
  <c r="T89" i="17"/>
  <c r="V89" i="17"/>
  <c r="T29" i="17"/>
  <c r="V29" i="17"/>
  <c r="X29" i="17"/>
  <c r="Y29" i="17"/>
  <c r="F29" i="10"/>
  <c r="S106" i="17"/>
  <c r="D13" i="20"/>
  <c r="W13" i="20"/>
  <c r="X13" i="20"/>
  <c r="I12" i="24"/>
  <c r="W64" i="17"/>
  <c r="C64" i="10"/>
  <c r="C103" i="10"/>
  <c r="W103" i="17"/>
  <c r="C54" i="10"/>
  <c r="W54" i="17"/>
  <c r="W27" i="17"/>
  <c r="C27" i="10"/>
  <c r="J72" i="17"/>
  <c r="J68" i="17"/>
  <c r="S26" i="17"/>
  <c r="D17" i="20"/>
  <c r="I16" i="24"/>
  <c r="S38" i="17"/>
  <c r="C53" i="10"/>
  <c r="T57" i="17"/>
  <c r="V57" i="17"/>
  <c r="X57" i="17"/>
  <c r="Y57" i="17"/>
  <c r="F57" i="10"/>
  <c r="J29" i="17"/>
  <c r="I29" i="17"/>
  <c r="S29" i="17"/>
  <c r="T15" i="20"/>
  <c r="C61" i="10"/>
  <c r="W61" i="17"/>
  <c r="T63" i="17"/>
  <c r="V63" i="17"/>
  <c r="W65" i="17"/>
  <c r="C65" i="10"/>
  <c r="C103" i="14"/>
  <c r="C105" i="14"/>
  <c r="C107" i="14"/>
  <c r="C109" i="14"/>
  <c r="C111" i="14"/>
  <c r="C125" i="14"/>
  <c r="C127" i="14"/>
  <c r="C129" i="14"/>
  <c r="C131" i="14"/>
  <c r="C133" i="14"/>
  <c r="C135" i="14"/>
  <c r="C139" i="14"/>
  <c r="C141" i="14"/>
  <c r="D16" i="20"/>
  <c r="W16" i="20"/>
  <c r="X16" i="20"/>
  <c r="I15" i="24"/>
  <c r="W108" i="17"/>
  <c r="C108" i="10"/>
  <c r="D15" i="20"/>
  <c r="W15" i="20"/>
  <c r="X15" i="20"/>
  <c r="I14" i="24"/>
  <c r="X70" i="17"/>
  <c r="Y70" i="17"/>
  <c r="F70" i="10"/>
  <c r="T70" i="17"/>
  <c r="V70" i="17"/>
  <c r="S39" i="17"/>
  <c r="W46" i="17"/>
  <c r="C46" i="10"/>
  <c r="C18" i="10"/>
  <c r="W18" i="17"/>
  <c r="W30" i="17"/>
  <c r="C30" i="10"/>
  <c r="H24" i="17"/>
  <c r="J73" i="17"/>
  <c r="C77" i="10"/>
  <c r="W77" i="17"/>
  <c r="F112" i="17"/>
  <c r="T37" i="17"/>
  <c r="V37" i="17"/>
  <c r="C90" i="10"/>
  <c r="W59" i="17"/>
  <c r="C59" i="10"/>
  <c r="X91" i="17"/>
  <c r="Y91" i="17"/>
  <c r="F91" i="10"/>
  <c r="X85" i="17"/>
  <c r="Y85" i="17"/>
  <c r="F85" i="10"/>
  <c r="T85" i="17"/>
  <c r="V85" i="17"/>
  <c r="X84" i="17"/>
  <c r="Y84" i="17"/>
  <c r="F84" i="10"/>
  <c r="S16" i="17"/>
  <c r="C56" i="10"/>
  <c r="X93" i="17"/>
  <c r="Y93" i="17"/>
  <c r="F93" i="10"/>
  <c r="T93" i="17"/>
  <c r="V93" i="17"/>
  <c r="W69" i="17"/>
  <c r="C69" i="10"/>
  <c r="T18" i="20"/>
  <c r="F111" i="17"/>
  <c r="C101" i="10"/>
  <c r="W47" i="17"/>
  <c r="C47" i="10"/>
  <c r="W94" i="17"/>
  <c r="C94" i="10"/>
  <c r="W76" i="17"/>
  <c r="C76" i="10"/>
  <c r="C51" i="10"/>
  <c r="W71" i="17"/>
  <c r="C71" i="10"/>
  <c r="W32" i="17"/>
  <c r="C32" i="10"/>
  <c r="C36" i="10"/>
  <c r="W74" i="17"/>
  <c r="C74" i="10"/>
  <c r="C50" i="10"/>
  <c r="X102" i="17"/>
  <c r="Y102" i="17"/>
  <c r="F102" i="10"/>
  <c r="X35" i="17"/>
  <c r="Y35" i="17"/>
  <c r="F35" i="10"/>
  <c r="T35" i="17"/>
  <c r="V35" i="17"/>
  <c r="W67" i="17"/>
  <c r="C67" i="10"/>
  <c r="D14" i="20"/>
  <c r="W14" i="20"/>
  <c r="X14" i="20"/>
  <c r="I13" i="24"/>
  <c r="W33" i="17"/>
  <c r="C33" i="10"/>
  <c r="T87" i="17"/>
  <c r="V87" i="17"/>
  <c r="S45" i="17"/>
  <c r="W81" i="17"/>
  <c r="C81" i="10"/>
  <c r="X110" i="17"/>
  <c r="Y110" i="17"/>
  <c r="F110" i="10"/>
  <c r="C20" i="10"/>
  <c r="W20" i="17"/>
  <c r="X66" i="17"/>
  <c r="Y66" i="17"/>
  <c r="F66" i="10"/>
  <c r="H16" i="10"/>
  <c r="H111" i="10"/>
  <c r="AC112" i="17"/>
  <c r="AC111" i="17"/>
  <c r="S96" i="17"/>
  <c r="B39" i="30"/>
  <c r="S97" i="17"/>
  <c r="W100" i="17"/>
  <c r="C100" i="10"/>
  <c r="T86" i="17"/>
  <c r="V86" i="17"/>
  <c r="C79" i="10"/>
  <c r="S48" i="17"/>
  <c r="C43" i="10"/>
  <c r="W43" i="17"/>
  <c r="R16" i="17"/>
  <c r="Q111" i="17"/>
  <c r="Q112" i="17"/>
  <c r="W104" i="17"/>
  <c r="C104" i="10"/>
  <c r="C62" i="10"/>
  <c r="C98" i="10"/>
  <c r="C88" i="10"/>
  <c r="C93" i="10"/>
  <c r="W93" i="17"/>
  <c r="X73" i="17"/>
  <c r="Y73" i="17"/>
  <c r="F73" i="10"/>
  <c r="T73" i="17"/>
  <c r="V73" i="17"/>
  <c r="C40" i="10"/>
  <c r="W40" i="17"/>
  <c r="W26" i="17"/>
  <c r="C26" i="10"/>
  <c r="I24" i="17"/>
  <c r="J24" i="17"/>
  <c r="S24" i="17"/>
  <c r="S111" i="17"/>
  <c r="H112" i="17"/>
  <c r="C11" i="14"/>
  <c r="H111" i="17"/>
  <c r="C12" i="14"/>
  <c r="W38" i="17"/>
  <c r="C38" i="10"/>
  <c r="W97" i="17"/>
  <c r="C97" i="10"/>
  <c r="W96" i="17"/>
  <c r="C96" i="10"/>
  <c r="W29" i="17"/>
  <c r="C29" i="10"/>
  <c r="W82" i="17"/>
  <c r="C82" i="10"/>
  <c r="C19" i="10"/>
  <c r="W19" i="17"/>
  <c r="C89" i="10"/>
  <c r="W89" i="17"/>
  <c r="W95" i="17"/>
  <c r="C95" i="10"/>
  <c r="W83" i="17"/>
  <c r="C83" i="10"/>
  <c r="O16" i="17"/>
  <c r="R112" i="17"/>
  <c r="R111" i="17"/>
  <c r="C70" i="10"/>
  <c r="W70" i="17"/>
  <c r="W63" i="17"/>
  <c r="C63" i="10"/>
  <c r="X68" i="17"/>
  <c r="Y68" i="17"/>
  <c r="F68" i="10"/>
  <c r="T68" i="17"/>
  <c r="V68" i="17"/>
  <c r="W45" i="17"/>
  <c r="C45" i="10"/>
  <c r="W49" i="17"/>
  <c r="C49" i="10"/>
  <c r="W52" i="17"/>
  <c r="C52" i="10"/>
  <c r="C115" i="14"/>
  <c r="C117" i="14"/>
  <c r="D27" i="18"/>
  <c r="F119" i="14"/>
  <c r="C121" i="14"/>
  <c r="T72" i="17"/>
  <c r="V72" i="17"/>
  <c r="X72" i="17"/>
  <c r="Y72" i="17"/>
  <c r="F72" i="10"/>
  <c r="W31" i="17"/>
  <c r="C31" i="10"/>
  <c r="W86" i="17"/>
  <c r="C86" i="10"/>
  <c r="W37" i="17"/>
  <c r="C37" i="10"/>
  <c r="W57" i="17"/>
  <c r="C57" i="10"/>
  <c r="C106" i="10"/>
  <c r="W106" i="17"/>
  <c r="AK23" i="17"/>
  <c r="AK75" i="17"/>
  <c r="AK60" i="17"/>
  <c r="AK82" i="17"/>
  <c r="AK80" i="17"/>
  <c r="AK72" i="17"/>
  <c r="AK13" i="17"/>
  <c r="AK74" i="17"/>
  <c r="AK101" i="17"/>
  <c r="AK77" i="17"/>
  <c r="AK36" i="17"/>
  <c r="AK89" i="17"/>
  <c r="AK70" i="17"/>
  <c r="AK18" i="17"/>
  <c r="AK102" i="17"/>
  <c r="AK32" i="17"/>
  <c r="AK66" i="17"/>
  <c r="AK53" i="17"/>
  <c r="AK48" i="17"/>
  <c r="AK93" i="17"/>
  <c r="AK96" i="17"/>
  <c r="AK41" i="17"/>
  <c r="AK35" i="17"/>
  <c r="AK107" i="17"/>
  <c r="AK76" i="17"/>
  <c r="AK24" i="17"/>
  <c r="AK56" i="17"/>
  <c r="AK20" i="17"/>
  <c r="AK39" i="17"/>
  <c r="AK110" i="17"/>
  <c r="AK43" i="17"/>
  <c r="AK11" i="17"/>
  <c r="AK50" i="17"/>
  <c r="AK21" i="17"/>
  <c r="AK16" i="17"/>
  <c r="AK81" i="17"/>
  <c r="AK37" i="17"/>
  <c r="AK51" i="17"/>
  <c r="AK57" i="17"/>
  <c r="AK92" i="17"/>
  <c r="AK12" i="17"/>
  <c r="AK105" i="17"/>
  <c r="AK83" i="17"/>
  <c r="AK84" i="17"/>
  <c r="AK100" i="17"/>
  <c r="AK25" i="17"/>
  <c r="AK103" i="17"/>
  <c r="AK64" i="17"/>
  <c r="AK98" i="17"/>
  <c r="AK91" i="17"/>
  <c r="AK95" i="17"/>
  <c r="AK106" i="17"/>
  <c r="AK52" i="17"/>
  <c r="AK33" i="17"/>
  <c r="AK47" i="17"/>
  <c r="AK62" i="17"/>
  <c r="AK99" i="17"/>
  <c r="AK104" i="17"/>
  <c r="AK38" i="17"/>
  <c r="AK65" i="17"/>
  <c r="AK90" i="17"/>
  <c r="AK88" i="17"/>
  <c r="AK40" i="17"/>
  <c r="AK55" i="17"/>
  <c r="AK54" i="17"/>
  <c r="AK15" i="17"/>
  <c r="AK34" i="17"/>
  <c r="AK87" i="17"/>
  <c r="AK26" i="17"/>
  <c r="AK94" i="17"/>
  <c r="AK69" i="17"/>
  <c r="AK85" i="17"/>
  <c r="AK97" i="17"/>
  <c r="AK79" i="17"/>
  <c r="AK28" i="17"/>
  <c r="AK63" i="17"/>
  <c r="AK73" i="17"/>
  <c r="AK49" i="17"/>
  <c r="AK86" i="17"/>
  <c r="AK45" i="17"/>
  <c r="AK46" i="17"/>
  <c r="AK29" i="17"/>
  <c r="AK109" i="17"/>
  <c r="AK17" i="17"/>
  <c r="AK67" i="17"/>
  <c r="AK108" i="17"/>
  <c r="AK19" i="17"/>
  <c r="AK44" i="17"/>
  <c r="AK22" i="17"/>
  <c r="AK42" i="17"/>
  <c r="AK71" i="17"/>
  <c r="AK59" i="17"/>
  <c r="AK68" i="17"/>
  <c r="AK14" i="17"/>
  <c r="AK78" i="17"/>
  <c r="AK58" i="17"/>
  <c r="AK27" i="17"/>
  <c r="AK61" i="17"/>
  <c r="AK31" i="17"/>
  <c r="AK30" i="17"/>
  <c r="C107" i="10"/>
  <c r="W107" i="17"/>
  <c r="W12" i="20"/>
  <c r="D112" i="20"/>
  <c r="F268" i="14"/>
  <c r="C265" i="14"/>
  <c r="C42" i="10"/>
  <c r="W42" i="17"/>
  <c r="I111" i="24"/>
  <c r="W39" i="17"/>
  <c r="C39" i="10"/>
  <c r="C85" i="10"/>
  <c r="W85" i="17"/>
  <c r="W35" i="17"/>
  <c r="C35" i="10"/>
  <c r="W87" i="17"/>
  <c r="C87" i="10"/>
  <c r="C56" i="14"/>
  <c r="C35" i="14"/>
  <c r="C37" i="14"/>
  <c r="C39" i="14"/>
  <c r="C41" i="14"/>
  <c r="C43" i="14"/>
  <c r="W48" i="17"/>
  <c r="C48" i="10"/>
  <c r="W55" i="17"/>
  <c r="C55" i="10"/>
  <c r="T24" i="17"/>
  <c r="V24" i="17"/>
  <c r="X24" i="17"/>
  <c r="Y24" i="17"/>
  <c r="F24" i="10"/>
  <c r="J112" i="17"/>
  <c r="J111" i="17"/>
  <c r="C47" i="14"/>
  <c r="C49" i="14"/>
  <c r="D18" i="18"/>
  <c r="F51" i="14"/>
  <c r="C53" i="14"/>
  <c r="C267" i="14"/>
  <c r="C269" i="14"/>
  <c r="C271" i="14"/>
  <c r="C273" i="14"/>
  <c r="X16" i="17"/>
  <c r="T16" i="17"/>
  <c r="O112" i="17"/>
  <c r="C15" i="14"/>
  <c r="O111" i="17"/>
  <c r="C16" i="14"/>
  <c r="I112" i="17"/>
  <c r="I111" i="17"/>
  <c r="W73" i="17"/>
  <c r="C73" i="10"/>
  <c r="X12" i="20"/>
  <c r="F380" i="14"/>
  <c r="C381" i="14"/>
  <c r="F308" i="14"/>
  <c r="AK111" i="17"/>
  <c r="AK112" i="17"/>
  <c r="W68" i="17"/>
  <c r="C68" i="10"/>
  <c r="S112" i="17"/>
  <c r="C79" i="14"/>
  <c r="C81" i="14"/>
  <c r="C83" i="14"/>
  <c r="C85" i="14"/>
  <c r="D21" i="18"/>
  <c r="C58" i="14"/>
  <c r="C60" i="14"/>
  <c r="C62" i="14"/>
  <c r="W72" i="17"/>
  <c r="C72" i="10"/>
  <c r="F325" i="14"/>
  <c r="F316" i="14"/>
  <c r="C317" i="14"/>
  <c r="C309" i="14"/>
  <c r="AJ42" i="17"/>
  <c r="AL42" i="17"/>
  <c r="K42" i="10"/>
  <c r="AJ77" i="17"/>
  <c r="AL77" i="17"/>
  <c r="K77" i="10"/>
  <c r="AJ67" i="17"/>
  <c r="AL67" i="17"/>
  <c r="K67" i="10"/>
  <c r="AJ99" i="17"/>
  <c r="AL99" i="17"/>
  <c r="K99" i="10"/>
  <c r="AJ51" i="17"/>
  <c r="AL51" i="17"/>
  <c r="K51" i="10"/>
  <c r="AJ89" i="17"/>
  <c r="AL89" i="17"/>
  <c r="K89" i="10"/>
  <c r="AJ17" i="17"/>
  <c r="AL17" i="17"/>
  <c r="K17" i="10"/>
  <c r="AJ110" i="17"/>
  <c r="AL110" i="17"/>
  <c r="K110" i="10"/>
  <c r="AJ88" i="17"/>
  <c r="AL88" i="17"/>
  <c r="K88" i="10"/>
  <c r="AJ11" i="17"/>
  <c r="AL11" i="17"/>
  <c r="K11" i="10"/>
  <c r="AJ109" i="17"/>
  <c r="AL109" i="17"/>
  <c r="K109" i="10"/>
  <c r="AJ69" i="17"/>
  <c r="AL69" i="17"/>
  <c r="K69" i="10"/>
  <c r="AJ95" i="17"/>
  <c r="AL95" i="17"/>
  <c r="K95" i="10"/>
  <c r="AJ44" i="17"/>
  <c r="AL44" i="17"/>
  <c r="K44" i="10"/>
  <c r="AJ52" i="17"/>
  <c r="AL52" i="17"/>
  <c r="K52" i="10"/>
  <c r="AJ71" i="17"/>
  <c r="AL71" i="17"/>
  <c r="K71" i="10"/>
  <c r="AJ28" i="17"/>
  <c r="AL28" i="17"/>
  <c r="K28" i="10"/>
  <c r="AJ62" i="17"/>
  <c r="AL62" i="17"/>
  <c r="K62" i="10"/>
  <c r="AJ91" i="17"/>
  <c r="AL91" i="17"/>
  <c r="K91" i="10"/>
  <c r="AJ56" i="17"/>
  <c r="AL56" i="17"/>
  <c r="K56" i="10"/>
  <c r="AJ98" i="17"/>
  <c r="AL98" i="17"/>
  <c r="K98" i="10"/>
  <c r="AJ38" i="17"/>
  <c r="AL38" i="17"/>
  <c r="K38" i="10"/>
  <c r="AJ43" i="17"/>
  <c r="AL43" i="17"/>
  <c r="K43" i="10"/>
  <c r="AJ84" i="17"/>
  <c r="AL84" i="17"/>
  <c r="K84" i="10"/>
  <c r="AJ21" i="17"/>
  <c r="AL21" i="17"/>
  <c r="K21" i="10"/>
  <c r="AJ53" i="17"/>
  <c r="AL53" i="17"/>
  <c r="K53" i="10"/>
  <c r="AJ76" i="17"/>
  <c r="AL76" i="17"/>
  <c r="K76" i="10"/>
  <c r="AJ90" i="17"/>
  <c r="AL90" i="17"/>
  <c r="K90" i="10"/>
  <c r="AJ87" i="17"/>
  <c r="AL87" i="17"/>
  <c r="K87" i="10"/>
  <c r="AJ86" i="17"/>
  <c r="AL86" i="17"/>
  <c r="K86" i="10"/>
  <c r="AJ46" i="17"/>
  <c r="AL46" i="17"/>
  <c r="K46" i="10"/>
  <c r="AJ31" i="17"/>
  <c r="AL31" i="17"/>
  <c r="K31" i="10"/>
  <c r="AJ19" i="17"/>
  <c r="AL19" i="17"/>
  <c r="K19" i="10"/>
  <c r="AJ45" i="17"/>
  <c r="AL45" i="17"/>
  <c r="K45" i="10"/>
  <c r="AJ80" i="17"/>
  <c r="AL80" i="17"/>
  <c r="K80" i="10"/>
  <c r="AJ39" i="17"/>
  <c r="AL39" i="17"/>
  <c r="K39" i="10"/>
  <c r="AJ27" i="17"/>
  <c r="AL27" i="17"/>
  <c r="K27" i="10"/>
  <c r="AJ25" i="17"/>
  <c r="AL25" i="17"/>
  <c r="K25" i="10"/>
  <c r="AJ16" i="17"/>
  <c r="AJ106" i="17"/>
  <c r="K106" i="10"/>
  <c r="AJ60" i="17"/>
  <c r="AL60" i="17"/>
  <c r="K60" i="10"/>
  <c r="AJ105" i="17"/>
  <c r="AL105" i="17"/>
  <c r="K105" i="10"/>
  <c r="AJ82" i="17"/>
  <c r="AL82" i="17"/>
  <c r="K82" i="10"/>
  <c r="AJ55" i="17"/>
  <c r="AL55" i="17"/>
  <c r="K55" i="10"/>
  <c r="AJ73" i="17"/>
  <c r="AL73" i="17"/>
  <c r="K73" i="10"/>
  <c r="AJ29" i="17"/>
  <c r="AL29" i="17"/>
  <c r="K29" i="10"/>
  <c r="AJ12" i="17"/>
  <c r="AL12" i="17"/>
  <c r="K12" i="10"/>
  <c r="AJ93" i="17"/>
  <c r="AL93" i="17"/>
  <c r="K93" i="10"/>
  <c r="AJ75" i="17"/>
  <c r="AL75" i="17"/>
  <c r="K75" i="10"/>
  <c r="AJ65" i="17"/>
  <c r="AL65" i="17"/>
  <c r="K65" i="10"/>
  <c r="AJ61" i="17"/>
  <c r="AL61" i="17"/>
  <c r="K61" i="10"/>
  <c r="AJ94" i="17"/>
  <c r="AL94" i="17"/>
  <c r="K94" i="10"/>
  <c r="AJ20" i="17"/>
  <c r="AL20" i="17"/>
  <c r="K20" i="10"/>
  <c r="AJ63" i="17"/>
  <c r="AL63" i="17"/>
  <c r="K63" i="10"/>
  <c r="AJ36" i="17"/>
  <c r="AL36" i="17"/>
  <c r="K36" i="10"/>
  <c r="AJ68" i="17"/>
  <c r="AL68" i="17"/>
  <c r="K68" i="10"/>
  <c r="AJ70" i="17"/>
  <c r="AL70" i="17"/>
  <c r="K70" i="10"/>
  <c r="AJ102" i="17"/>
  <c r="AL102" i="17"/>
  <c r="K102" i="10"/>
  <c r="AJ59" i="17"/>
  <c r="AL59" i="17"/>
  <c r="K59" i="10"/>
  <c r="AJ101" i="17"/>
  <c r="AL101" i="17"/>
  <c r="K101" i="10"/>
  <c r="AJ48" i="17"/>
  <c r="AL48" i="17"/>
  <c r="K48" i="10"/>
  <c r="AJ74" i="17"/>
  <c r="AL74" i="17"/>
  <c r="K74" i="10"/>
  <c r="AJ30" i="17"/>
  <c r="AL30" i="17"/>
  <c r="K30" i="10"/>
  <c r="AJ108" i="17"/>
  <c r="AL108" i="17"/>
  <c r="K108" i="10"/>
  <c r="AJ13" i="17"/>
  <c r="AL13" i="17"/>
  <c r="K13" i="10"/>
  <c r="AJ49" i="17"/>
  <c r="AL49" i="17"/>
  <c r="K49" i="10"/>
  <c r="AJ40" i="17"/>
  <c r="AL40" i="17"/>
  <c r="K40" i="10"/>
  <c r="AJ72" i="17"/>
  <c r="AL72" i="17"/>
  <c r="K72" i="10"/>
  <c r="AJ100" i="17"/>
  <c r="AL100" i="17"/>
  <c r="K100" i="10"/>
  <c r="AJ14" i="17"/>
  <c r="AL14" i="17"/>
  <c r="K14" i="10"/>
  <c r="AJ47" i="17"/>
  <c r="AL47" i="17"/>
  <c r="K47" i="10"/>
  <c r="AJ35" i="17"/>
  <c r="AL35" i="17"/>
  <c r="K35" i="10"/>
  <c r="AJ34" i="17"/>
  <c r="AL34" i="17"/>
  <c r="K34" i="10"/>
  <c r="AJ97" i="17"/>
  <c r="AL97" i="17"/>
  <c r="K97" i="10"/>
  <c r="AJ26" i="17"/>
  <c r="AL26" i="17"/>
  <c r="K26" i="10"/>
  <c r="AJ33" i="17"/>
  <c r="AL33" i="17"/>
  <c r="K33" i="10"/>
  <c r="AJ54" i="17"/>
  <c r="AL54" i="17"/>
  <c r="K54" i="10"/>
  <c r="AJ18" i="17"/>
  <c r="AL18" i="17"/>
  <c r="K18" i="10"/>
  <c r="AJ32" i="17"/>
  <c r="AL32" i="17"/>
  <c r="K32" i="10"/>
  <c r="AJ64" i="17"/>
  <c r="AL64" i="17"/>
  <c r="K64" i="10"/>
  <c r="AJ83" i="17"/>
  <c r="AL83" i="17"/>
  <c r="K83" i="10"/>
  <c r="AJ104" i="17"/>
  <c r="AL104" i="17"/>
  <c r="K104" i="10"/>
  <c r="AJ41" i="17"/>
  <c r="AL41" i="17"/>
  <c r="K41" i="10"/>
  <c r="AJ81" i="17"/>
  <c r="AL81" i="17"/>
  <c r="K81" i="10"/>
  <c r="AJ58" i="17"/>
  <c r="AL58" i="17"/>
  <c r="K58" i="10"/>
  <c r="AJ85" i="17"/>
  <c r="AL85" i="17"/>
  <c r="K85" i="10"/>
  <c r="AJ92" i="17"/>
  <c r="AL92" i="17"/>
  <c r="K92" i="10"/>
  <c r="AJ24" i="17"/>
  <c r="AL24" i="17"/>
  <c r="K24" i="10"/>
  <c r="AJ22" i="17"/>
  <c r="AL22" i="17"/>
  <c r="K22" i="10"/>
  <c r="AJ103" i="17"/>
  <c r="AL103" i="17"/>
  <c r="K103" i="10"/>
  <c r="AJ37" i="17"/>
  <c r="AL37" i="17"/>
  <c r="K37" i="10"/>
  <c r="AJ23" i="17"/>
  <c r="AL23" i="17"/>
  <c r="K23" i="10"/>
  <c r="AJ66" i="17"/>
  <c r="AL66" i="17"/>
  <c r="K66" i="10"/>
  <c r="AJ57" i="17"/>
  <c r="AL57" i="17"/>
  <c r="K57" i="10"/>
  <c r="AJ107" i="17"/>
  <c r="AL107" i="17"/>
  <c r="K107" i="10"/>
  <c r="AJ79" i="17"/>
  <c r="AL79" i="17"/>
  <c r="K79" i="10"/>
  <c r="AJ78" i="17"/>
  <c r="AL78" i="17"/>
  <c r="K78" i="10"/>
  <c r="AJ15" i="17"/>
  <c r="AL15" i="17"/>
  <c r="K15" i="10"/>
  <c r="I16" i="20"/>
  <c r="U16" i="20"/>
  <c r="V16" i="20"/>
  <c r="AJ96" i="17"/>
  <c r="AL96" i="17"/>
  <c r="K96" i="10"/>
  <c r="AJ50" i="17"/>
  <c r="AL50" i="17"/>
  <c r="K50" i="10"/>
  <c r="B24" i="18"/>
  <c r="C18" i="6"/>
  <c r="C356" i="14"/>
  <c r="Z109" i="17"/>
  <c r="AA109" i="17"/>
  <c r="G109" i="10"/>
  <c r="Z72" i="17"/>
  <c r="AA72" i="17"/>
  <c r="G72" i="10"/>
  <c r="Z22" i="17"/>
  <c r="AA22" i="17"/>
  <c r="G22" i="10"/>
  <c r="Z97" i="17"/>
  <c r="AA97" i="17"/>
  <c r="G97" i="10"/>
  <c r="Z40" i="17"/>
  <c r="AA40" i="17"/>
  <c r="G40" i="10"/>
  <c r="Z87" i="17"/>
  <c r="AA87" i="17"/>
  <c r="G87" i="10"/>
  <c r="Z62" i="17"/>
  <c r="AA62" i="17"/>
  <c r="G62" i="10"/>
  <c r="Z50" i="17"/>
  <c r="AA50" i="17"/>
  <c r="G50" i="10"/>
  <c r="Z100" i="17"/>
  <c r="AA100" i="17"/>
  <c r="G100" i="10"/>
  <c r="Z57" i="17"/>
  <c r="AA57" i="17"/>
  <c r="G57" i="10"/>
  <c r="Z75" i="17"/>
  <c r="AA75" i="17"/>
  <c r="G75" i="10"/>
  <c r="Z28" i="17"/>
  <c r="AA28" i="17"/>
  <c r="G28" i="10"/>
  <c r="Z88" i="17"/>
  <c r="AA88" i="17"/>
  <c r="G88" i="10"/>
  <c r="Z92" i="17"/>
  <c r="AA92" i="17"/>
  <c r="G92" i="10"/>
  <c r="Z34" i="17"/>
  <c r="AA34" i="17"/>
  <c r="G34" i="10"/>
  <c r="Z33" i="17"/>
  <c r="AA33" i="17"/>
  <c r="G33" i="10"/>
  <c r="Z52" i="17"/>
  <c r="AA52" i="17"/>
  <c r="G52" i="10"/>
  <c r="Z64" i="17"/>
  <c r="AA64" i="17"/>
  <c r="G64" i="10"/>
  <c r="Z71" i="17"/>
  <c r="AA71" i="17"/>
  <c r="G71" i="10"/>
  <c r="Z84" i="17"/>
  <c r="AA84" i="17"/>
  <c r="G84" i="10"/>
  <c r="Z23" i="17"/>
  <c r="AA23" i="17"/>
  <c r="G23" i="10"/>
  <c r="Z38" i="17"/>
  <c r="AA38" i="17"/>
  <c r="G38" i="10"/>
  <c r="Z96" i="17"/>
  <c r="AA96" i="17"/>
  <c r="G96" i="10"/>
  <c r="Z65" i="17"/>
  <c r="AA65" i="17"/>
  <c r="G65" i="10"/>
  <c r="Z85" i="17"/>
  <c r="AA85" i="17"/>
  <c r="G85" i="10"/>
  <c r="Z77" i="17"/>
  <c r="AA77" i="17"/>
  <c r="G77" i="10"/>
  <c r="Z36" i="17"/>
  <c r="AA36" i="17"/>
  <c r="G36" i="10"/>
  <c r="Z58" i="17"/>
  <c r="AA58" i="17"/>
  <c r="G58" i="10"/>
  <c r="Z44" i="17"/>
  <c r="AA44" i="17"/>
  <c r="G44" i="10"/>
  <c r="Z31" i="17"/>
  <c r="AA31" i="17"/>
  <c r="G31" i="10"/>
  <c r="Z68" i="17"/>
  <c r="AA68" i="17"/>
  <c r="G68" i="10"/>
  <c r="Z16" i="17"/>
  <c r="Z82" i="17"/>
  <c r="AA82" i="17"/>
  <c r="G82" i="10"/>
  <c r="Z74" i="17"/>
  <c r="AA74" i="17"/>
  <c r="G74" i="10"/>
  <c r="Z32" i="17"/>
  <c r="AA32" i="17"/>
  <c r="G32" i="10"/>
  <c r="Z46" i="17"/>
  <c r="AA46" i="17"/>
  <c r="G46" i="10"/>
  <c r="Z51" i="17"/>
  <c r="AA51" i="17"/>
  <c r="G51" i="10"/>
  <c r="Z39" i="17"/>
  <c r="AA39" i="17"/>
  <c r="G39" i="10"/>
  <c r="Z43" i="17"/>
  <c r="AA43" i="17"/>
  <c r="G43" i="10"/>
  <c r="Z106" i="17"/>
  <c r="AA106" i="17"/>
  <c r="G106" i="10"/>
  <c r="Z18" i="17"/>
  <c r="AA18" i="17"/>
  <c r="G18" i="10"/>
  <c r="Z17" i="17"/>
  <c r="AA17" i="17"/>
  <c r="G17" i="10"/>
  <c r="Z29" i="17"/>
  <c r="AA29" i="17"/>
  <c r="G29" i="10"/>
  <c r="Z48" i="17"/>
  <c r="AA48" i="17"/>
  <c r="G48" i="10"/>
  <c r="Z81" i="17"/>
  <c r="AA81" i="17"/>
  <c r="G81" i="10"/>
  <c r="Z98" i="17"/>
  <c r="AA98" i="17"/>
  <c r="G98" i="10"/>
  <c r="Z103" i="17"/>
  <c r="AA103" i="17"/>
  <c r="G103" i="10"/>
  <c r="Z66" i="17"/>
  <c r="AA66" i="17"/>
  <c r="G66" i="10"/>
  <c r="Z89" i="17"/>
  <c r="AA89" i="17"/>
  <c r="G89" i="10"/>
  <c r="Z79" i="17"/>
  <c r="AA79" i="17"/>
  <c r="G79" i="10"/>
  <c r="Z107" i="17"/>
  <c r="AA107" i="17"/>
  <c r="G107" i="10"/>
  <c r="Z105" i="17"/>
  <c r="AA105" i="17"/>
  <c r="G105" i="10"/>
  <c r="Z70" i="17"/>
  <c r="AA70" i="17"/>
  <c r="G70" i="10"/>
  <c r="Z91" i="17"/>
  <c r="AA91" i="17"/>
  <c r="G91" i="10"/>
  <c r="Z20" i="17"/>
  <c r="AA20" i="17"/>
  <c r="G20" i="10"/>
  <c r="Z69" i="17"/>
  <c r="AA69" i="17"/>
  <c r="G69" i="10"/>
  <c r="Z19" i="17"/>
  <c r="AA19" i="17"/>
  <c r="G19" i="10"/>
  <c r="Z83" i="17"/>
  <c r="AA83" i="17"/>
  <c r="G83" i="10"/>
  <c r="Z53" i="17"/>
  <c r="AA53" i="17"/>
  <c r="G53" i="10"/>
  <c r="Z73" i="17"/>
  <c r="AA73" i="17"/>
  <c r="G73" i="10"/>
  <c r="Z27" i="17"/>
  <c r="AA27" i="17"/>
  <c r="G27" i="10"/>
  <c r="Z54" i="17"/>
  <c r="AA54" i="17"/>
  <c r="G54" i="10"/>
  <c r="Z93" i="17"/>
  <c r="AA93" i="17"/>
  <c r="G93" i="10"/>
  <c r="Z63" i="17"/>
  <c r="AA63" i="17"/>
  <c r="G63" i="10"/>
  <c r="Z101" i="17"/>
  <c r="AA101" i="17"/>
  <c r="G101" i="10"/>
  <c r="Z42" i="17"/>
  <c r="AA42" i="17"/>
  <c r="G42" i="10"/>
  <c r="Z55" i="17"/>
  <c r="AA55" i="17"/>
  <c r="G55" i="10"/>
  <c r="Z67" i="17"/>
  <c r="AA67" i="17"/>
  <c r="G67" i="10"/>
  <c r="Z35" i="17"/>
  <c r="AA35" i="17"/>
  <c r="G35" i="10"/>
  <c r="Z30" i="17"/>
  <c r="AA30" i="17"/>
  <c r="G30" i="10"/>
  <c r="Z37" i="17"/>
  <c r="AA37" i="17"/>
  <c r="G37" i="10"/>
  <c r="Z86" i="17"/>
  <c r="AA86" i="17"/>
  <c r="G86" i="10"/>
  <c r="Z80" i="17"/>
  <c r="AA80" i="17"/>
  <c r="G80" i="10"/>
  <c r="Z49" i="17"/>
  <c r="AA49" i="17"/>
  <c r="G49" i="10"/>
  <c r="Z104" i="17"/>
  <c r="AA104" i="17"/>
  <c r="G104" i="10"/>
  <c r="Z94" i="17"/>
  <c r="AA94" i="17"/>
  <c r="G94" i="10"/>
  <c r="Z102" i="17"/>
  <c r="AA102" i="17"/>
  <c r="G102" i="10"/>
  <c r="Z108" i="17"/>
  <c r="AA108" i="17"/>
  <c r="G108" i="10"/>
  <c r="Z76" i="17"/>
  <c r="AA76" i="17"/>
  <c r="G76" i="10"/>
  <c r="Z45" i="17"/>
  <c r="AA45" i="17"/>
  <c r="G45" i="10"/>
  <c r="Z25" i="17"/>
  <c r="AA25" i="17"/>
  <c r="G25" i="10"/>
  <c r="Z21" i="17"/>
  <c r="AA21" i="17"/>
  <c r="G21" i="10"/>
  <c r="Z24" i="17"/>
  <c r="AA24" i="17"/>
  <c r="G24" i="10"/>
  <c r="Z99" i="17"/>
  <c r="AA99" i="17"/>
  <c r="G99" i="10"/>
  <c r="Z60" i="17"/>
  <c r="AA60" i="17"/>
  <c r="G60" i="10"/>
  <c r="Z26" i="17"/>
  <c r="AA26" i="17"/>
  <c r="G26" i="10"/>
  <c r="Z61" i="17"/>
  <c r="AA61" i="17"/>
  <c r="G61" i="10"/>
  <c r="Z56" i="17"/>
  <c r="AA56" i="17"/>
  <c r="G56" i="10"/>
  <c r="Z90" i="17"/>
  <c r="AA90" i="17"/>
  <c r="G90" i="10"/>
  <c r="Z47" i="17"/>
  <c r="AA47" i="17"/>
  <c r="G47" i="10"/>
  <c r="Z59" i="17"/>
  <c r="AA59" i="17"/>
  <c r="G59" i="10"/>
  <c r="Z78" i="17"/>
  <c r="AA78" i="17"/>
  <c r="G78" i="10"/>
  <c r="Z41" i="17"/>
  <c r="AA41" i="17"/>
  <c r="G41" i="10"/>
  <c r="Z110" i="17"/>
  <c r="AA110" i="17"/>
  <c r="G110" i="10"/>
  <c r="Z95" i="17"/>
  <c r="AA95" i="17"/>
  <c r="G95" i="10"/>
  <c r="Y16" i="17"/>
  <c r="X112" i="17"/>
  <c r="X111" i="17"/>
  <c r="C64" i="14"/>
  <c r="C66" i="14"/>
  <c r="K19" i="18"/>
  <c r="M19" i="18"/>
  <c r="O19" i="18"/>
  <c r="F19" i="18"/>
  <c r="C149" i="14"/>
  <c r="C151" i="14"/>
  <c r="C153" i="14"/>
  <c r="C226" i="14"/>
  <c r="C228" i="14"/>
  <c r="C230" i="14"/>
  <c r="V16" i="17"/>
  <c r="T112" i="17"/>
  <c r="T111" i="17"/>
  <c r="C24" i="10"/>
  <c r="W24" i="17"/>
  <c r="F16" i="10"/>
  <c r="Y112" i="17"/>
  <c r="Y111" i="17"/>
  <c r="AJ112" i="17"/>
  <c r="AJ111" i="17"/>
  <c r="AL16" i="17"/>
  <c r="L14" i="10"/>
  <c r="I15" i="20"/>
  <c r="U15" i="20"/>
  <c r="I14" i="20"/>
  <c r="U14" i="20"/>
  <c r="L13" i="10"/>
  <c r="I12" i="20"/>
  <c r="L11" i="10"/>
  <c r="H13" i="6"/>
  <c r="I13" i="6"/>
  <c r="F74" i="14"/>
  <c r="C76" i="14"/>
  <c r="C70" i="14"/>
  <c r="C72" i="14"/>
  <c r="D19" i="18"/>
  <c r="AF46" i="17"/>
  <c r="AF54" i="17"/>
  <c r="AF60" i="17"/>
  <c r="AF94" i="17"/>
  <c r="AF99" i="17"/>
  <c r="AF50" i="17"/>
  <c r="AF17" i="17"/>
  <c r="AF89" i="17"/>
  <c r="AF22" i="17"/>
  <c r="AF44" i="17"/>
  <c r="AF80" i="17"/>
  <c r="AF51" i="17"/>
  <c r="AF100" i="17"/>
  <c r="AF77" i="17"/>
  <c r="AF105" i="17"/>
  <c r="AF75" i="17"/>
  <c r="AF76" i="17"/>
  <c r="AF21" i="17"/>
  <c r="AF78" i="17"/>
  <c r="AF88" i="17"/>
  <c r="AF58" i="17"/>
  <c r="AF25" i="17"/>
  <c r="AF62" i="17"/>
  <c r="AF104" i="17"/>
  <c r="AF103" i="17"/>
  <c r="AF47" i="17"/>
  <c r="AF59" i="17"/>
  <c r="AF109" i="17"/>
  <c r="AF28" i="17"/>
  <c r="AF69" i="17"/>
  <c r="AF32" i="17"/>
  <c r="AF74" i="17"/>
  <c r="AF90" i="17"/>
  <c r="AF61" i="17"/>
  <c r="AF18" i="17"/>
  <c r="AF101" i="17"/>
  <c r="AF53" i="17"/>
  <c r="AF23" i="17"/>
  <c r="AF36" i="17"/>
  <c r="AF41" i="17"/>
  <c r="AF79" i="17"/>
  <c r="AF56" i="17"/>
  <c r="AF67" i="17"/>
  <c r="AF85" i="17"/>
  <c r="AF98" i="17"/>
  <c r="AF82" i="17"/>
  <c r="AF27" i="17"/>
  <c r="AF43" i="17"/>
  <c r="AF71" i="17"/>
  <c r="AF33" i="17"/>
  <c r="AF91" i="17"/>
  <c r="AF55" i="17"/>
  <c r="AF52" i="17"/>
  <c r="AF95" i="17"/>
  <c r="AF65" i="17"/>
  <c r="AF49" i="17"/>
  <c r="AF63" i="17"/>
  <c r="AF48" i="17"/>
  <c r="AF86" i="17"/>
  <c r="AF97" i="17"/>
  <c r="AF45" i="17"/>
  <c r="AF87" i="17"/>
  <c r="AF96" i="17"/>
  <c r="AF70" i="17"/>
  <c r="AF19" i="17"/>
  <c r="AF37" i="17"/>
  <c r="AF39" i="17"/>
  <c r="AF42" i="17"/>
  <c r="AF92" i="17"/>
  <c r="AF31" i="17"/>
  <c r="AF84" i="17"/>
  <c r="AF83" i="17"/>
  <c r="AF106" i="17"/>
  <c r="AF16" i="17"/>
  <c r="AF81" i="17"/>
  <c r="AF30" i="17"/>
  <c r="AF35" i="17"/>
  <c r="AF107" i="17"/>
  <c r="AF64" i="17"/>
  <c r="AF68" i="17"/>
  <c r="AF108" i="17"/>
  <c r="AF57" i="17"/>
  <c r="AF20" i="17"/>
  <c r="AF26" i="17"/>
  <c r="AF73" i="17"/>
  <c r="AF102" i="17"/>
  <c r="AF34" i="17"/>
  <c r="AF110" i="17"/>
  <c r="AF66" i="17"/>
  <c r="AF38" i="17"/>
  <c r="AF72" i="17"/>
  <c r="AF93" i="17"/>
  <c r="AF40" i="17"/>
  <c r="AF29" i="17"/>
  <c r="AF24" i="17"/>
  <c r="I13" i="20"/>
  <c r="U13" i="20"/>
  <c r="L12" i="10"/>
  <c r="AG94" i="17"/>
  <c r="AG22" i="17"/>
  <c r="AG79" i="17"/>
  <c r="AG69" i="17"/>
  <c r="AG17" i="17"/>
  <c r="AG36" i="17"/>
  <c r="AG18" i="17"/>
  <c r="AG78" i="17"/>
  <c r="AG109" i="17"/>
  <c r="AG88" i="17"/>
  <c r="AG44" i="17"/>
  <c r="AG23" i="17"/>
  <c r="AG100" i="17"/>
  <c r="AG74" i="17"/>
  <c r="AG33" i="17"/>
  <c r="AG105" i="17"/>
  <c r="AG89" i="17"/>
  <c r="AG76" i="17"/>
  <c r="AG77" i="17"/>
  <c r="AG103" i="17"/>
  <c r="AG25" i="17"/>
  <c r="AG43" i="17"/>
  <c r="AG21" i="17"/>
  <c r="AG75" i="17"/>
  <c r="AG61" i="17"/>
  <c r="AG62" i="17"/>
  <c r="AG51" i="17"/>
  <c r="AG90" i="17"/>
  <c r="AG104" i="17"/>
  <c r="AG101" i="17"/>
  <c r="AG53" i="17"/>
  <c r="AG99" i="17"/>
  <c r="AG28" i="17"/>
  <c r="AG32" i="17"/>
  <c r="AG71" i="17"/>
  <c r="AG80" i="17"/>
  <c r="AG47" i="17"/>
  <c r="AG54" i="17"/>
  <c r="AG98" i="17"/>
  <c r="AG60" i="17"/>
  <c r="AG82" i="17"/>
  <c r="AG46" i="17"/>
  <c r="AG59" i="17"/>
  <c r="AG58" i="17"/>
  <c r="AG50" i="17"/>
  <c r="AG41" i="17"/>
  <c r="AG27" i="17"/>
  <c r="AG67" i="17"/>
  <c r="AG85" i="17"/>
  <c r="AG56" i="17"/>
  <c r="AG40" i="17"/>
  <c r="AG31" i="17"/>
  <c r="AG72" i="17"/>
  <c r="AG95" i="17"/>
  <c r="AG38" i="17"/>
  <c r="AG34" i="17"/>
  <c r="AG93" i="17"/>
  <c r="AG52" i="17"/>
  <c r="AG84" i="17"/>
  <c r="AG92" i="17"/>
  <c r="AG106" i="17"/>
  <c r="AG55" i="17"/>
  <c r="AG65" i="17"/>
  <c r="AG66" i="17"/>
  <c r="AG97" i="17"/>
  <c r="AG45" i="17"/>
  <c r="AG63" i="17"/>
  <c r="AG30" i="17"/>
  <c r="AG96" i="17"/>
  <c r="AG83" i="17"/>
  <c r="AG70" i="17"/>
  <c r="AG91" i="17"/>
  <c r="AG48" i="17"/>
  <c r="AG81" i="17"/>
  <c r="AG35" i="17"/>
  <c r="AG42" i="17"/>
  <c r="AG39" i="17"/>
  <c r="AG64" i="17"/>
  <c r="AG73" i="17"/>
  <c r="AG20" i="17"/>
  <c r="AG86" i="17"/>
  <c r="AG37" i="17"/>
  <c r="AG107" i="17"/>
  <c r="AG108" i="17"/>
  <c r="AG49" i="17"/>
  <c r="AG16" i="17"/>
  <c r="AG19" i="17"/>
  <c r="AG102" i="17"/>
  <c r="AG110" i="17"/>
  <c r="AG87" i="17"/>
  <c r="AG57" i="17"/>
  <c r="AG26" i="17"/>
  <c r="AG68" i="17"/>
  <c r="AG29" i="17"/>
  <c r="AG24" i="17"/>
  <c r="Z111" i="17"/>
  <c r="Z112" i="17"/>
  <c r="AA16" i="17"/>
  <c r="W16" i="17"/>
  <c r="C16" i="10"/>
  <c r="V111" i="17"/>
  <c r="V112" i="17"/>
  <c r="F333" i="14"/>
  <c r="C326" i="14"/>
  <c r="AG112" i="17"/>
  <c r="AG111" i="17"/>
  <c r="I337" i="14"/>
  <c r="C334" i="14"/>
  <c r="U12" i="20"/>
  <c r="V13" i="20"/>
  <c r="Y13" i="20"/>
  <c r="B40" i="8"/>
  <c r="B41" i="8"/>
  <c r="C18" i="14"/>
  <c r="F96" i="14"/>
  <c r="C98" i="14"/>
  <c r="V15" i="20"/>
  <c r="Y15" i="20"/>
  <c r="AF112" i="17"/>
  <c r="AF111" i="17"/>
  <c r="V14" i="20"/>
  <c r="Y14" i="20"/>
  <c r="C19" i="14"/>
  <c r="E40" i="8"/>
  <c r="E41" i="8"/>
  <c r="C181" i="14"/>
  <c r="C183" i="14"/>
  <c r="C185" i="14"/>
  <c r="C187" i="14"/>
  <c r="K29" i="18"/>
  <c r="M29" i="18"/>
  <c r="O29" i="18"/>
  <c r="F29" i="18"/>
  <c r="H23" i="6"/>
  <c r="I23" i="6"/>
  <c r="C111" i="10"/>
  <c r="AL111" i="17"/>
  <c r="AL112" i="17"/>
  <c r="K16" i="10"/>
  <c r="K111" i="10"/>
  <c r="E14" i="30"/>
  <c r="G14" i="30"/>
  <c r="H14" i="30"/>
  <c r="F111" i="10"/>
  <c r="G16" i="10"/>
  <c r="G111" i="10"/>
  <c r="AA111" i="17"/>
  <c r="AA112" i="17"/>
  <c r="AH94" i="17"/>
  <c r="AH41" i="17"/>
  <c r="AH18" i="17"/>
  <c r="AH69" i="17"/>
  <c r="AH54" i="17"/>
  <c r="AH47" i="17"/>
  <c r="AH99" i="17"/>
  <c r="AH78" i="17"/>
  <c r="AH23" i="17"/>
  <c r="AH50" i="17"/>
  <c r="AH58" i="17"/>
  <c r="AH33" i="17"/>
  <c r="AH51" i="17"/>
  <c r="AH75" i="17"/>
  <c r="AH28" i="17"/>
  <c r="AH88" i="17"/>
  <c r="AH22" i="17"/>
  <c r="AH74" i="17"/>
  <c r="AH25" i="17"/>
  <c r="AH79" i="17"/>
  <c r="AH62" i="17"/>
  <c r="AH36" i="17"/>
  <c r="AH61" i="17"/>
  <c r="AH56" i="17"/>
  <c r="AH59" i="17"/>
  <c r="AH98" i="17"/>
  <c r="AH101" i="17"/>
  <c r="AH104" i="17"/>
  <c r="AH53" i="17"/>
  <c r="AH32" i="17"/>
  <c r="AH67" i="17"/>
  <c r="AH109" i="17"/>
  <c r="AH105" i="17"/>
  <c r="AH21" i="17"/>
  <c r="AH46" i="17"/>
  <c r="AH17" i="17"/>
  <c r="AH44" i="17"/>
  <c r="AH76" i="17"/>
  <c r="AH77" i="17"/>
  <c r="AH80" i="17"/>
  <c r="AH89" i="17"/>
  <c r="AH60" i="17"/>
  <c r="AH71" i="17"/>
  <c r="AH82" i="17"/>
  <c r="AH103" i="17"/>
  <c r="AH90" i="17"/>
  <c r="AH100" i="17"/>
  <c r="AH85" i="17"/>
  <c r="AH27" i="17"/>
  <c r="AH43" i="17"/>
  <c r="AH106" i="17"/>
  <c r="AH63" i="17"/>
  <c r="AH93" i="17"/>
  <c r="AH95" i="17"/>
  <c r="AH66" i="17"/>
  <c r="AH52" i="17"/>
  <c r="AH48" i="17"/>
  <c r="AH34" i="17"/>
  <c r="AH42" i="17"/>
  <c r="AH110" i="17"/>
  <c r="AH91" i="17"/>
  <c r="AH87" i="17"/>
  <c r="AH84" i="17"/>
  <c r="AH96" i="17"/>
  <c r="AH40" i="17"/>
  <c r="AH30" i="17"/>
  <c r="AH35" i="17"/>
  <c r="AH38" i="17"/>
  <c r="AH45" i="17"/>
  <c r="AH31" i="17"/>
  <c r="AH102" i="17"/>
  <c r="AH55" i="17"/>
  <c r="AH97" i="17"/>
  <c r="AH72" i="17"/>
  <c r="AH81" i="17"/>
  <c r="AH49" i="17"/>
  <c r="AH39" i="17"/>
  <c r="AH86" i="17"/>
  <c r="AH65" i="17"/>
  <c r="AH20" i="17"/>
  <c r="AH16" i="17"/>
  <c r="AH64" i="17"/>
  <c r="AH83" i="17"/>
  <c r="AH107" i="17"/>
  <c r="AH37" i="17"/>
  <c r="AH26" i="17"/>
  <c r="AH73" i="17"/>
  <c r="AH70" i="17"/>
  <c r="AH19" i="17"/>
  <c r="AH57" i="17"/>
  <c r="AH92" i="17"/>
  <c r="AH68" i="17"/>
  <c r="AH108" i="17"/>
  <c r="AH29" i="17"/>
  <c r="AH24" i="17"/>
  <c r="W112" i="17"/>
  <c r="W111" i="17"/>
  <c r="K23" i="18"/>
  <c r="M23" i="18"/>
  <c r="O23" i="18"/>
  <c r="F23" i="18"/>
  <c r="H17" i="6"/>
  <c r="I17" i="6"/>
  <c r="B23" i="18"/>
  <c r="C17" i="6"/>
  <c r="F153" i="14"/>
  <c r="C155" i="14"/>
  <c r="L230" i="14"/>
  <c r="C232" i="14"/>
  <c r="C234" i="14"/>
  <c r="V12" i="20"/>
  <c r="Y12" i="20"/>
  <c r="AI69" i="17"/>
  <c r="AI90" i="17"/>
  <c r="AI78" i="17"/>
  <c r="AI28" i="17"/>
  <c r="AI104" i="17"/>
  <c r="AI21" i="17"/>
  <c r="AI76" i="17"/>
  <c r="AI62" i="17"/>
  <c r="AI32" i="17"/>
  <c r="AI17" i="17"/>
  <c r="AI58" i="17"/>
  <c r="AI103" i="17"/>
  <c r="AI105" i="17"/>
  <c r="AI99" i="17"/>
  <c r="AI22" i="17"/>
  <c r="AI44" i="17"/>
  <c r="AI60" i="17"/>
  <c r="AI46" i="17"/>
  <c r="AI98" i="17"/>
  <c r="AI36" i="17"/>
  <c r="AI56" i="17"/>
  <c r="AI53" i="17"/>
  <c r="AI101" i="17"/>
  <c r="AI23" i="17"/>
  <c r="AI80" i="17"/>
  <c r="AI75" i="17"/>
  <c r="AI94" i="17"/>
  <c r="AI100" i="17"/>
  <c r="AI47" i="17"/>
  <c r="AI25" i="17"/>
  <c r="AI33" i="17"/>
  <c r="AI18" i="17"/>
  <c r="AI74" i="17"/>
  <c r="AI89" i="17"/>
  <c r="AI109" i="17"/>
  <c r="AI59" i="17"/>
  <c r="AI61" i="17"/>
  <c r="AI50" i="17"/>
  <c r="AI79" i="17"/>
  <c r="AI51" i="17"/>
  <c r="AI88" i="17"/>
  <c r="AI77" i="17"/>
  <c r="AI82" i="17"/>
  <c r="AI54" i="17"/>
  <c r="AI41" i="17"/>
  <c r="AI71" i="17"/>
  <c r="AI43" i="17"/>
  <c r="AI85" i="17"/>
  <c r="AI67" i="17"/>
  <c r="AI27" i="17"/>
  <c r="AI92" i="17"/>
  <c r="AI87" i="17"/>
  <c r="AI64" i="17"/>
  <c r="AI110" i="17"/>
  <c r="AI66" i="17"/>
  <c r="AI63" i="17"/>
  <c r="AI40" i="17"/>
  <c r="AI68" i="17"/>
  <c r="AI31" i="17"/>
  <c r="AI57" i="17"/>
  <c r="AI55" i="17"/>
  <c r="AI84" i="17"/>
  <c r="AI93" i="17"/>
  <c r="AI95" i="17"/>
  <c r="AI34" i="17"/>
  <c r="AI86" i="17"/>
  <c r="AI65" i="17"/>
  <c r="AI49" i="17"/>
  <c r="AI97" i="17"/>
  <c r="AI73" i="17"/>
  <c r="AI39" i="17"/>
  <c r="AI96" i="17"/>
  <c r="AI19" i="17"/>
  <c r="AI72" i="17"/>
  <c r="AI91" i="17"/>
  <c r="AI48" i="17"/>
  <c r="AI45" i="17"/>
  <c r="AI35" i="17"/>
  <c r="AI26" i="17"/>
  <c r="AI102" i="17"/>
  <c r="AI30" i="17"/>
  <c r="AI108" i="17"/>
  <c r="AI37" i="17"/>
  <c r="AI70" i="17"/>
  <c r="AI16" i="17"/>
  <c r="AI81" i="17"/>
  <c r="AI42" i="17"/>
  <c r="AI38" i="17"/>
  <c r="AI83" i="17"/>
  <c r="AI20" i="17"/>
  <c r="AI106" i="17"/>
  <c r="AI52" i="17"/>
  <c r="AI107" i="17"/>
  <c r="AI29" i="17"/>
  <c r="AI24" i="17"/>
  <c r="I346" i="14"/>
  <c r="F342" i="14"/>
  <c r="C339" i="14"/>
  <c r="C341" i="14"/>
  <c r="C343" i="14"/>
  <c r="E17" i="30"/>
  <c r="G17" i="30"/>
  <c r="H17" i="30"/>
  <c r="AH111" i="17"/>
  <c r="AH112" i="17"/>
  <c r="AI111" i="17"/>
  <c r="AI112" i="17"/>
  <c r="F351" i="14"/>
  <c r="C348" i="14"/>
  <c r="C350" i="14"/>
  <c r="C352" i="14"/>
  <c r="C236" i="14"/>
  <c r="C238" i="14"/>
  <c r="C157" i="14"/>
  <c r="C159" i="14"/>
  <c r="C161" i="14"/>
  <c r="C163" i="14"/>
  <c r="AD78" i="17"/>
  <c r="AD103" i="17"/>
  <c r="AD69" i="17"/>
  <c r="AD21" i="17"/>
  <c r="AD59" i="17"/>
  <c r="AD79" i="17"/>
  <c r="AD104" i="17"/>
  <c r="AD77" i="17"/>
  <c r="AD46" i="17"/>
  <c r="AD50" i="17"/>
  <c r="AD101" i="17"/>
  <c r="AD51" i="17"/>
  <c r="AD36" i="17"/>
  <c r="AD98" i="17"/>
  <c r="AD88" i="17"/>
  <c r="AD80" i="17"/>
  <c r="AD17" i="17"/>
  <c r="AD22" i="17"/>
  <c r="AD71" i="17"/>
  <c r="AD75" i="17"/>
  <c r="AD53" i="17"/>
  <c r="AD33" i="17"/>
  <c r="AD18" i="17"/>
  <c r="AD43" i="17"/>
  <c r="AD54" i="17"/>
  <c r="AD89" i="17"/>
  <c r="AD74" i="17"/>
  <c r="AD28" i="17"/>
  <c r="AD44" i="17"/>
  <c r="AD62" i="17"/>
  <c r="AD76" i="17"/>
  <c r="AD100" i="17"/>
  <c r="AD47" i="17"/>
  <c r="AD109" i="17"/>
  <c r="AD82" i="17"/>
  <c r="AD60" i="17"/>
  <c r="AD105" i="17"/>
  <c r="AD99" i="17"/>
  <c r="AD32" i="17"/>
  <c r="AD90" i="17"/>
  <c r="AD23" i="17"/>
  <c r="AD25" i="17"/>
  <c r="AD61" i="17"/>
  <c r="AD41" i="17"/>
  <c r="AD94" i="17"/>
  <c r="AD58" i="17"/>
  <c r="AD85" i="17"/>
  <c r="AD67" i="17"/>
  <c r="AD56" i="17"/>
  <c r="AD27" i="17"/>
  <c r="AD34" i="17"/>
  <c r="AD26" i="17"/>
  <c r="AD57" i="17"/>
  <c r="AD92" i="17"/>
  <c r="AD87" i="17"/>
  <c r="AD63" i="17"/>
  <c r="AD40" i="17"/>
  <c r="AD68" i="17"/>
  <c r="AD95" i="17"/>
  <c r="AD66" i="17"/>
  <c r="AD93" i="17"/>
  <c r="AD37" i="17"/>
  <c r="AD49" i="17"/>
  <c r="AD31" i="17"/>
  <c r="AD96" i="17"/>
  <c r="AD97" i="17"/>
  <c r="AD48" i="17"/>
  <c r="AD55" i="17"/>
  <c r="AD35" i="17"/>
  <c r="AD19" i="17"/>
  <c r="AD84" i="17"/>
  <c r="AD52" i="17"/>
  <c r="AD65" i="17"/>
  <c r="AD70" i="17"/>
  <c r="AD30" i="17"/>
  <c r="AD86" i="17"/>
  <c r="AD45" i="17"/>
  <c r="AD107" i="17"/>
  <c r="AD20" i="17"/>
  <c r="AD81" i="17"/>
  <c r="AD42" i="17"/>
  <c r="AD83" i="17"/>
  <c r="AD73" i="17"/>
  <c r="AD38" i="17"/>
  <c r="AD64" i="17"/>
  <c r="AD102" i="17"/>
  <c r="AD108" i="17"/>
  <c r="AD72" i="17"/>
  <c r="AD39" i="17"/>
  <c r="AD110" i="17"/>
  <c r="AD16" i="17"/>
  <c r="AD91" i="17"/>
  <c r="AD106" i="17"/>
  <c r="AD29" i="17"/>
  <c r="AD24" i="17"/>
  <c r="C242" i="14"/>
  <c r="C244" i="14"/>
  <c r="C240" i="14"/>
  <c r="I35" i="10"/>
  <c r="I36" i="20"/>
  <c r="U36" i="20"/>
  <c r="I78" i="10"/>
  <c r="I79" i="20"/>
  <c r="U79" i="20"/>
  <c r="C246" i="14"/>
  <c r="C248" i="14"/>
  <c r="C250" i="14"/>
  <c r="F356" i="14"/>
  <c r="C358" i="14"/>
  <c r="I64" i="10"/>
  <c r="I65" i="20"/>
  <c r="U65" i="20"/>
  <c r="I71" i="10"/>
  <c r="I72" i="20"/>
  <c r="U72" i="20"/>
  <c r="I51" i="10"/>
  <c r="I52" i="20"/>
  <c r="U52" i="20"/>
  <c r="AE47" i="17"/>
  <c r="AE103" i="17"/>
  <c r="I103" i="10"/>
  <c r="I104" i="20"/>
  <c r="U104" i="20"/>
  <c r="AE44" i="17"/>
  <c r="AE105" i="17"/>
  <c r="I105" i="10"/>
  <c r="I106" i="20"/>
  <c r="U106" i="20"/>
  <c r="AE54" i="17"/>
  <c r="I54" i="10"/>
  <c r="I55" i="20"/>
  <c r="U55" i="20"/>
  <c r="AE17" i="17"/>
  <c r="I17" i="10"/>
  <c r="I18" i="20"/>
  <c r="U18" i="20"/>
  <c r="AE18" i="17"/>
  <c r="I18" i="10"/>
  <c r="I19" i="20"/>
  <c r="U19" i="20"/>
  <c r="AE75" i="17"/>
  <c r="I75" i="10"/>
  <c r="I76" i="20"/>
  <c r="U76" i="20"/>
  <c r="AE58" i="17"/>
  <c r="I58" i="10"/>
  <c r="I59" i="20"/>
  <c r="U59" i="20"/>
  <c r="AE50" i="17"/>
  <c r="I50" i="10"/>
  <c r="I51" i="20"/>
  <c r="U51" i="20"/>
  <c r="AE25" i="17"/>
  <c r="AE100" i="17"/>
  <c r="AE53" i="17"/>
  <c r="AE82" i="17"/>
  <c r="AE78" i="17"/>
  <c r="AE76" i="17"/>
  <c r="AE90" i="17"/>
  <c r="AE32" i="17"/>
  <c r="AE104" i="17"/>
  <c r="I104" i="10"/>
  <c r="I105" i="20"/>
  <c r="U105" i="20"/>
  <c r="AE43" i="17"/>
  <c r="I43" i="10"/>
  <c r="I44" i="20"/>
  <c r="U44" i="20"/>
  <c r="AE99" i="17"/>
  <c r="I99" i="10"/>
  <c r="I100" i="20"/>
  <c r="U100" i="20"/>
  <c r="AE80" i="17"/>
  <c r="AE33" i="17"/>
  <c r="I33" i="10"/>
  <c r="I34" i="20"/>
  <c r="U34" i="20"/>
  <c r="AE36" i="17"/>
  <c r="I36" i="10"/>
  <c r="I37" i="20"/>
  <c r="U37" i="20"/>
  <c r="AE69" i="17"/>
  <c r="I69" i="10"/>
  <c r="I70" i="20"/>
  <c r="U70" i="20"/>
  <c r="AE94" i="17"/>
  <c r="AE74" i="17"/>
  <c r="AE71" i="17"/>
  <c r="AE101" i="17"/>
  <c r="AE51" i="17"/>
  <c r="AE77" i="17"/>
  <c r="AE89" i="17"/>
  <c r="I89" i="10"/>
  <c r="I90" i="20"/>
  <c r="U90" i="20"/>
  <c r="AE22" i="17"/>
  <c r="I22" i="10"/>
  <c r="I23" i="20"/>
  <c r="U23" i="20"/>
  <c r="AE98" i="17"/>
  <c r="AE59" i="17"/>
  <c r="I59" i="10"/>
  <c r="I60" i="20"/>
  <c r="U60" i="20"/>
  <c r="AE109" i="17"/>
  <c r="I109" i="10"/>
  <c r="I110" i="20"/>
  <c r="U110" i="20"/>
  <c r="AE60" i="17"/>
  <c r="I60" i="10"/>
  <c r="I61" i="20"/>
  <c r="U61" i="20"/>
  <c r="AE46" i="17"/>
  <c r="I46" i="10"/>
  <c r="I47" i="20"/>
  <c r="U47" i="20"/>
  <c r="AE79" i="17"/>
  <c r="I79" i="10"/>
  <c r="I80" i="20"/>
  <c r="U80" i="20"/>
  <c r="AE28" i="17"/>
  <c r="I28" i="10"/>
  <c r="I29" i="20"/>
  <c r="U29" i="20"/>
  <c r="AE41" i="17"/>
  <c r="I41" i="10"/>
  <c r="I42" i="20"/>
  <c r="U42" i="20"/>
  <c r="AE88" i="17"/>
  <c r="I88" i="10"/>
  <c r="I89" i="20"/>
  <c r="U89" i="20"/>
  <c r="AE61" i="17"/>
  <c r="AE21" i="17"/>
  <c r="AE23" i="17"/>
  <c r="AE62" i="17"/>
  <c r="AE85" i="17"/>
  <c r="AE67" i="17"/>
  <c r="I67" i="10"/>
  <c r="I68" i="20"/>
  <c r="U68" i="20"/>
  <c r="AE27" i="17"/>
  <c r="AE56" i="17"/>
  <c r="AE110" i="17"/>
  <c r="AE66" i="17"/>
  <c r="AE38" i="17"/>
  <c r="I38" i="10"/>
  <c r="I39" i="20"/>
  <c r="U39" i="20"/>
  <c r="AE68" i="17"/>
  <c r="AE93" i="17"/>
  <c r="AE96" i="17"/>
  <c r="I96" i="10"/>
  <c r="I97" i="20"/>
  <c r="U97" i="20"/>
  <c r="AE73" i="17"/>
  <c r="I73" i="10"/>
  <c r="I74" i="20"/>
  <c r="U74" i="20"/>
  <c r="AE106" i="17"/>
  <c r="AE91" i="17"/>
  <c r="AE52" i="17"/>
  <c r="AE55" i="17"/>
  <c r="AE92" i="17"/>
  <c r="AE87" i="17"/>
  <c r="AE31" i="17"/>
  <c r="AE95" i="17"/>
  <c r="AE86" i="17"/>
  <c r="AE30" i="17"/>
  <c r="AE65" i="17"/>
  <c r="AE49" i="17"/>
  <c r="AE84" i="17"/>
  <c r="I84" i="10"/>
  <c r="I85" i="20"/>
  <c r="U85" i="20"/>
  <c r="AE97" i="17"/>
  <c r="I97" i="10"/>
  <c r="I98" i="20"/>
  <c r="U98" i="20"/>
  <c r="AE64" i="17"/>
  <c r="AE70" i="17"/>
  <c r="AE19" i="17"/>
  <c r="I19" i="10"/>
  <c r="I20" i="20"/>
  <c r="U20" i="20"/>
  <c r="AE26" i="17"/>
  <c r="AE48" i="17"/>
  <c r="AE102" i="17"/>
  <c r="I102" i="10"/>
  <c r="I103" i="20"/>
  <c r="U103" i="20"/>
  <c r="AE45" i="17"/>
  <c r="AE81" i="17"/>
  <c r="AE35" i="17"/>
  <c r="AE42" i="17"/>
  <c r="AE57" i="17"/>
  <c r="I57" i="10"/>
  <c r="I58" i="20"/>
  <c r="U58" i="20"/>
  <c r="AE39" i="17"/>
  <c r="I39" i="10"/>
  <c r="I40" i="20"/>
  <c r="U40" i="20"/>
  <c r="AE20" i="17"/>
  <c r="I20" i="10"/>
  <c r="I21" i="20"/>
  <c r="U21" i="20"/>
  <c r="AE72" i="17"/>
  <c r="AE107" i="17"/>
  <c r="AE37" i="17"/>
  <c r="I37" i="10"/>
  <c r="I38" i="20"/>
  <c r="U38" i="20"/>
  <c r="AE108" i="17"/>
  <c r="I108" i="10"/>
  <c r="I109" i="20"/>
  <c r="U109" i="20"/>
  <c r="AE16" i="17"/>
  <c r="I16" i="10"/>
  <c r="AE34" i="17"/>
  <c r="I34" i="10"/>
  <c r="I35" i="20"/>
  <c r="U35" i="20"/>
  <c r="AE63" i="17"/>
  <c r="AE40" i="17"/>
  <c r="AE83" i="17"/>
  <c r="I83" i="10"/>
  <c r="I84" i="20"/>
  <c r="U84" i="20"/>
  <c r="AE29" i="17"/>
  <c r="AE24" i="17"/>
  <c r="I21" i="10"/>
  <c r="I22" i="20"/>
  <c r="U22" i="20"/>
  <c r="I48" i="10"/>
  <c r="I49" i="20"/>
  <c r="U49" i="20"/>
  <c r="I27" i="10"/>
  <c r="I28" i="20"/>
  <c r="U28" i="20"/>
  <c r="I56" i="10"/>
  <c r="I57" i="20"/>
  <c r="U57" i="20"/>
  <c r="I80" i="10"/>
  <c r="I81" i="20"/>
  <c r="U81" i="20"/>
  <c r="I49" i="10"/>
  <c r="I50" i="20"/>
  <c r="U50" i="20"/>
  <c r="I62" i="10"/>
  <c r="I63" i="20"/>
  <c r="U63" i="20"/>
  <c r="I93" i="10"/>
  <c r="I94" i="20"/>
  <c r="U94" i="20"/>
  <c r="I61" i="10"/>
  <c r="I62" i="20"/>
  <c r="U62" i="20"/>
  <c r="I74" i="10"/>
  <c r="I75" i="20"/>
  <c r="U75" i="20"/>
  <c r="I101" i="10"/>
  <c r="I102" i="20"/>
  <c r="U102" i="20"/>
  <c r="I55" i="10"/>
  <c r="I56" i="20"/>
  <c r="U56" i="20"/>
  <c r="I82" i="10"/>
  <c r="I83" i="20"/>
  <c r="U83" i="20"/>
  <c r="I47" i="10"/>
  <c r="I48" i="20"/>
  <c r="U48" i="20"/>
  <c r="I100" i="10"/>
  <c r="I101" i="20"/>
  <c r="U101" i="20"/>
  <c r="I85" i="10"/>
  <c r="I86" i="20"/>
  <c r="U86" i="20"/>
  <c r="I29" i="10"/>
  <c r="I30" i="20"/>
  <c r="U30" i="20"/>
  <c r="I44" i="10"/>
  <c r="I45" i="20"/>
  <c r="U45" i="20"/>
  <c r="I86" i="10"/>
  <c r="I87" i="20"/>
  <c r="U87" i="20"/>
  <c r="I70" i="10"/>
  <c r="I71" i="20"/>
  <c r="U71" i="20"/>
  <c r="I25" i="10"/>
  <c r="I26" i="20"/>
  <c r="U26" i="20"/>
  <c r="I53" i="10"/>
  <c r="I54" i="20"/>
  <c r="U54" i="20"/>
  <c r="I26" i="10"/>
  <c r="I27" i="20"/>
  <c r="U27" i="20"/>
  <c r="I42" i="10"/>
  <c r="I43" i="20"/>
  <c r="U43" i="20"/>
  <c r="I31" i="10"/>
  <c r="I32" i="20"/>
  <c r="U32" i="20"/>
  <c r="F165" i="14"/>
  <c r="C173" i="14"/>
  <c r="C175" i="14"/>
  <c r="C177" i="14"/>
  <c r="C179" i="14"/>
  <c r="B29" i="18"/>
  <c r="C23" i="6"/>
  <c r="I107" i="10"/>
  <c r="I108" i="20"/>
  <c r="U108" i="20"/>
  <c r="I106" i="10"/>
  <c r="I107" i="20"/>
  <c r="U107" i="20"/>
  <c r="I91" i="10"/>
  <c r="I92" i="20"/>
  <c r="U92" i="20"/>
  <c r="I66" i="10"/>
  <c r="I67" i="20"/>
  <c r="U67" i="20"/>
  <c r="I30" i="10"/>
  <c r="I31" i="20"/>
  <c r="U31" i="20"/>
  <c r="I40" i="10"/>
  <c r="I41" i="20"/>
  <c r="U41" i="20"/>
  <c r="I92" i="10"/>
  <c r="I93" i="20"/>
  <c r="U93" i="20"/>
  <c r="I81" i="10"/>
  <c r="I82" i="20"/>
  <c r="U82" i="20"/>
  <c r="I24" i="10"/>
  <c r="I25" i="20"/>
  <c r="U25" i="20"/>
  <c r="I76" i="10"/>
  <c r="I77" i="20"/>
  <c r="U77" i="20"/>
  <c r="I94" i="10"/>
  <c r="I95" i="20"/>
  <c r="U95" i="20"/>
  <c r="I68" i="10"/>
  <c r="I69" i="20"/>
  <c r="U69" i="20"/>
  <c r="I65" i="10"/>
  <c r="I66" i="20"/>
  <c r="U66" i="20"/>
  <c r="I72" i="10"/>
  <c r="I73" i="20"/>
  <c r="U73" i="20"/>
  <c r="I52" i="10"/>
  <c r="I53" i="20"/>
  <c r="U53" i="20"/>
  <c r="I63" i="10"/>
  <c r="I64" i="20"/>
  <c r="U64" i="20"/>
  <c r="I90" i="10"/>
  <c r="I91" i="20"/>
  <c r="U91" i="20"/>
  <c r="I77" i="10"/>
  <c r="I78" i="20"/>
  <c r="U78" i="20"/>
  <c r="C165" i="14"/>
  <c r="C91" i="14"/>
  <c r="C93" i="14"/>
  <c r="I98" i="10"/>
  <c r="I99" i="20"/>
  <c r="U99" i="20"/>
  <c r="I45" i="10"/>
  <c r="I46" i="20"/>
  <c r="U46" i="20"/>
  <c r="AD111" i="17"/>
  <c r="AD112" i="17"/>
  <c r="I95" i="10"/>
  <c r="I96" i="20"/>
  <c r="U96" i="20"/>
  <c r="I110" i="10"/>
  <c r="I111" i="20"/>
  <c r="U111" i="20"/>
  <c r="I23" i="10"/>
  <c r="I24" i="20"/>
  <c r="U24" i="20"/>
  <c r="I87" i="10"/>
  <c r="I88" i="20"/>
  <c r="U88" i="20"/>
  <c r="I32" i="10"/>
  <c r="I33" i="20"/>
  <c r="U33" i="20"/>
  <c r="V19" i="20"/>
  <c r="V98" i="20"/>
  <c r="V18" i="20"/>
  <c r="V60" i="20"/>
  <c r="V85" i="20"/>
  <c r="V110" i="20"/>
  <c r="V68" i="20"/>
  <c r="V80" i="20"/>
  <c r="V61" i="20"/>
  <c r="V105" i="20"/>
  <c r="V84" i="20"/>
  <c r="V44" i="20"/>
  <c r="V90" i="20"/>
  <c r="V34" i="20"/>
  <c r="V100" i="20"/>
  <c r="V104" i="20"/>
  <c r="V103" i="20"/>
  <c r="V39" i="20"/>
  <c r="V21" i="20"/>
  <c r="V58" i="20"/>
  <c r="V35" i="20"/>
  <c r="V20" i="20"/>
  <c r="V89" i="20"/>
  <c r="V51" i="20"/>
  <c r="V38" i="20"/>
  <c r="V55" i="20"/>
  <c r="V40" i="20"/>
  <c r="I111" i="10"/>
  <c r="I17" i="20"/>
  <c r="V74" i="20"/>
  <c r="V42" i="20"/>
  <c r="V70" i="20"/>
  <c r="V59" i="20"/>
  <c r="V47" i="20"/>
  <c r="V106" i="20"/>
  <c r="V23" i="20"/>
  <c r="V109" i="20"/>
  <c r="V97" i="20"/>
  <c r="V29" i="20"/>
  <c r="V37" i="20"/>
  <c r="V76" i="20"/>
  <c r="V111" i="20"/>
  <c r="V64" i="20"/>
  <c r="V31" i="20"/>
  <c r="V26" i="20"/>
  <c r="V62" i="20"/>
  <c r="V72" i="20"/>
  <c r="V71" i="20"/>
  <c r="V45" i="20"/>
  <c r="V50" i="20"/>
  <c r="K20" i="18"/>
  <c r="M20" i="18"/>
  <c r="O20" i="18"/>
  <c r="F20" i="18"/>
  <c r="C252" i="14"/>
  <c r="C254" i="14"/>
  <c r="C258" i="14"/>
  <c r="C260" i="14"/>
  <c r="D20" i="18"/>
  <c r="V92" i="20"/>
  <c r="V81" i="20"/>
  <c r="V95" i="20"/>
  <c r="V79" i="20"/>
  <c r="V36" i="20"/>
  <c r="V94" i="20"/>
  <c r="V66" i="20"/>
  <c r="V25" i="20"/>
  <c r="V87" i="20"/>
  <c r="V49" i="20"/>
  <c r="V83" i="20"/>
  <c r="V30" i="20"/>
  <c r="V32" i="20"/>
  <c r="V43" i="20"/>
  <c r="V52" i="20"/>
  <c r="V65" i="20"/>
  <c r="V28" i="20"/>
  <c r="V99" i="20"/>
  <c r="V33" i="20"/>
  <c r="V88" i="20"/>
  <c r="V96" i="20"/>
  <c r="AE111" i="17"/>
  <c r="AE112" i="17"/>
  <c r="V69" i="20"/>
  <c r="V57" i="20"/>
  <c r="V77" i="20"/>
  <c r="B22" i="18"/>
  <c r="C16" i="6"/>
  <c r="C189" i="14"/>
  <c r="C191" i="14"/>
  <c r="K22" i="18"/>
  <c r="M22" i="18"/>
  <c r="O22" i="18"/>
  <c r="F22" i="18"/>
  <c r="H16" i="6"/>
  <c r="I16" i="6"/>
  <c r="V93" i="20"/>
  <c r="V27" i="20"/>
  <c r="V56" i="20"/>
  <c r="V53" i="20"/>
  <c r="V73" i="20"/>
  <c r="V107" i="20"/>
  <c r="V101" i="20"/>
  <c r="C167" i="14"/>
  <c r="C169" i="14"/>
  <c r="C171" i="14"/>
  <c r="C204" i="14"/>
  <c r="V78" i="20"/>
  <c r="V54" i="20"/>
  <c r="V67" i="20"/>
  <c r="V63" i="20"/>
  <c r="V108" i="20"/>
  <c r="V86" i="20"/>
  <c r="V46" i="20"/>
  <c r="V48" i="20"/>
  <c r="V22" i="20"/>
  <c r="V24" i="20"/>
  <c r="V102" i="20"/>
  <c r="K33" i="18"/>
  <c r="M33" i="18"/>
  <c r="O33" i="18"/>
  <c r="F33" i="18"/>
  <c r="H27" i="6"/>
  <c r="I27" i="6"/>
  <c r="C360" i="14"/>
  <c r="C362" i="14"/>
  <c r="B33" i="18"/>
  <c r="C27" i="6"/>
  <c r="V82" i="20"/>
  <c r="V91" i="20"/>
  <c r="V41" i="20"/>
  <c r="V75" i="20"/>
  <c r="C364" i="14"/>
  <c r="C366" i="14"/>
  <c r="C370" i="14"/>
  <c r="C372" i="14"/>
  <c r="D32" i="18"/>
  <c r="K32" i="18"/>
  <c r="M32" i="18"/>
  <c r="O32" i="18"/>
  <c r="F32" i="18"/>
  <c r="H26" i="6"/>
  <c r="I26" i="6"/>
  <c r="U17" i="20"/>
  <c r="I112" i="20"/>
  <c r="E12" i="30"/>
  <c r="G12" i="30"/>
  <c r="H12" i="30"/>
  <c r="B26" i="30"/>
  <c r="B30" i="30"/>
  <c r="C193" i="14"/>
  <c r="C195" i="14"/>
  <c r="C199" i="14"/>
  <c r="C201" i="14"/>
  <c r="D28" i="18"/>
  <c r="K28" i="18"/>
  <c r="M28" i="18"/>
  <c r="O28" i="18"/>
  <c r="F28" i="18"/>
  <c r="H22" i="6"/>
  <c r="I22" i="6"/>
  <c r="B31" i="18"/>
  <c r="C25" i="6"/>
  <c r="C206" i="14"/>
  <c r="C208" i="14"/>
  <c r="K31" i="18"/>
  <c r="M31" i="18"/>
  <c r="O31" i="18"/>
  <c r="F31" i="18"/>
  <c r="H25" i="6"/>
  <c r="I25" i="6"/>
  <c r="H14" i="6"/>
  <c r="I14" i="6"/>
  <c r="B31" i="30"/>
  <c r="B32" i="30"/>
  <c r="V17" i="20"/>
  <c r="V112" i="20"/>
  <c r="U112" i="20"/>
  <c r="C210" i="14"/>
  <c r="C212" i="14"/>
  <c r="C216" i="14"/>
  <c r="C218" i="14"/>
  <c r="D30" i="18"/>
  <c r="D40" i="18"/>
  <c r="K30" i="18"/>
  <c r="M30" i="18"/>
  <c r="O30" i="18"/>
  <c r="F30" i="18"/>
  <c r="H24" i="6"/>
  <c r="I24" i="6"/>
  <c r="I34" i="6"/>
  <c r="I80" i="6"/>
  <c r="B15" i="10"/>
  <c r="L4" i="10"/>
  <c r="H81" i="6"/>
  <c r="I81" i="6"/>
  <c r="I82" i="6"/>
  <c r="F40" i="18"/>
  <c r="D102" i="10"/>
  <c r="E101" i="10"/>
  <c r="E69" i="10"/>
  <c r="D55" i="10"/>
  <c r="D65" i="10"/>
  <c r="E41" i="10"/>
  <c r="E40" i="10"/>
  <c r="E109" i="10"/>
  <c r="E36" i="10"/>
  <c r="D80" i="10"/>
  <c r="E86" i="10"/>
  <c r="D31" i="10"/>
  <c r="D26" i="10"/>
  <c r="E75" i="10"/>
  <c r="D83" i="10"/>
  <c r="E37" i="10"/>
  <c r="D92" i="10"/>
  <c r="E106" i="10"/>
  <c r="E43" i="10"/>
  <c r="E87" i="10"/>
  <c r="D79" i="10"/>
  <c r="D109" i="10"/>
  <c r="D28" i="10"/>
  <c r="E74" i="10"/>
  <c r="E92" i="10"/>
  <c r="E17" i="10"/>
  <c r="D73" i="10"/>
  <c r="E47" i="10"/>
  <c r="D33" i="10"/>
  <c r="E52" i="10"/>
  <c r="E24" i="10"/>
  <c r="E64" i="10"/>
  <c r="D99" i="10"/>
  <c r="D17" i="10"/>
  <c r="D77" i="10"/>
  <c r="E65" i="10"/>
  <c r="E19" i="10"/>
  <c r="E93" i="10"/>
  <c r="D93" i="10"/>
  <c r="E73" i="10"/>
  <c r="E63" i="10"/>
  <c r="D67" i="10"/>
  <c r="D100" i="10"/>
  <c r="E83" i="10"/>
  <c r="D74" i="10"/>
  <c r="D76" i="10"/>
  <c r="D52" i="10"/>
  <c r="E54" i="10"/>
  <c r="E30" i="10"/>
  <c r="E25" i="10"/>
  <c r="D42" i="10"/>
  <c r="E42" i="10"/>
  <c r="E71" i="10"/>
  <c r="E96" i="10"/>
  <c r="D56" i="10"/>
  <c r="E22" i="10"/>
  <c r="E16" i="10"/>
  <c r="D97" i="10"/>
  <c r="D95" i="10"/>
  <c r="E51" i="10"/>
  <c r="E26" i="10"/>
  <c r="D35" i="10"/>
  <c r="E107" i="10"/>
  <c r="E99" i="10"/>
  <c r="E49" i="10"/>
  <c r="E46" i="10"/>
  <c r="E100" i="10"/>
  <c r="E21" i="10"/>
  <c r="E72" i="10"/>
  <c r="D19" i="10"/>
  <c r="D60" i="10"/>
  <c r="E68" i="10"/>
  <c r="E33" i="10"/>
  <c r="D104" i="10"/>
  <c r="E66" i="10"/>
  <c r="D63" i="10"/>
  <c r="E38" i="10"/>
  <c r="E44" i="10"/>
  <c r="E98" i="10"/>
  <c r="D20" i="10"/>
  <c r="D94" i="10"/>
  <c r="E60" i="10"/>
  <c r="D51" i="10"/>
  <c r="D69" i="10"/>
  <c r="E45" i="10"/>
  <c r="D53" i="10"/>
  <c r="E62" i="10"/>
  <c r="D45" i="10"/>
  <c r="D90" i="10"/>
  <c r="E70" i="10"/>
  <c r="E85" i="10"/>
  <c r="D24" i="10"/>
  <c r="D37" i="10"/>
  <c r="D96" i="10"/>
  <c r="D82" i="10"/>
  <c r="E90" i="10"/>
  <c r="D54" i="10"/>
  <c r="E61" i="10"/>
  <c r="D25" i="10"/>
  <c r="E88" i="10"/>
  <c r="E82" i="10"/>
  <c r="E78" i="10"/>
  <c r="E31" i="10"/>
  <c r="D66" i="10"/>
  <c r="D23" i="10"/>
  <c r="E97" i="10"/>
  <c r="D59" i="10"/>
  <c r="D68" i="10"/>
  <c r="E34" i="10"/>
  <c r="D58" i="10"/>
  <c r="D62" i="10"/>
  <c r="D49" i="10"/>
  <c r="D30" i="10"/>
  <c r="E58" i="10"/>
  <c r="E57" i="10"/>
  <c r="D107" i="10"/>
  <c r="D71" i="10"/>
  <c r="D38" i="10"/>
  <c r="E28" i="10"/>
  <c r="D22" i="10"/>
  <c r="D44" i="10"/>
  <c r="D43" i="10"/>
  <c r="D16" i="10"/>
  <c r="E77" i="10"/>
  <c r="D91" i="10"/>
  <c r="D88" i="10"/>
  <c r="E79" i="10"/>
  <c r="E56" i="10"/>
  <c r="D48" i="10"/>
  <c r="E76" i="10"/>
  <c r="E32" i="10"/>
  <c r="E102" i="10"/>
  <c r="D106" i="10"/>
  <c r="E27" i="10"/>
  <c r="E18" i="10"/>
  <c r="E110" i="10"/>
  <c r="D50" i="10"/>
  <c r="D27" i="10"/>
  <c r="D57" i="10"/>
  <c r="D72" i="10"/>
  <c r="E108" i="10"/>
  <c r="D78" i="10"/>
  <c r="D89" i="10"/>
  <c r="E80" i="10"/>
  <c r="D110" i="10"/>
  <c r="D47" i="10"/>
  <c r="E35" i="10"/>
  <c r="D103" i="10"/>
  <c r="D18" i="10"/>
  <c r="E50" i="10"/>
  <c r="D98" i="10"/>
  <c r="D108" i="10"/>
  <c r="E48" i="10"/>
  <c r="D86" i="10"/>
  <c r="E29" i="10"/>
  <c r="E89" i="10"/>
  <c r="E67" i="10"/>
  <c r="E81" i="10"/>
  <c r="E104" i="10"/>
  <c r="E59" i="10"/>
  <c r="D85" i="10"/>
  <c r="D41" i="10"/>
  <c r="D29" i="10"/>
  <c r="E105" i="10"/>
  <c r="E23" i="10"/>
  <c r="D101" i="10"/>
  <c r="E39" i="10"/>
  <c r="E95" i="10"/>
  <c r="D81" i="10"/>
  <c r="D46" i="10"/>
  <c r="D36" i="10"/>
  <c r="D21" i="10"/>
  <c r="E84" i="10"/>
  <c r="E20" i="10"/>
  <c r="E55" i="10"/>
  <c r="D84" i="10"/>
  <c r="D105" i="10"/>
  <c r="E53" i="10"/>
  <c r="D61" i="10"/>
  <c r="D75" i="10"/>
  <c r="D39" i="10"/>
  <c r="E91" i="10"/>
  <c r="E94" i="10"/>
  <c r="D70" i="10"/>
  <c r="E103" i="10"/>
  <c r="D32" i="10"/>
  <c r="D87" i="10"/>
  <c r="D34" i="10"/>
  <c r="D40" i="10"/>
  <c r="D64" i="10"/>
  <c r="L15" i="10"/>
  <c r="H16" i="20"/>
  <c r="B111" i="10"/>
  <c r="E11" i="30"/>
  <c r="L83" i="10"/>
  <c r="J84" i="20"/>
  <c r="W84" i="20"/>
  <c r="H112" i="20"/>
  <c r="B16" i="30"/>
  <c r="B20" i="30"/>
  <c r="S16" i="20"/>
  <c r="L76" i="10"/>
  <c r="J77" i="20"/>
  <c r="W77" i="20"/>
  <c r="J41" i="20"/>
  <c r="W41" i="20"/>
  <c r="L40" i="10"/>
  <c r="J22" i="20"/>
  <c r="W22" i="20"/>
  <c r="L21" i="10"/>
  <c r="J32" i="20"/>
  <c r="W32" i="20"/>
  <c r="L31" i="10"/>
  <c r="L59" i="10"/>
  <c r="J60" i="20"/>
  <c r="W60" i="20"/>
  <c r="J47" i="20"/>
  <c r="W47" i="20"/>
  <c r="L46" i="10"/>
  <c r="L67" i="10"/>
  <c r="J68" i="20"/>
  <c r="W68" i="20"/>
  <c r="L81" i="10"/>
  <c r="J82" i="20"/>
  <c r="W82" i="20"/>
  <c r="L28" i="10"/>
  <c r="J29" i="20"/>
  <c r="W29" i="20"/>
  <c r="L84" i="10"/>
  <c r="J85" i="20"/>
  <c r="W85" i="20"/>
  <c r="J83" i="20"/>
  <c r="W83" i="20"/>
  <c r="L82" i="10"/>
  <c r="L96" i="10"/>
  <c r="J97" i="20"/>
  <c r="W97" i="20"/>
  <c r="L74" i="10"/>
  <c r="J75" i="20"/>
  <c r="W75" i="20"/>
  <c r="J96" i="20"/>
  <c r="W96" i="20"/>
  <c r="L95" i="10"/>
  <c r="J87" i="20"/>
  <c r="W87" i="20"/>
  <c r="L86" i="10"/>
  <c r="J105" i="20"/>
  <c r="W105" i="20"/>
  <c r="L104" i="10"/>
  <c r="L50" i="10"/>
  <c r="J51" i="20"/>
  <c r="W51" i="20"/>
  <c r="L109" i="10"/>
  <c r="J110" i="20"/>
  <c r="W110" i="20"/>
  <c r="L62" i="10"/>
  <c r="J63" i="20"/>
  <c r="W63" i="20"/>
  <c r="L57" i="10"/>
  <c r="J58" i="20"/>
  <c r="W58" i="20"/>
  <c r="J45" i="20"/>
  <c r="W45" i="20"/>
  <c r="L44" i="10"/>
  <c r="L90" i="10"/>
  <c r="J91" i="20"/>
  <c r="W91" i="20"/>
  <c r="L71" i="10"/>
  <c r="J72" i="20"/>
  <c r="W72" i="20"/>
  <c r="J80" i="20"/>
  <c r="W80" i="20"/>
  <c r="L79" i="10"/>
  <c r="L65" i="10"/>
  <c r="J66" i="20"/>
  <c r="W66" i="20"/>
  <c r="J53" i="20"/>
  <c r="W53" i="20"/>
  <c r="L52" i="10"/>
  <c r="J79" i="20"/>
  <c r="W79" i="20"/>
  <c r="L78" i="10"/>
  <c r="J59" i="20"/>
  <c r="W59" i="20"/>
  <c r="L58" i="10"/>
  <c r="J92" i="20"/>
  <c r="W92" i="20"/>
  <c r="L91" i="10"/>
  <c r="L26" i="10"/>
  <c r="J27" i="20"/>
  <c r="W27" i="20"/>
  <c r="L24" i="10"/>
  <c r="J25" i="20"/>
  <c r="W25" i="20"/>
  <c r="J88" i="20"/>
  <c r="W88" i="20"/>
  <c r="L87" i="10"/>
  <c r="L32" i="10"/>
  <c r="J33" i="20"/>
  <c r="W33" i="20"/>
  <c r="E111" i="10"/>
  <c r="E16" i="30"/>
  <c r="G16" i="30"/>
  <c r="H16" i="30"/>
  <c r="L22" i="10"/>
  <c r="J23" i="20"/>
  <c r="W23" i="20"/>
  <c r="L60" i="10"/>
  <c r="J61" i="20"/>
  <c r="W61" i="20"/>
  <c r="L38" i="10"/>
  <c r="J39" i="20"/>
  <c r="W39" i="20"/>
  <c r="L103" i="10"/>
  <c r="J104" i="20"/>
  <c r="W104" i="20"/>
  <c r="J108" i="20"/>
  <c r="W108" i="20"/>
  <c r="L107" i="10"/>
  <c r="L69" i="10"/>
  <c r="J70" i="20"/>
  <c r="W70" i="20"/>
  <c r="L55" i="10"/>
  <c r="J56" i="20"/>
  <c r="W56" i="20"/>
  <c r="L20" i="10"/>
  <c r="J21" i="20"/>
  <c r="W21" i="20"/>
  <c r="L33" i="10"/>
  <c r="J34" i="20"/>
  <c r="W34" i="20"/>
  <c r="L68" i="10"/>
  <c r="J69" i="20"/>
  <c r="W69" i="20"/>
  <c r="L73" i="10"/>
  <c r="J74" i="20"/>
  <c r="W74" i="20"/>
  <c r="L27" i="10"/>
  <c r="J28" i="20"/>
  <c r="W28" i="20"/>
  <c r="J71" i="20"/>
  <c r="W71" i="20"/>
  <c r="L70" i="10"/>
  <c r="L66" i="10"/>
  <c r="J67" i="20"/>
  <c r="W67" i="20"/>
  <c r="J57" i="20"/>
  <c r="W57" i="20"/>
  <c r="L56" i="10"/>
  <c r="L53" i="10"/>
  <c r="J54" i="20"/>
  <c r="W54" i="20"/>
  <c r="L39" i="10"/>
  <c r="J40" i="20"/>
  <c r="W40" i="20"/>
  <c r="L106" i="10"/>
  <c r="J107" i="20"/>
  <c r="W107" i="20"/>
  <c r="L61" i="10"/>
  <c r="J62" i="20"/>
  <c r="W62" i="20"/>
  <c r="J30" i="20"/>
  <c r="W30" i="20"/>
  <c r="L29" i="10"/>
  <c r="L25" i="10"/>
  <c r="J26" i="20"/>
  <c r="W26" i="20"/>
  <c r="L51" i="10"/>
  <c r="J52" i="20"/>
  <c r="W52" i="20"/>
  <c r="L42" i="10"/>
  <c r="J43" i="20"/>
  <c r="W43" i="20"/>
  <c r="J78" i="20"/>
  <c r="W78" i="20"/>
  <c r="L77" i="10"/>
  <c r="J50" i="20"/>
  <c r="W50" i="20"/>
  <c r="L49" i="10"/>
  <c r="J65" i="20"/>
  <c r="W65" i="20"/>
  <c r="L64" i="10"/>
  <c r="J89" i="20"/>
  <c r="W89" i="20"/>
  <c r="L88" i="10"/>
  <c r="L35" i="10"/>
  <c r="J36" i="20"/>
  <c r="W36" i="20"/>
  <c r="J73" i="20"/>
  <c r="W73" i="20"/>
  <c r="L72" i="10"/>
  <c r="D111" i="10"/>
  <c r="J17" i="20"/>
  <c r="L16" i="10"/>
  <c r="J101" i="20"/>
  <c r="W101" i="20"/>
  <c r="L100" i="10"/>
  <c r="J44" i="20"/>
  <c r="W44" i="20"/>
  <c r="L43" i="10"/>
  <c r="L97" i="10"/>
  <c r="J98" i="20"/>
  <c r="W98" i="20"/>
  <c r="J24" i="20"/>
  <c r="W24" i="20"/>
  <c r="L23" i="10"/>
  <c r="L108" i="10"/>
  <c r="J109" i="20"/>
  <c r="W109" i="20"/>
  <c r="L45" i="10"/>
  <c r="J46" i="20"/>
  <c r="W46" i="20"/>
  <c r="J99" i="20"/>
  <c r="W99" i="20"/>
  <c r="L98" i="10"/>
  <c r="L93" i="10"/>
  <c r="J94" i="20"/>
  <c r="W94" i="20"/>
  <c r="L101" i="10"/>
  <c r="J102" i="20"/>
  <c r="W102" i="20"/>
  <c r="L19" i="10"/>
  <c r="J20" i="20"/>
  <c r="W20" i="20"/>
  <c r="J19" i="20"/>
  <c r="W19" i="20"/>
  <c r="L18" i="10"/>
  <c r="J76" i="20"/>
  <c r="W76" i="20"/>
  <c r="L75" i="10"/>
  <c r="L41" i="10"/>
  <c r="J42" i="20"/>
  <c r="W42" i="20"/>
  <c r="L47" i="10"/>
  <c r="J48" i="20"/>
  <c r="W48" i="20"/>
  <c r="J18" i="20"/>
  <c r="W18" i="20"/>
  <c r="L17" i="10"/>
  <c r="L89" i="10"/>
  <c r="J90" i="20"/>
  <c r="W90" i="20"/>
  <c r="L37" i="10"/>
  <c r="J38" i="20"/>
  <c r="W38" i="20"/>
  <c r="J35" i="20"/>
  <c r="W35" i="20"/>
  <c r="L34" i="10"/>
  <c r="J64" i="20"/>
  <c r="W64" i="20"/>
  <c r="L63" i="10"/>
  <c r="J37" i="20"/>
  <c r="W37" i="20"/>
  <c r="L36" i="10"/>
  <c r="L80" i="10"/>
  <c r="J81" i="20"/>
  <c r="W81" i="20"/>
  <c r="G11" i="30"/>
  <c r="J106" i="20"/>
  <c r="W106" i="20"/>
  <c r="L105" i="10"/>
  <c r="J86" i="20"/>
  <c r="W86" i="20"/>
  <c r="L85" i="10"/>
  <c r="J111" i="20"/>
  <c r="W111" i="20"/>
  <c r="L110" i="10"/>
  <c r="L48" i="10"/>
  <c r="J49" i="20"/>
  <c r="W49" i="20"/>
  <c r="L30" i="10"/>
  <c r="J31" i="20"/>
  <c r="W31" i="20"/>
  <c r="L54" i="10"/>
  <c r="J55" i="20"/>
  <c r="W55" i="20"/>
  <c r="J95" i="20"/>
  <c r="W95" i="20"/>
  <c r="L94" i="10"/>
  <c r="L99" i="10"/>
  <c r="J100" i="20"/>
  <c r="W100" i="20"/>
  <c r="L92" i="10"/>
  <c r="J93" i="20"/>
  <c r="W93" i="20"/>
  <c r="J103" i="20"/>
  <c r="W103" i="20"/>
  <c r="L102" i="10"/>
  <c r="L111" i="10"/>
  <c r="X74" i="20"/>
  <c r="Y74" i="20"/>
  <c r="X36" i="20"/>
  <c r="Y36" i="20"/>
  <c r="X28" i="20"/>
  <c r="Y28" i="20"/>
  <c r="X104" i="20"/>
  <c r="Y104" i="20"/>
  <c r="X81" i="20"/>
  <c r="Y81" i="20"/>
  <c r="X32" i="20"/>
  <c r="Y32" i="20"/>
  <c r="X95" i="20"/>
  <c r="Y95" i="20"/>
  <c r="X76" i="20"/>
  <c r="Y76" i="20"/>
  <c r="X50" i="20"/>
  <c r="Y50" i="20"/>
  <c r="X83" i="20"/>
  <c r="Y83" i="20"/>
  <c r="X22" i="20"/>
  <c r="Y22" i="20"/>
  <c r="X24" i="20"/>
  <c r="Y24" i="20"/>
  <c r="X53" i="20"/>
  <c r="Y53" i="20"/>
  <c r="X110" i="20"/>
  <c r="Y110" i="20"/>
  <c r="X85" i="20"/>
  <c r="Y85" i="20"/>
  <c r="X62" i="20"/>
  <c r="Y62" i="20"/>
  <c r="X92" i="20"/>
  <c r="Y92" i="20"/>
  <c r="X60" i="20"/>
  <c r="Y60" i="20"/>
  <c r="X37" i="20"/>
  <c r="Y37" i="20"/>
  <c r="X31" i="20"/>
  <c r="Y31" i="20"/>
  <c r="X79" i="20"/>
  <c r="Y79" i="20"/>
  <c r="X78" i="20"/>
  <c r="Y78" i="20"/>
  <c r="X33" i="20"/>
  <c r="Y33" i="20"/>
  <c r="X66" i="20"/>
  <c r="Y66" i="20"/>
  <c r="X41" i="20"/>
  <c r="Y41" i="20"/>
  <c r="X64" i="20"/>
  <c r="Y64" i="20"/>
  <c r="X35" i="20"/>
  <c r="Y35" i="20"/>
  <c r="X43" i="20"/>
  <c r="Y43" i="20"/>
  <c r="X56" i="20"/>
  <c r="Y56" i="20"/>
  <c r="X51" i="20"/>
  <c r="Y51" i="20"/>
  <c r="X29" i="20"/>
  <c r="Y29" i="20"/>
  <c r="X77" i="20"/>
  <c r="Y77" i="20"/>
  <c r="X55" i="20"/>
  <c r="Y55" i="20"/>
  <c r="X58" i="20"/>
  <c r="Y58" i="20"/>
  <c r="X61" i="20"/>
  <c r="Y61" i="20"/>
  <c r="X98" i="20"/>
  <c r="Y98" i="20"/>
  <c r="X102" i="20"/>
  <c r="Y102" i="20"/>
  <c r="X90" i="20"/>
  <c r="Y90" i="20"/>
  <c r="X94" i="20"/>
  <c r="Y94" i="20"/>
  <c r="X57" i="20"/>
  <c r="Y57" i="20"/>
  <c r="X30" i="20"/>
  <c r="Y30" i="20"/>
  <c r="X96" i="20"/>
  <c r="Y96" i="20"/>
  <c r="X47" i="20"/>
  <c r="Y47" i="20"/>
  <c r="X97" i="20"/>
  <c r="Y97" i="20"/>
  <c r="X34" i="20"/>
  <c r="Y34" i="20"/>
  <c r="X44" i="20"/>
  <c r="Y44" i="20"/>
  <c r="X86" i="20"/>
  <c r="Y86" i="20"/>
  <c r="J112" i="20"/>
  <c r="W17" i="20"/>
  <c r="X52" i="20"/>
  <c r="Y52" i="20"/>
  <c r="X67" i="20"/>
  <c r="Y67" i="20"/>
  <c r="X70" i="20"/>
  <c r="Y70" i="20"/>
  <c r="X88" i="20"/>
  <c r="Y88" i="20"/>
  <c r="X80" i="20"/>
  <c r="Y80" i="20"/>
  <c r="X82" i="20"/>
  <c r="Y82" i="20"/>
  <c r="T16" i="20"/>
  <c r="T112" i="20"/>
  <c r="S112" i="20"/>
  <c r="X69" i="20"/>
  <c r="Y69" i="20"/>
  <c r="X65" i="20"/>
  <c r="Y65" i="20"/>
  <c r="X19" i="20"/>
  <c r="Y19" i="20"/>
  <c r="X49" i="20"/>
  <c r="Y49" i="20"/>
  <c r="X21" i="20"/>
  <c r="Y21" i="20"/>
  <c r="X101" i="20"/>
  <c r="Y101" i="20"/>
  <c r="E15" i="30"/>
  <c r="B36" i="30"/>
  <c r="B40" i="30"/>
  <c r="X25" i="20"/>
  <c r="Y25" i="20"/>
  <c r="X72" i="20"/>
  <c r="Y72" i="20"/>
  <c r="X105" i="20"/>
  <c r="Y105" i="20"/>
  <c r="B21" i="30"/>
  <c r="B22" i="30"/>
  <c r="X109" i="20"/>
  <c r="Y109" i="20"/>
  <c r="X39" i="20"/>
  <c r="Y39" i="20"/>
  <c r="X45" i="20"/>
  <c r="Y45" i="20"/>
  <c r="X75" i="20"/>
  <c r="Y75" i="20"/>
  <c r="X89" i="20"/>
  <c r="Y89" i="20"/>
  <c r="X59" i="20"/>
  <c r="Y59" i="20"/>
  <c r="X40" i="20"/>
  <c r="Y40" i="20"/>
  <c r="X20" i="20"/>
  <c r="Y20" i="20"/>
  <c r="X38" i="20"/>
  <c r="Y38" i="20"/>
  <c r="X93" i="20"/>
  <c r="Y93" i="20"/>
  <c r="X106" i="20"/>
  <c r="Y106" i="20"/>
  <c r="X18" i="20"/>
  <c r="Y18" i="20"/>
  <c r="X99" i="20"/>
  <c r="Y99" i="20"/>
  <c r="X26" i="20"/>
  <c r="Y26" i="20"/>
  <c r="X68" i="20"/>
  <c r="Y68" i="20"/>
  <c r="X84" i="20"/>
  <c r="Y84" i="20"/>
  <c r="X42" i="20"/>
  <c r="Y42" i="20"/>
  <c r="X107" i="20"/>
  <c r="Y107" i="20"/>
  <c r="X63" i="20"/>
  <c r="Y63" i="20"/>
  <c r="X23" i="20"/>
  <c r="Y23" i="20"/>
  <c r="X54" i="20"/>
  <c r="Y54" i="20"/>
  <c r="X111" i="20"/>
  <c r="Y111" i="20"/>
  <c r="X103" i="20"/>
  <c r="Y103" i="20"/>
  <c r="X100" i="20"/>
  <c r="Y100" i="20"/>
  <c r="H11" i="30"/>
  <c r="X48" i="20"/>
  <c r="Y48" i="20"/>
  <c r="X46" i="20"/>
  <c r="Y46" i="20"/>
  <c r="X73" i="20"/>
  <c r="Y73" i="20"/>
  <c r="X71" i="20"/>
  <c r="Y71" i="20"/>
  <c r="X108" i="20"/>
  <c r="Y108" i="20"/>
  <c r="X27" i="20"/>
  <c r="Y27" i="20"/>
  <c r="X91" i="20"/>
  <c r="Y91" i="20"/>
  <c r="X87" i="20"/>
  <c r="Y87" i="20"/>
  <c r="X17" i="20"/>
  <c r="X112" i="20"/>
  <c r="W112" i="20"/>
  <c r="Y17" i="20"/>
  <c r="Y16" i="20"/>
  <c r="Y112" i="20"/>
  <c r="B41" i="30"/>
  <c r="B42" i="30"/>
  <c r="B43" i="30"/>
  <c r="B44" i="30"/>
  <c r="G15" i="30"/>
  <c r="E18" i="30"/>
  <c r="H15" i="30"/>
  <c r="H18" i="30"/>
  <c r="G1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Hendricks, Bridgette</author>
  </authors>
  <commentList>
    <comment ref="C149" authorId="0" shapeId="0" xr:uid="{83724A30-DA77-4E4A-ABD4-6E278927C82D}">
      <text>
        <r>
          <rPr>
            <b/>
            <sz val="9"/>
            <color indexed="81"/>
            <rFont val="Tahoma"/>
            <family val="2"/>
          </rPr>
          <t>Hendricks, Bridgette:</t>
        </r>
        <r>
          <rPr>
            <sz val="9"/>
            <color indexed="81"/>
            <rFont val="Tahoma"/>
            <family val="2"/>
          </rPr>
          <t xml:space="preserve">
The sulfate into the HDS system will be predominantly from the NMA source but also from the brine reycle.  The brine recycle sulfate will be 4 to 5 times the RO feed sulfate which will be somewhere between the HDS effluent value projected to be 1,600 mg/L and 1,100 mg/L for the SMA water - assume the average of 1,350 mg/L.  So the brine recycle will be in the range of 5,400 to 6,750  mg/L depending on the RO recovery.  For the purposes of simplfying assumptions the max sulfate value is used for this calculation.</t>
        </r>
      </text>
    </comment>
    <comment ref="F153" authorId="0" shapeId="0" xr:uid="{411BE658-6364-457C-B33B-7D1E0AB49C86}">
      <text>
        <r>
          <rPr>
            <b/>
            <sz val="9"/>
            <color indexed="81"/>
            <rFont val="Tahoma"/>
            <family val="2"/>
          </rPr>
          <t>Hendricks, Bridgette:</t>
        </r>
        <r>
          <rPr>
            <sz val="9"/>
            <color indexed="81"/>
            <rFont val="Tahoma"/>
            <family val="2"/>
          </rPr>
          <t xml:space="preserve">
Note that the sizing of the HDS equipment takes into account the flow from the NMA raw water, the sludge recycle, and the brine recycle, however, the sulfate load is not attributed to the sludge recycle.  </t>
        </r>
      </text>
    </comment>
  </commentList>
</comments>
</file>

<file path=xl/sharedStrings.xml><?xml version="1.0" encoding="utf-8"?>
<sst xmlns="http://schemas.openxmlformats.org/spreadsheetml/2006/main" count="2596" uniqueCount="684">
  <si>
    <t xml:space="preserve"> </t>
  </si>
  <si>
    <t>Date:</t>
  </si>
  <si>
    <t>Project No.:</t>
  </si>
  <si>
    <t>113-01153</t>
  </si>
  <si>
    <t>Subject:</t>
  </si>
  <si>
    <t>Capital and O&amp;M Cost Summary Table</t>
  </si>
  <si>
    <t>Project Short Title:</t>
  </si>
  <si>
    <t>Chino Mine Closure Closeout Plan</t>
  </si>
  <si>
    <t>SUMMARY BY SYSTEM</t>
  </si>
  <si>
    <t>SUMMARY BY CATEGORY</t>
  </si>
  <si>
    <t>Indirect</t>
  </si>
  <si>
    <t>Inputs</t>
  </si>
  <si>
    <t>Cost Category</t>
  </si>
  <si>
    <t>Cost</t>
  </si>
  <si>
    <t>Indirect %</t>
  </si>
  <si>
    <t>Indirect Cost</t>
  </si>
  <si>
    <t>Total Cost</t>
  </si>
  <si>
    <t>Capital Cost</t>
  </si>
  <si>
    <t>O&amp;M Cost (commodities, labor routine maint, replacement)</t>
  </si>
  <si>
    <t>O&amp;M - Reagents</t>
  </si>
  <si>
    <t>Capital Cost Elements</t>
  </si>
  <si>
    <t>2018 Chino CCP Update</t>
  </si>
  <si>
    <t>O&amp;M - Analytical</t>
  </si>
  <si>
    <t>Short-Term Evaporative Treatment System (ETS)</t>
  </si>
  <si>
    <t>O&amp;M - Power</t>
  </si>
  <si>
    <t>Long-Term ETS</t>
  </si>
  <si>
    <t>O&amp;M - Replacement O&amp;M</t>
  </si>
  <si>
    <t>South Mine Area Water Treatment System (STS)</t>
  </si>
  <si>
    <r>
      <t>O&amp;M - Routine Maintenance</t>
    </r>
    <r>
      <rPr>
        <vertAlign val="superscript"/>
        <sz val="11"/>
        <color rgb="FF000000"/>
        <rFont val="Arial"/>
        <family val="2"/>
      </rPr>
      <t>1</t>
    </r>
  </si>
  <si>
    <t>Water Collection/Conveyance for STS</t>
  </si>
  <si>
    <t>O&amp;M - Labor</t>
  </si>
  <si>
    <t>Sludge Disposal Facility for STS</t>
  </si>
  <si>
    <t>Total, Capital</t>
  </si>
  <si>
    <t>Salt Disposal Facility for ETS</t>
  </si>
  <si>
    <r>
      <rPr>
        <vertAlign val="superscript"/>
        <sz val="11"/>
        <color rgb="FF000000"/>
        <rFont val="Arial"/>
        <family val="2"/>
      </rPr>
      <t xml:space="preserve">1 </t>
    </r>
    <r>
      <rPr>
        <sz val="11"/>
        <color indexed="8"/>
        <rFont val="Arial"/>
        <family val="2"/>
      </rPr>
      <t>Disposal costs for the Salt Disposal Facility and Sludge Disposal Facility are included with Labor</t>
    </r>
  </si>
  <si>
    <t>Subtotal, Capital</t>
  </si>
  <si>
    <t>Indirect Costs, Capital</t>
  </si>
  <si>
    <t>O&amp;M Costs - Commodities (Reagents, Analytical, Power)</t>
  </si>
  <si>
    <t>Short-Term ETS</t>
  </si>
  <si>
    <t>Subtotal, O&amp;M Commodities</t>
  </si>
  <si>
    <t>Indirect Costs, O&amp;M Commodities</t>
  </si>
  <si>
    <t>Total, O&amp;M Commodities</t>
  </si>
  <si>
    <t>O&amp;M Costs - Replacement O&amp;M,  Routine Maintenance, Labor</t>
  </si>
  <si>
    <t>Subtotal, O&amp;M Labor, Routine Maintenance</t>
  </si>
  <si>
    <t>Indirect Costs, O&amp;M Labor, Routine Maintenance</t>
  </si>
  <si>
    <t>Total, O&amp;M Labor, Routine Maintenance</t>
  </si>
  <si>
    <t>Total, O&amp;M</t>
  </si>
  <si>
    <t>Total, Capital and O&amp;M in Current Costs</t>
  </si>
  <si>
    <t xml:space="preserve">Capital Cost </t>
  </si>
  <si>
    <t>O&amp;M Cost (power, reagents, analytical)</t>
  </si>
  <si>
    <t>Summary Cash Flow in Current Costs</t>
  </si>
  <si>
    <t>O&amp;M Cost (replacement O&amp;M, labor, routine maintenance)</t>
  </si>
  <si>
    <t>Year</t>
  </si>
  <si>
    <t>STS</t>
  </si>
  <si>
    <t>Water Conveyance</t>
  </si>
  <si>
    <t>Sludge Disposal Facility</t>
  </si>
  <si>
    <t>Salt Disposal Facility</t>
  </si>
  <si>
    <t>Total</t>
  </si>
  <si>
    <t>Capital</t>
  </si>
  <si>
    <t>Power</t>
  </si>
  <si>
    <t>Replacement O&amp;M, Routine Maintenance,  Labor</t>
  </si>
  <si>
    <t>Reagents, Analytical, Power</t>
  </si>
  <si>
    <t>Replacement O&amp;M, Routine Maintenance, Labor</t>
  </si>
  <si>
    <t>Capital Cost Subtotal</t>
  </si>
  <si>
    <t>Capital Cost Indirects</t>
  </si>
  <si>
    <t>O&amp;M Cost Subtotal 
(Reagents, Analytical, Power)</t>
  </si>
  <si>
    <t>O&amp;M Subtotal 
(Reagents, Analytical, Power) Indirects</t>
  </si>
  <si>
    <t>O&amp;M Subtotal 
(Replacement O&amp;M, Routine Maintenance, Labor)</t>
  </si>
  <si>
    <t>O&amp;M Subtotal 
(Replacement O&amp;M, Routine Maintenance, Labor) Indirects</t>
  </si>
  <si>
    <t>Notes:</t>
  </si>
  <si>
    <t>New Cost</t>
  </si>
  <si>
    <t>Replacement O&amp;M Percentage</t>
  </si>
  <si>
    <t>Short Term ETS Direct Cost Cash Flow by Year in Current Cost Dollars</t>
  </si>
  <si>
    <t>Routine Maintenance Percentage</t>
  </si>
  <si>
    <t>Avg ($/kWh) Year 1 through 6</t>
  </si>
  <si>
    <t>Avg ($/kWh) Year 7 through 100</t>
  </si>
  <si>
    <t>Year Following Closure</t>
  </si>
  <si>
    <t xml:space="preserve">Capital </t>
  </si>
  <si>
    <r>
      <t>Replacement O&amp;M</t>
    </r>
    <r>
      <rPr>
        <b/>
        <vertAlign val="superscript"/>
        <sz val="10"/>
        <color theme="0"/>
        <rFont val="Arial"/>
        <family val="2"/>
      </rPr>
      <t>1</t>
    </r>
  </si>
  <si>
    <r>
      <t>Routine Maintenance</t>
    </r>
    <r>
      <rPr>
        <b/>
        <vertAlign val="superscript"/>
        <sz val="10"/>
        <color theme="0"/>
        <rFont val="Arial"/>
        <family val="2"/>
      </rPr>
      <t>1</t>
    </r>
  </si>
  <si>
    <t>O&amp;M Labor</t>
  </si>
  <si>
    <t>Annual Power Usage (kWh)</t>
  </si>
  <si>
    <t xml:space="preserve">Electricity Annual Cost </t>
  </si>
  <si>
    <t>Total Annual Cost</t>
  </si>
  <si>
    <r>
      <rPr>
        <vertAlign val="superscript"/>
        <sz val="10"/>
        <color theme="1"/>
        <rFont val="Arial"/>
        <family val="2"/>
      </rPr>
      <t>1</t>
    </r>
    <r>
      <rPr>
        <sz val="10"/>
        <color theme="1"/>
        <rFont val="Arial"/>
        <family val="2"/>
      </rPr>
      <t xml:space="preserve"> Replacement O&amp;M allowance for the Short-Term ETS is estimated at zero given this is a short-term system and capital replacement is not expected.  Routine maintenance is estimated at a percentage of the initial direct capital cost.   </t>
    </r>
  </si>
  <si>
    <t xml:space="preserve">Cost estimate backup details are included in Attachment B to the Chino Water Treatment Cost Basis Document. </t>
  </si>
  <si>
    <t>Costs do not include indirect costs</t>
  </si>
  <si>
    <t>Labor Cost Estimate - ETS and Salt Disposal Facility Operations</t>
  </si>
  <si>
    <r>
      <t>Day shift - 1.5 operator (7 day/wk shift coverage)</t>
    </r>
    <r>
      <rPr>
        <vertAlign val="superscript"/>
        <sz val="10"/>
        <rFont val="Arial"/>
        <family val="2"/>
      </rPr>
      <t>1</t>
    </r>
  </si>
  <si>
    <t>Operators</t>
  </si>
  <si>
    <r>
      <t>Operator Rate</t>
    </r>
    <r>
      <rPr>
        <vertAlign val="superscript"/>
        <sz val="10"/>
        <color theme="1"/>
        <rFont val="Arial"/>
        <family val="2"/>
      </rPr>
      <t>2</t>
    </r>
  </si>
  <si>
    <t>/hr</t>
  </si>
  <si>
    <t>Operator Hours (1.5 FTE)</t>
  </si>
  <si>
    <t>hr/op</t>
  </si>
  <si>
    <t>Operator Total Cost</t>
  </si>
  <si>
    <t>Sub-Total Operator Cost</t>
  </si>
  <si>
    <t>Overtime for operators</t>
  </si>
  <si>
    <t>Overtime hours for operators</t>
  </si>
  <si>
    <t>Operator Overtime Total Cost</t>
  </si>
  <si>
    <t>Overtime Cost</t>
  </si>
  <si>
    <t>Supervisors</t>
  </si>
  <si>
    <r>
      <t>Supervisor Rate</t>
    </r>
    <r>
      <rPr>
        <vertAlign val="superscript"/>
        <sz val="10"/>
        <color theme="1"/>
        <rFont val="Arial"/>
        <family val="2"/>
      </rPr>
      <t>3</t>
    </r>
  </si>
  <si>
    <t xml:space="preserve">Supervisor Hours </t>
  </si>
  <si>
    <t>hr/sup</t>
  </si>
  <si>
    <t>Supervisor Total Cost</t>
  </si>
  <si>
    <r>
      <t>Benefits fringe rate per hour</t>
    </r>
    <r>
      <rPr>
        <vertAlign val="superscript"/>
        <sz val="10"/>
        <color theme="1"/>
        <rFont val="Arial"/>
        <family val="2"/>
      </rPr>
      <t>2</t>
    </r>
  </si>
  <si>
    <t>Hours per year</t>
  </si>
  <si>
    <t>hrs/yr</t>
  </si>
  <si>
    <t>Benefits Cost</t>
  </si>
  <si>
    <t>Total Operator Labor Cost</t>
  </si>
  <si>
    <r>
      <rPr>
        <vertAlign val="superscript"/>
        <sz val="10"/>
        <rFont val="Arial"/>
        <family val="2"/>
      </rPr>
      <t>1</t>
    </r>
    <r>
      <rPr>
        <sz val="10"/>
        <rFont val="Arial"/>
        <family val="2"/>
      </rPr>
      <t xml:space="preserve"> Operator numbers are estimated from Golder's experience with operating similar plants. </t>
    </r>
  </si>
  <si>
    <r>
      <rPr>
        <vertAlign val="superscript"/>
        <sz val="10"/>
        <rFont val="Arial"/>
        <family val="2"/>
      </rPr>
      <t>2</t>
    </r>
    <r>
      <rPr>
        <sz val="10"/>
        <rFont val="Arial"/>
        <family val="2"/>
      </rPr>
      <t xml:space="preserve"> Wages from 2019 New Mexico Type "A" Street, Highway, Utility &amp; Light Engineering Prevailing Wages. Operator Group I.
https://www.dws.state.nm.us/Portals/0/DM/LaborRelations/Prevailing_Wage_Poster_A_2019_final.pdf</t>
    </r>
  </si>
  <si>
    <r>
      <rPr>
        <vertAlign val="superscript"/>
        <sz val="10"/>
        <rFont val="Arial"/>
        <family val="2"/>
      </rPr>
      <t>3</t>
    </r>
    <r>
      <rPr>
        <sz val="10"/>
        <rFont val="Arial"/>
        <family val="2"/>
      </rPr>
      <t xml:space="preserve"> Wages from 2019 New Mexico Type "A" Street, Highway, Utility &amp; Light Engineering Prevailing Wages. Operator Group X.
https://www.dws.state.nm.us/Portals/0/DM/LaborRelations/Prevailing_Wage_Poster_A_2019_final.pdf</t>
    </r>
  </si>
  <si>
    <t>Total Pumps and Pipeline Costs if New</t>
  </si>
  <si>
    <t>Total Sprayer Costs if New</t>
  </si>
  <si>
    <t>Total Tank and Reservoir Cost if New</t>
  </si>
  <si>
    <t>Long Term ETS Direct Cost Cash Flow by Year in Current Cost Dollars</t>
  </si>
  <si>
    <t>Replacement O&amp;M</t>
  </si>
  <si>
    <r>
      <t>Pumps and Pipeline Replacement O&amp;M</t>
    </r>
    <r>
      <rPr>
        <b/>
        <vertAlign val="superscript"/>
        <sz val="10"/>
        <color theme="0"/>
        <rFont val="Arial"/>
        <family val="2"/>
      </rPr>
      <t>1</t>
    </r>
  </si>
  <si>
    <r>
      <t>Sprayers Replacement O&amp;M</t>
    </r>
    <r>
      <rPr>
        <b/>
        <vertAlign val="superscript"/>
        <sz val="10"/>
        <color theme="0"/>
        <rFont val="Arial"/>
        <family val="2"/>
      </rPr>
      <t>1</t>
    </r>
  </si>
  <si>
    <r>
      <t>Tank and Reservoirs Replacement O&amp;M</t>
    </r>
    <r>
      <rPr>
        <b/>
        <vertAlign val="superscript"/>
        <sz val="10"/>
        <color theme="0"/>
        <rFont val="Arial"/>
        <family val="2"/>
      </rPr>
      <t>1</t>
    </r>
  </si>
  <si>
    <r>
      <t>Pumps and Pipeline Routine Maintenance</t>
    </r>
    <r>
      <rPr>
        <b/>
        <vertAlign val="superscript"/>
        <sz val="10"/>
        <color theme="0"/>
        <rFont val="Arial"/>
        <family val="2"/>
      </rPr>
      <t>2</t>
    </r>
  </si>
  <si>
    <r>
      <t>Sprayers Routine Maintenance</t>
    </r>
    <r>
      <rPr>
        <b/>
        <vertAlign val="superscript"/>
        <sz val="10"/>
        <color theme="0"/>
        <rFont val="Arial"/>
        <family val="2"/>
      </rPr>
      <t>2</t>
    </r>
  </si>
  <si>
    <r>
      <t>Tank and Reservoirs Routine Maintenance</t>
    </r>
    <r>
      <rPr>
        <b/>
        <vertAlign val="superscript"/>
        <sz val="10"/>
        <color theme="0"/>
        <rFont val="Arial"/>
        <family val="2"/>
      </rPr>
      <t>2</t>
    </r>
  </si>
  <si>
    <r>
      <t>O&amp;M Labor</t>
    </r>
    <r>
      <rPr>
        <b/>
        <vertAlign val="superscript"/>
        <sz val="10"/>
        <color theme="0"/>
        <rFont val="Arial"/>
        <family val="2"/>
      </rPr>
      <t>3</t>
    </r>
  </si>
  <si>
    <t>Pumping System Annual Power Usage (kWh)</t>
  </si>
  <si>
    <t>Mechanical Spray System Annual Power Usage (kWh)</t>
  </si>
  <si>
    <t>Included in Total Operating Cost</t>
  </si>
  <si>
    <r>
      <rPr>
        <vertAlign val="superscript"/>
        <sz val="10"/>
        <color theme="1"/>
        <rFont val="Arial"/>
        <family val="2"/>
      </rPr>
      <t>1</t>
    </r>
    <r>
      <rPr>
        <sz val="10"/>
        <color theme="1"/>
        <rFont val="Arial"/>
        <family val="2"/>
      </rPr>
      <t xml:space="preserve"> Replacement O&amp;M costs are estimated at 1.8% of the total capital cost for the complete long-term ETS (pumps, pipelines, tanks, reservoirs, and sprayers).  A higher percentage of capital cost is estimated given that existing pumps, pipelines, tanks and reservoirs will be utilized initially up until their associated life expectancies are met and will require replacement sooner than if new equipment was utilized initially.   All spray systems will be new at the start of the ETS, but a higher percentage capital cost is estimated to ensure conservatism and to align with existing existing pumps, pipelines, tanks and reservoirs O&amp;M Replacement estimates.</t>
    </r>
  </si>
  <si>
    <r>
      <rPr>
        <vertAlign val="superscript"/>
        <sz val="10"/>
        <color theme="1"/>
        <rFont val="Arial"/>
        <family val="2"/>
      </rPr>
      <t xml:space="preserve">2 </t>
    </r>
    <r>
      <rPr>
        <sz val="10"/>
        <color theme="1"/>
        <rFont val="Arial"/>
        <family val="2"/>
      </rPr>
      <t xml:space="preserve">Routine maintenance is estimated at 1.5% of the total capital cost for the complete long-term ETS (pumps, pipelines, tanks, reservoirs, and sprayers).  Routine maintenance includes materials needed for preventative maintenance such as mechanical seals, lubricant, valve sleeves, fuses, etc. </t>
    </r>
  </si>
  <si>
    <r>
      <t>3</t>
    </r>
    <r>
      <rPr>
        <sz val="10"/>
        <color theme="1"/>
        <rFont val="Arial"/>
        <family val="2"/>
      </rPr>
      <t xml:space="preserve"> O&amp;M Labor is included in the Total Operating Cost calculation.  </t>
    </r>
  </si>
  <si>
    <t>Salt Removal (cy/yr)</t>
  </si>
  <si>
    <t>Salt Disposal Direct Cost Cash Flow by Year in Current Cost Dollars</t>
  </si>
  <si>
    <r>
      <t xml:space="preserve"> Replacement O&amp;M</t>
    </r>
    <r>
      <rPr>
        <vertAlign val="superscript"/>
        <sz val="10"/>
        <color theme="0"/>
        <rFont val="Arial"/>
        <family val="2"/>
      </rPr>
      <t>1</t>
    </r>
  </si>
  <si>
    <r>
      <t>Routine Maintenance</t>
    </r>
    <r>
      <rPr>
        <b/>
        <vertAlign val="superscript"/>
        <sz val="10"/>
        <color theme="0"/>
        <rFont val="Arial"/>
        <family val="2"/>
      </rPr>
      <t>2</t>
    </r>
  </si>
  <si>
    <r>
      <t>O&amp;M Labor</t>
    </r>
    <r>
      <rPr>
        <b/>
        <vertAlign val="superscript"/>
        <sz val="10"/>
        <color theme="0"/>
        <rFont val="Arial"/>
        <family val="2"/>
      </rPr>
      <t>2</t>
    </r>
  </si>
  <si>
    <t>Annual Salt Production/ Removal (cy/yr)</t>
  </si>
  <si>
    <r>
      <t>Total Operating Cost</t>
    </r>
    <r>
      <rPr>
        <b/>
        <vertAlign val="superscript"/>
        <sz val="10"/>
        <color theme="0"/>
        <rFont val="Arial"/>
        <family val="2"/>
      </rPr>
      <t>3</t>
    </r>
  </si>
  <si>
    <r>
      <rPr>
        <vertAlign val="superscript"/>
        <sz val="10"/>
        <color theme="1"/>
        <rFont val="Arial"/>
        <family val="2"/>
      </rPr>
      <t>1</t>
    </r>
    <r>
      <rPr>
        <sz val="10"/>
        <color theme="1"/>
        <rFont val="Arial"/>
        <family val="2"/>
      </rPr>
      <t xml:space="preserve"> Replacement O&amp;M is estimated only at 0.25% of the total capital cost since the capital cost of the facility is high since it is a lined facility.  Costs associated with closure of each of the four individual cells comprising the salt disposal facility (approximately 106,800 cubic yards per cell).  Closure includes grading, three foot of earthen cover, and revegetation. Initial capital cost for construction of salt disposal facility (by RS Means) shown in Year 7.</t>
    </r>
  </si>
  <si>
    <r>
      <rPr>
        <vertAlign val="superscript"/>
        <sz val="10"/>
        <color theme="1"/>
        <rFont val="Arial"/>
        <family val="2"/>
      </rPr>
      <t>2</t>
    </r>
    <r>
      <rPr>
        <sz val="10"/>
        <color theme="1"/>
        <rFont val="Arial"/>
        <family val="2"/>
      </rPr>
      <t xml:space="preserve"> Routine Maintenance and O&amp;M Labor is included in the Total Operating Cost calculation.  </t>
    </r>
  </si>
  <si>
    <r>
      <rPr>
        <vertAlign val="superscript"/>
        <sz val="10"/>
        <color theme="1"/>
        <rFont val="Arial"/>
        <family val="2"/>
      </rPr>
      <t>3</t>
    </r>
    <r>
      <rPr>
        <sz val="10"/>
        <color theme="1"/>
        <rFont val="Arial"/>
        <family val="2"/>
      </rPr>
      <t xml:space="preserve"> Costs based on RS Means estimate of $8.055 per/cy for excavation, loading, hauling, and placing of salts at the Resevoir 6 HDPE-lined salt disposal facility. </t>
    </r>
  </si>
  <si>
    <t>Total Pump and Pipeline Costs if New</t>
  </si>
  <si>
    <t>Water Conveyance Direct Cost Cash Flow by Year in Current Cost Dollars</t>
  </si>
  <si>
    <r>
      <t>Capital</t>
    </r>
    <r>
      <rPr>
        <b/>
        <vertAlign val="superscript"/>
        <sz val="10"/>
        <color theme="0"/>
        <rFont val="Arial"/>
        <family val="2"/>
      </rPr>
      <t>1</t>
    </r>
  </si>
  <si>
    <r>
      <t>Pumps and Pipeline  Replacement O&amp;M</t>
    </r>
    <r>
      <rPr>
        <b/>
        <vertAlign val="superscript"/>
        <sz val="10"/>
        <color theme="0"/>
        <rFont val="Arial"/>
        <family val="2"/>
      </rPr>
      <t>2</t>
    </r>
  </si>
  <si>
    <r>
      <t>Tanks and Reservoir  Replacement O&amp;M</t>
    </r>
    <r>
      <rPr>
        <b/>
        <vertAlign val="superscript"/>
        <sz val="10"/>
        <color theme="0"/>
        <rFont val="Arial"/>
        <family val="2"/>
      </rPr>
      <t>2</t>
    </r>
  </si>
  <si>
    <r>
      <t>Pumps and Pipeline Routine Maintenance</t>
    </r>
    <r>
      <rPr>
        <b/>
        <vertAlign val="superscript"/>
        <sz val="10"/>
        <color theme="0"/>
        <rFont val="Arial"/>
        <family val="2"/>
      </rPr>
      <t>3</t>
    </r>
  </si>
  <si>
    <r>
      <t>Tanks and Reservoir Routine Maintenance</t>
    </r>
    <r>
      <rPr>
        <b/>
        <vertAlign val="superscript"/>
        <sz val="10"/>
        <color theme="0"/>
        <rFont val="Arial"/>
        <family val="2"/>
      </rPr>
      <t>3</t>
    </r>
  </si>
  <si>
    <r>
      <t>O&amp;M Labor</t>
    </r>
    <r>
      <rPr>
        <b/>
        <vertAlign val="superscript"/>
        <sz val="10"/>
        <color theme="0"/>
        <rFont val="Arial"/>
        <family val="2"/>
      </rPr>
      <t>4</t>
    </r>
  </si>
  <si>
    <t>O&amp;M Electrical Annual Cost</t>
  </si>
  <si>
    <t>N/A</t>
  </si>
  <si>
    <t>Inc. in STS Labor</t>
  </si>
  <si>
    <r>
      <rPr>
        <vertAlign val="superscript"/>
        <sz val="10"/>
        <color theme="1"/>
        <rFont val="Arial"/>
        <family val="2"/>
      </rPr>
      <t>1</t>
    </r>
    <r>
      <rPr>
        <sz val="10"/>
        <color theme="1"/>
        <rFont val="Arial"/>
        <family val="2"/>
      </rPr>
      <t xml:space="preserve"> Capital pipeline costs include discharge pipeline from STS to James Canyon Reservoir, energy dissipation structure, and a tank.</t>
    </r>
  </si>
  <si>
    <r>
      <rPr>
        <vertAlign val="superscript"/>
        <sz val="10"/>
        <color theme="1"/>
        <rFont val="Arial"/>
        <family val="2"/>
      </rPr>
      <t>2</t>
    </r>
    <r>
      <rPr>
        <sz val="10"/>
        <color theme="1"/>
        <rFont val="Arial"/>
        <family val="2"/>
      </rPr>
      <t xml:space="preserve"> Replacement O&amp;M costs are estimated at 1.8% of the total capital cost for the complete water conveyance system.  A higher percentage of capital cost is estimated given that existing pumps, pipelines, tanks and reservoirs will be utilized initially up until their associated life expectancies are met and will require replacement sooner than if new equipment was utilized initially. </t>
    </r>
  </si>
  <si>
    <r>
      <rPr>
        <vertAlign val="superscript"/>
        <sz val="10"/>
        <color theme="1"/>
        <rFont val="Arial"/>
        <family val="2"/>
      </rPr>
      <t xml:space="preserve">3 </t>
    </r>
    <r>
      <rPr>
        <sz val="10"/>
        <color theme="1"/>
        <rFont val="Arial"/>
        <family val="2"/>
      </rPr>
      <t xml:space="preserve">Routine maintenance is estimated at 1.5% of the total capital cost for the complete water conveyance system.  Routine maintenance includes materials needed for preventative maintenance such as mechanical seals, lubricant, valve sleeves, fuses, etc. </t>
    </r>
  </si>
  <si>
    <r>
      <rPr>
        <vertAlign val="superscript"/>
        <sz val="10"/>
        <color theme="1"/>
        <rFont val="Arial"/>
        <family val="2"/>
      </rPr>
      <t xml:space="preserve">4 </t>
    </r>
    <r>
      <rPr>
        <sz val="10"/>
        <color theme="1"/>
        <rFont val="Arial"/>
        <family val="2"/>
      </rPr>
      <t>Labor for water conveyance is included in labor for the STS.  STS Labor is provided on the STS Cash Flow sheet.</t>
    </r>
  </si>
  <si>
    <t>Sludge disposal ($/cy)</t>
  </si>
  <si>
    <t>Sludge Disposal Direct Cost Cash Flow by Year in Current Cost Dollars</t>
  </si>
  <si>
    <r>
      <t>Replacement O&amp;M</t>
    </r>
    <r>
      <rPr>
        <vertAlign val="superscript"/>
        <sz val="10"/>
        <color theme="0"/>
        <rFont val="Arial"/>
        <family val="2"/>
      </rPr>
      <t>1</t>
    </r>
  </si>
  <si>
    <r>
      <t>Routine Maintenance</t>
    </r>
    <r>
      <rPr>
        <vertAlign val="superscript"/>
        <sz val="10"/>
        <color theme="0"/>
        <rFont val="Arial"/>
        <family val="2"/>
      </rPr>
      <t>2</t>
    </r>
  </si>
  <si>
    <t>Annual Sludge Production/ Removal (cy/yr)</t>
  </si>
  <si>
    <t>Total Operating Cost</t>
  </si>
  <si>
    <r>
      <rPr>
        <vertAlign val="superscript"/>
        <sz val="10"/>
        <color theme="1"/>
        <rFont val="Arial"/>
        <family val="2"/>
      </rPr>
      <t>1</t>
    </r>
    <r>
      <rPr>
        <sz val="10"/>
        <color theme="1"/>
        <rFont val="Arial"/>
        <family val="2"/>
      </rPr>
      <t xml:space="preserve"> Capital replacement is estimated at 1% of the total capital cost and includes estimated costs associated with closure of each of the four individual cells comprising the sludge disposal facility (approximately 347,256 cubic yards per cell).  Closure includes grading, three foot of earthen cover, and revegetation costs. Initial capital cost for construction of sludge disposal facility (by RS Means) shown in Year 6.</t>
    </r>
  </si>
  <si>
    <r>
      <rPr>
        <vertAlign val="superscript"/>
        <sz val="10"/>
        <color theme="1"/>
        <rFont val="Arial"/>
        <family val="2"/>
      </rPr>
      <t>2</t>
    </r>
    <r>
      <rPr>
        <sz val="10"/>
        <color theme="1"/>
        <rFont val="Arial"/>
        <family val="2"/>
      </rPr>
      <t xml:space="preserve"> Routine Maintenance and Operation and Maintanance Labor is included in the Total Operating Cost calculation.  Costs based on RS Means estimate of $5.34 per/cy for loading, hauling, and placing of sludge at the sludge disposal facility. </t>
    </r>
  </si>
  <si>
    <t>STS Direct Cost Cash Flow by Year in Current Cost Dollars</t>
  </si>
  <si>
    <t>Labor</t>
  </si>
  <si>
    <t xml:space="preserve"> Replacement O&amp;M</t>
  </si>
  <si>
    <t>Routine Maintenance</t>
  </si>
  <si>
    <t>Reagents</t>
  </si>
  <si>
    <t>Analytical</t>
  </si>
  <si>
    <t>Lime (CaO)</t>
  </si>
  <si>
    <t>Flocculent</t>
  </si>
  <si>
    <t>Acid (35% HCl)</t>
  </si>
  <si>
    <t>Membrane  Chemicals</t>
  </si>
  <si>
    <r>
      <rPr>
        <vertAlign val="superscript"/>
        <sz val="10"/>
        <color theme="1"/>
        <rFont val="Arial"/>
        <family val="2"/>
      </rPr>
      <t>1</t>
    </r>
    <r>
      <rPr>
        <sz val="10"/>
        <color theme="1"/>
        <rFont val="Arial"/>
        <family val="2"/>
      </rPr>
      <t xml:space="preserve"> Replacement O&amp;M and routine maintenance are estimated as a percentage of total direct capital cost. Capital replacement includes cell closure costs.</t>
    </r>
  </si>
  <si>
    <t>STS Capital Cost Estimate Details</t>
  </si>
  <si>
    <t>Item</t>
  </si>
  <si>
    <t>Description</t>
  </si>
  <si>
    <t>Qty</t>
  </si>
  <si>
    <t>UOM</t>
  </si>
  <si>
    <t>Unit $</t>
  </si>
  <si>
    <t>Extended</t>
  </si>
  <si>
    <t>Equipment Cost</t>
  </si>
  <si>
    <t>a</t>
  </si>
  <si>
    <t>each</t>
  </si>
  <si>
    <t>b</t>
  </si>
  <si>
    <t>ls</t>
  </si>
  <si>
    <t xml:space="preserve">Freight </t>
  </si>
  <si>
    <t>Total Direct Equipment</t>
  </si>
  <si>
    <t>Installation Cost</t>
  </si>
  <si>
    <t>Equipment Placement</t>
  </si>
  <si>
    <t>Materials/equipment</t>
  </si>
  <si>
    <t>c</t>
  </si>
  <si>
    <t>Crew size</t>
  </si>
  <si>
    <t>men</t>
  </si>
  <si>
    <t>Duration</t>
  </si>
  <si>
    <t>days</t>
  </si>
  <si>
    <t>Labor subtotal (Group II Laborers)</t>
  </si>
  <si>
    <t>hrs</t>
  </si>
  <si>
    <t>Tank Erection (Clarifier Tank)</t>
  </si>
  <si>
    <t>Ironworker</t>
  </si>
  <si>
    <t>Process Mechanical</t>
  </si>
  <si>
    <t>Labor subtotal (Plumber/Pipefitter)</t>
  </si>
  <si>
    <t>Process Electrical</t>
  </si>
  <si>
    <t>Labor subtotal [Electrician (Lineman/Tech)]</t>
  </si>
  <si>
    <t>Process Controls</t>
  </si>
  <si>
    <t>Per Diem (Facility Electrical, Plumber)</t>
  </si>
  <si>
    <t>Per Day</t>
  </si>
  <si>
    <t>Structural Steel</t>
  </si>
  <si>
    <t>Total Installation Cost</t>
  </si>
  <si>
    <t>Facility Cost</t>
  </si>
  <si>
    <t>Site Work</t>
  </si>
  <si>
    <t>2 x pad area</t>
  </si>
  <si>
    <r>
      <t>ft</t>
    </r>
    <r>
      <rPr>
        <vertAlign val="superscript"/>
        <sz val="10"/>
        <rFont val="Arial"/>
        <family val="2"/>
      </rPr>
      <t>2</t>
    </r>
  </si>
  <si>
    <t>acre</t>
  </si>
  <si>
    <t>Foundations</t>
  </si>
  <si>
    <t>Pad area</t>
  </si>
  <si>
    <t>Average thickness</t>
  </si>
  <si>
    <t>ft</t>
  </si>
  <si>
    <t>Foundation wall width</t>
  </si>
  <si>
    <t>Foundation wall depth</t>
  </si>
  <si>
    <t>Footer width</t>
  </si>
  <si>
    <t>Footer depth</t>
  </si>
  <si>
    <t>Additional allowance</t>
  </si>
  <si>
    <t>%</t>
  </si>
  <si>
    <t>Total concrete</t>
  </si>
  <si>
    <t>cy</t>
  </si>
  <si>
    <t>Building Envelope</t>
  </si>
  <si>
    <t>Building area</t>
  </si>
  <si>
    <t>Building Electrical</t>
  </si>
  <si>
    <t>Electrical Lineman (outside)</t>
  </si>
  <si>
    <t>Labor subtotal</t>
  </si>
  <si>
    <t>Building Plumbing</t>
  </si>
  <si>
    <t>Building HVAC</t>
  </si>
  <si>
    <t>Freight (building)</t>
  </si>
  <si>
    <t>d</t>
  </si>
  <si>
    <t>Commissioning</t>
  </si>
  <si>
    <t>Total Facility Cost</t>
  </si>
  <si>
    <t>Total Capital Cost</t>
  </si>
  <si>
    <t>Total Direct Cost</t>
  </si>
  <si>
    <t>Indirect Costs</t>
  </si>
  <si>
    <t>a = Cost based on quote from vendor.</t>
  </si>
  <si>
    <t>b = Cost based on experience with detailed design and construction of similar treatment systems.</t>
  </si>
  <si>
    <t>c = Hours based on experience with detailed design and construction of similar treatment systems, labor rates based on 2019 New Mexico rates.  Per diem based on 2019 New Mexico Subsisistence, Zone and Incentive Pay Rates (per diem applies Plumber/Pipefitter and Electrical Lineman (outside)</t>
  </si>
  <si>
    <t>d = Lump sum costs for freight have been included for the major process equipment and the building.  Freight on materials is not included.</t>
  </si>
  <si>
    <t>STS Equipment List</t>
  </si>
  <si>
    <t>Inflation</t>
  </si>
  <si>
    <t>Equipment Name</t>
  </si>
  <si>
    <t>Power, hp</t>
  </si>
  <si>
    <t>Footprint</t>
  </si>
  <si>
    <t>Quantity</t>
  </si>
  <si>
    <r>
      <t xml:space="preserve">Manufacturer/Vendor/ </t>
    </r>
    <r>
      <rPr>
        <b/>
        <i/>
        <sz val="10"/>
        <color theme="0"/>
        <rFont val="Arial"/>
        <family val="2"/>
      </rPr>
      <t>Quote Tab Number</t>
    </r>
  </si>
  <si>
    <t>Base Year</t>
  </si>
  <si>
    <t>Size Costed</t>
  </si>
  <si>
    <t>Base Cost</t>
  </si>
  <si>
    <t>Size Needed</t>
  </si>
  <si>
    <t>Unit</t>
  </si>
  <si>
    <t>New Cost / Base Year</t>
  </si>
  <si>
    <t># Years</t>
  </si>
  <si>
    <t>New Cost / New Year</t>
  </si>
  <si>
    <t>Notes</t>
  </si>
  <si>
    <t>Spray evaporators</t>
  </si>
  <si>
    <t>Including disconnects</t>
  </si>
  <si>
    <t>SMI quote from Amulsar` - yellow highlighted rows are in process by other groups</t>
  </si>
  <si>
    <t>gpm</t>
  </si>
  <si>
    <t>Weather control and automation package</t>
  </si>
  <si>
    <t>SMI quote from Amulsar`</t>
  </si>
  <si>
    <t>SDF</t>
  </si>
  <si>
    <t>Scaled from previous CCP</t>
  </si>
  <si>
    <t>tons</t>
  </si>
  <si>
    <t>Water conveyance</t>
  </si>
  <si>
    <t>Membrane System, UF and RO systems</t>
  </si>
  <si>
    <t>1,700 gpm, UF is 2 50% units and RO is 3 33% units for flexibility</t>
  </si>
  <si>
    <r>
      <t>WesTech Quote (</t>
    </r>
    <r>
      <rPr>
        <b/>
        <i/>
        <sz val="10"/>
        <color theme="1"/>
        <rFont val="Arial"/>
        <family val="2"/>
      </rPr>
      <t>Tab 1)</t>
    </r>
  </si>
  <si>
    <t>UF $826,5000, RO $995,000</t>
  </si>
  <si>
    <t>Reaction Tank</t>
  </si>
  <si>
    <t>Four 30,000 gallon tanks for flexibility, appx 120 min reaction time, baffles, ladder, platform, mixer mount and mixer</t>
  </si>
  <si>
    <r>
      <t xml:space="preserve">WesTech Quote  </t>
    </r>
    <r>
      <rPr>
        <b/>
        <i/>
        <sz val="10"/>
        <color theme="1"/>
        <rFont val="Arial"/>
        <family val="2"/>
      </rPr>
      <t>(Tab 1)</t>
    </r>
  </si>
  <si>
    <t>gal</t>
  </si>
  <si>
    <t>Quote is for 2 - 32,000 gallon tanks, need 4 for a total reaction time of 120 min</t>
  </si>
  <si>
    <t>Floc Tank</t>
  </si>
  <si>
    <t>5,000 gallon tank and mixer</t>
  </si>
  <si>
    <r>
      <t xml:space="preserve">Tank Equipment 2017 </t>
    </r>
    <r>
      <rPr>
        <b/>
        <i/>
        <sz val="10"/>
        <color theme="1"/>
        <rFont val="Arial"/>
        <family val="2"/>
      </rPr>
      <t>(Tab 2)</t>
    </r>
    <r>
      <rPr>
        <b/>
        <sz val="10"/>
        <color theme="1"/>
        <rFont val="Arial"/>
        <family val="2"/>
      </rPr>
      <t xml:space="preserve"> by adding $7k (based on previous engineering experience) to Floc Tank quote</t>
    </r>
  </si>
  <si>
    <t>Sludge Densification Tank</t>
  </si>
  <si>
    <t>2 tanks at 600 gal, with internal baffles, mixer mount and mixer, legs for gravity overflow to reaction tank</t>
  </si>
  <si>
    <t xml:space="preserve">Thickener/Clarifier </t>
  </si>
  <si>
    <t>70' diameter, with feedwell, bridge, ladder, platform</t>
  </si>
  <si>
    <r>
      <t xml:space="preserve">WesTech Quote  </t>
    </r>
    <r>
      <rPr>
        <b/>
        <i/>
        <sz val="10"/>
        <color theme="1"/>
        <rFont val="Arial"/>
        <family val="2"/>
      </rPr>
      <t>(Tab 1</t>
    </r>
    <r>
      <rPr>
        <b/>
        <sz val="10"/>
        <color theme="1"/>
        <rFont val="Arial"/>
        <family val="2"/>
      </rPr>
      <t>)</t>
    </r>
  </si>
  <si>
    <t xml:space="preserve">Sludge Pump </t>
  </si>
  <si>
    <r>
      <t xml:space="preserve">Denver Industrial Pumps </t>
    </r>
    <r>
      <rPr>
        <b/>
        <i/>
        <sz val="10"/>
        <color theme="1"/>
        <rFont val="Arial"/>
        <family val="2"/>
      </rPr>
      <t>(Tab 3)</t>
    </r>
  </si>
  <si>
    <t>Underflow Pump</t>
  </si>
  <si>
    <t>Polymer system</t>
  </si>
  <si>
    <r>
      <t xml:space="preserve">Fluid Dynamics 2014 Quote </t>
    </r>
    <r>
      <rPr>
        <b/>
        <i/>
        <sz val="10"/>
        <color theme="1"/>
        <rFont val="Arial"/>
        <family val="2"/>
      </rPr>
      <t>(Tab 4)</t>
    </r>
  </si>
  <si>
    <t>Lime Silo and Slaker System</t>
  </si>
  <si>
    <t>36,780  lb/day - 39 gpm, 10% slurry</t>
  </si>
  <si>
    <r>
      <t xml:space="preserve">Louisville Dryer Company Quote </t>
    </r>
    <r>
      <rPr>
        <b/>
        <i/>
        <sz val="10"/>
        <color theme="1"/>
        <rFont val="Arial"/>
        <family val="2"/>
      </rPr>
      <t>(Tab 5)</t>
    </r>
  </si>
  <si>
    <t>lb/hr</t>
  </si>
  <si>
    <t>pH control system (acid addition)</t>
  </si>
  <si>
    <r>
      <t xml:space="preserve">Prominent Quote 2017 </t>
    </r>
    <r>
      <rPr>
        <b/>
        <i/>
        <sz val="10"/>
        <color theme="1"/>
        <rFont val="Arial"/>
        <family val="2"/>
      </rPr>
      <t>(Tab 6)</t>
    </r>
  </si>
  <si>
    <t>Effluent Neutralization Tank</t>
  </si>
  <si>
    <t>28,000 gallon tank with mixer</t>
  </si>
  <si>
    <r>
      <t xml:space="preserve">WesTech Quote </t>
    </r>
    <r>
      <rPr>
        <b/>
        <i/>
        <sz val="10"/>
        <color theme="1"/>
        <rFont val="Arial"/>
        <family val="2"/>
      </rPr>
      <t xml:space="preserve"> (Tab 1)</t>
    </r>
  </si>
  <si>
    <t xml:space="preserve">Quote is for 2 - 32,000 gallon tanks, need 1 </t>
  </si>
  <si>
    <t>Sludge Holding Tank</t>
  </si>
  <si>
    <t>13,000 gal</t>
  </si>
  <si>
    <r>
      <t xml:space="preserve">Tank Equipment 2018 </t>
    </r>
    <r>
      <rPr>
        <b/>
        <i/>
        <sz val="10"/>
        <color theme="1"/>
        <rFont val="Arial"/>
        <family val="2"/>
      </rPr>
      <t>(Tab 7</t>
    </r>
    <r>
      <rPr>
        <b/>
        <sz val="10"/>
        <color theme="1"/>
        <rFont val="Arial"/>
        <family val="2"/>
      </rPr>
      <t>)</t>
    </r>
  </si>
  <si>
    <t>Filter Press System</t>
  </si>
  <si>
    <t>ft3</t>
  </si>
  <si>
    <t>Need 2 for max, 1 for avg conditions</t>
  </si>
  <si>
    <t>Filtrate Tank</t>
  </si>
  <si>
    <t>4,000 gal</t>
  </si>
  <si>
    <r>
      <t xml:space="preserve">Tank Equipment 2017 </t>
    </r>
    <r>
      <rPr>
        <b/>
        <i/>
        <sz val="10"/>
        <color theme="1"/>
        <rFont val="Arial"/>
        <family val="2"/>
      </rPr>
      <t>(Tab 2)</t>
    </r>
  </si>
  <si>
    <t>Filtrate Pump</t>
  </si>
  <si>
    <t>Process Water Tank</t>
  </si>
  <si>
    <t>3,000 gal</t>
  </si>
  <si>
    <r>
      <t xml:space="preserve">Tank Equipment 2017 </t>
    </r>
    <r>
      <rPr>
        <b/>
        <i/>
        <sz val="10"/>
        <color theme="1"/>
        <rFont val="Arial"/>
        <family val="2"/>
      </rPr>
      <t>(Tab 2</t>
    </r>
    <r>
      <rPr>
        <b/>
        <sz val="10"/>
        <color theme="1"/>
        <rFont val="Arial"/>
        <family val="2"/>
      </rPr>
      <t>)</t>
    </r>
  </si>
  <si>
    <t>Process Water Return Pump</t>
  </si>
  <si>
    <t>Air Compressor</t>
  </si>
  <si>
    <t>For diaphragm pumps, includes air receiver</t>
  </si>
  <si>
    <t>Estimation based on previous experience</t>
  </si>
  <si>
    <t>NA</t>
  </si>
  <si>
    <t>Electrical Equipment</t>
  </si>
  <si>
    <t>Valves and Piping</t>
  </si>
  <si>
    <t>Instrumentation</t>
  </si>
  <si>
    <t>Control System</t>
  </si>
  <si>
    <t>Freight</t>
  </si>
  <si>
    <t>Total Process Equip</t>
  </si>
  <si>
    <t xml:space="preserve">  </t>
  </si>
  <si>
    <t>STS Total</t>
  </si>
  <si>
    <t>Thickner outside</t>
  </si>
  <si>
    <t>Assume building load allowance is covered under safety factor of max hp listed for equipment</t>
  </si>
  <si>
    <t>NOTE - Quotes are available in referenced lettered tabs (Column F) in a separate PDF.</t>
  </si>
  <si>
    <t>Yearly Summary for STS</t>
  </si>
  <si>
    <t>STS Flow Balance</t>
  </si>
  <si>
    <t>STS Sulfate Concentration Balance</t>
  </si>
  <si>
    <t>STS Sludge</t>
  </si>
  <si>
    <t>STS Power Calculations</t>
  </si>
  <si>
    <t>NMA Flow to HDS, gpm</t>
  </si>
  <si>
    <t>SMA Flow to RO, gpm</t>
  </si>
  <si>
    <t>HDS Feed (Brine Recycle, NMA, Sludge Recycle), gpm</t>
  </si>
  <si>
    <t>Sludge Recycle, gpm</t>
  </si>
  <si>
    <t>HDS to RO, gpm</t>
  </si>
  <si>
    <t>HDS to RO Bypass, gpm</t>
  </si>
  <si>
    <t>RO Membrane (SMA + HDS -Bypass) Feed Flow, gpm</t>
  </si>
  <si>
    <t>Permeate, gpm</t>
  </si>
  <si>
    <t>Brine Flow, gpm</t>
  </si>
  <si>
    <t>Brine Flow (for calculation), gpm</t>
  </si>
  <si>
    <t>Effluent (Perm + RO Bypass) Flow, gpm</t>
  </si>
  <si>
    <t>NMA Sulfate, mg/L</t>
  </si>
  <si>
    <t>SMA Sulfate, mg/L</t>
  </si>
  <si>
    <t>HDS Feed Sulfate, mg/L</t>
  </si>
  <si>
    <t>HDS Effluent Sulfate, mg/L</t>
  </si>
  <si>
    <t>Membrane Feed Sulfate, mg/L</t>
  </si>
  <si>
    <t>Brine Sulfate, mg/L</t>
  </si>
  <si>
    <t>Effluent Sulfate, mg/L</t>
  </si>
  <si>
    <t xml:space="preserve">Sludge Dry Solids, lb/day </t>
  </si>
  <si>
    <t xml:space="preserve">Sludge Dry Solids (for calculation), lb/day </t>
  </si>
  <si>
    <t>Final Sludge @ 50% Moisture, lb/day</t>
  </si>
  <si>
    <t>Final Sludge @ 50% Moisture, cy/year</t>
  </si>
  <si>
    <t>Lime (CaO) Consumption, lb/day</t>
  </si>
  <si>
    <t>Lime (CaO) Consumption, ton/year</t>
  </si>
  <si>
    <t>Flocculent (Anionic Polymer) Consumption, lb/day</t>
  </si>
  <si>
    <t>Flocculent (Anionic Polymer) Consumption, ton/year</t>
  </si>
  <si>
    <t>Acid (35% HCl) Consumption, lb/day</t>
  </si>
  <si>
    <t>Acid (35%HCl) Consumption, ton/year</t>
  </si>
  <si>
    <t>Antiscalant, lb/year</t>
  </si>
  <si>
    <t>Biocide, lb/year</t>
  </si>
  <si>
    <t>MF High pH Cleaning Chem, lb/year</t>
  </si>
  <si>
    <t>MF Low pH Cleaning Chem, lb/year</t>
  </si>
  <si>
    <t>RO High pH Cleaning Chem, lb/year</t>
  </si>
  <si>
    <t>RO Low pH Cleaning Chem, lb/year</t>
  </si>
  <si>
    <t>Membrane Power (kwh/yr)</t>
  </si>
  <si>
    <t>HDS Power (kwh/yr)</t>
  </si>
  <si>
    <t>Total Power (kwh/year)</t>
  </si>
  <si>
    <t>Average</t>
  </si>
  <si>
    <t>Max</t>
  </si>
  <si>
    <t>Max flow used for sizing capital equipment; annual flows used for OPEX</t>
  </si>
  <si>
    <t>Flow values directly from Table 5a - Alt 1 (Chino), 4-Table 6_App D_Att A PSE 07142016_VR System.xlsx</t>
  </si>
  <si>
    <t>Values for HDS sludge, lime, etc. directly from Updated Chino Mixing v3 1 0leach_TS_REV07192016 (003).xlsx</t>
  </si>
  <si>
    <t>Others values were extrapolated and/or calculated</t>
  </si>
  <si>
    <t>Membrane Bypass</t>
  </si>
  <si>
    <t>Assuming 1600 mg/L SO4 in HDS Effluent, 1100 mg/L SO4 in STS Bypass, 10 mg/L SO4 in Perm</t>
  </si>
  <si>
    <t>RO Recovery</t>
  </si>
  <si>
    <t>Brine Concentration Factor</t>
  </si>
  <si>
    <t>Analytical Costs</t>
  </si>
  <si>
    <t>Tailings Location</t>
  </si>
  <si>
    <t>Stockpile Location</t>
  </si>
  <si>
    <t>Pit Location</t>
  </si>
  <si>
    <t>Plant Performance</t>
  </si>
  <si>
    <t>Number of total Samples</t>
  </si>
  <si>
    <t>Cost per Sample</t>
  </si>
  <si>
    <t>Total Cost Estimation</t>
  </si>
  <si>
    <t>Cost per sample</t>
  </si>
  <si>
    <t>Quarterly</t>
  </si>
  <si>
    <t>Semiannual</t>
  </si>
  <si>
    <t>Annual</t>
  </si>
  <si>
    <t>Monthly</t>
  </si>
  <si>
    <t>TOTAL</t>
  </si>
  <si>
    <t xml:space="preserve">STS O&amp;M Cost Inputs </t>
  </si>
  <si>
    <t>Reagent Inputs</t>
  </si>
  <si>
    <t>Lime (CaO) ($/ton)</t>
  </si>
  <si>
    <t>=</t>
  </si>
  <si>
    <t xml:space="preserve">2018 Lhoist Street Price </t>
  </si>
  <si>
    <t>Flocculent ($/lb)</t>
  </si>
  <si>
    <t>2018 NALCO Water</t>
  </si>
  <si>
    <t>Hydrochloric Acid - 35% ($/lb)</t>
  </si>
  <si>
    <t>2018 Univar Mining - HCl (35%) from bulk delivery (tote price $0.335/lb)</t>
  </si>
  <si>
    <t>MF High pH Cleaning Chemicals ($/lb)</t>
  </si>
  <si>
    <t>2018 Avista quote - pail price (assume bimonthly cleaning during high flows)</t>
  </si>
  <si>
    <t>MF Low pH Cleaning Chemicals ($/lb)</t>
  </si>
  <si>
    <t>RO High pH Cleaning Chemicals ($/lb)</t>
  </si>
  <si>
    <t>2018 Avista quote - pail price (assume quarterly cleaning during high flows)</t>
  </si>
  <si>
    <t>RO Low pH Cleaning Chemicals ($/lb)</t>
  </si>
  <si>
    <t>Biocide ($/lb)</t>
  </si>
  <si>
    <t>2018 Avista quote - tote price</t>
  </si>
  <si>
    <t>Antiscalant ($/lb)</t>
  </si>
  <si>
    <t>Electricity Input</t>
  </si>
  <si>
    <t>Electricity ($/kwh)</t>
  </si>
  <si>
    <t>PNM Method of Calculation (Avg ($/kWh) Years 1 through 6)</t>
  </si>
  <si>
    <t>https://www.dws.state.nm.us/Portals/0/DM/LaborRelations/Prevailing_Wage_Poster_H_2019_final.pdf</t>
  </si>
  <si>
    <t>PNM Method of Calculation (Avg ($/kWh) Years 7 through 100)</t>
  </si>
  <si>
    <t>Analytical Input</t>
  </si>
  <si>
    <t>Analytical Cost ($/sample)</t>
  </si>
  <si>
    <t>2018 Hall Environmental Analysis Laboratory</t>
  </si>
  <si>
    <t>Labor Inputs</t>
  </si>
  <si>
    <t>Operator Base Rate</t>
  </si>
  <si>
    <t>2019 NM Type "A" Street, Highway, Utility &amp; Light Engineering Prevailing Wages. Operator Group I. 
https://www.dws.state.nm.us/Portals/0/DM/LaborRelations/Prevailing_Wage_Poster_A_2019_final.pdf</t>
  </si>
  <si>
    <t>Supervisor Rate</t>
  </si>
  <si>
    <t>2019 NM Type "A" Street, Highway, Utility &amp; Light Engineering Prevailing Wages. Operator Group X. 
https://www.dws.state.nm.us/Portals/0/DM/LaborRelations/Prevailing_Wage_Poster_A_2019_final.pdf</t>
  </si>
  <si>
    <t>Maintenance Technician Rate</t>
  </si>
  <si>
    <t>2019 NM Type "A" Street, Highway, Utility &amp; Light Engineering Prevailing Wages. Operator Group V. 
https://www.dws.state.nm.us/Portals/0/DM/LaborRelations/Prevailing_Wage_Poster_A_2019_final.pdf</t>
  </si>
  <si>
    <t>Operator Fringe Rate</t>
  </si>
  <si>
    <t>2019 NM Type "A" Street, Highway, Utility &amp; Light Engineering Prevailing Wages. All Operator groups. 
https://www.dws.state.nm.us/Portals/0/DM/LaborRelations/Prevailing_Wage_Poster_A_2019_final.pdf</t>
  </si>
  <si>
    <t xml:space="preserve">Laborer (Group II) </t>
  </si>
  <si>
    <t>2019 NM Department of Labor Type H (Heavy Engineering) 2019 labor rates.  Rates include base hourly wage, fringe benefit, and apprenticeship contribution rates. https://www.dws.state.nm.us/Portals/0/DM/LaborRelations/Prevailing_Wage_Poster_H_2019_final.pdf</t>
  </si>
  <si>
    <t xml:space="preserve">Plumber/Pipefitter </t>
  </si>
  <si>
    <t>Electrician (Lineman/Tech Outside)</t>
  </si>
  <si>
    <t>Electrician (Wireman/Tech Inside)</t>
  </si>
  <si>
    <t>2019 NM Department of Labor Type H (Heavy Engineering) 2019 labor rates.  Rates include base hourly wage, fringe benefit, and apprenticeship contribution rates. Includes 26% increase for work outside Zone 1 https://www.dws.state.nm.us/Portals/0/DM/LaborRelations/Prevailing_Wage_Poster_H_2019_final.pdf</t>
  </si>
  <si>
    <t>2019 NM Department of Labor Type H (Heavy Engineering) 2019 labor rates.  Rates include base hourly wage, fringe benefit, apprenticeship contribution rates, and subsistence rate. https://www.dws.state.nm.us/Portals/0/DM/LaborRelations/Prevailing_Wage_Poster_H_2019_final.pdf</t>
  </si>
  <si>
    <t>Maintenance</t>
  </si>
  <si>
    <t>of Direct Capital Cost</t>
  </si>
  <si>
    <t>Per Diem Subsistence, Zone and Incentive</t>
  </si>
  <si>
    <t xml:space="preserve">per day for Plumber/Pipefitter, Electrical Lineman/Tech (outside).  2019 NM Department of Labor Type H (Heavy Engineering), 2019 Subsistence, Zone, and Incentive Pay Rates </t>
  </si>
  <si>
    <t>Example Calculations</t>
  </si>
  <si>
    <t>Chino Mine</t>
  </si>
  <si>
    <t>Flow and Sulfate Inputs</t>
  </si>
  <si>
    <t>Max Year</t>
  </si>
  <si>
    <t>Membrane Max Flow rate</t>
  </si>
  <si>
    <t>Membrane Avg Flow rate</t>
  </si>
  <si>
    <t>HDS Equipment Max Flow rate</t>
  </si>
  <si>
    <t>HDS Equipment Avg Flow rate</t>
  </si>
  <si>
    <t>HDS Sulfate Max</t>
  </si>
  <si>
    <t>mg/L</t>
  </si>
  <si>
    <t>HDS Sulfate Avg</t>
  </si>
  <si>
    <t>Sludge Recycle Avg Flow rate</t>
  </si>
  <si>
    <t>Sludge Max (50% Solids)</t>
  </si>
  <si>
    <t>lb/day</t>
  </si>
  <si>
    <t>Sludge Avg (50% Solids)</t>
  </si>
  <si>
    <t>Effluent Neutralization Max (if necessary)</t>
  </si>
  <si>
    <t>Effluent Neutralization Avg Flow rate(if necessary)</t>
  </si>
  <si>
    <t>Equipment sizing based on maximum flows, operating costs based on average flows.</t>
  </si>
  <si>
    <t>Van Riper Study (2002) Inputs</t>
  </si>
  <si>
    <t>Lime Consumption Factor</t>
  </si>
  <si>
    <t>mg/L CaO/mg/L SO4</t>
  </si>
  <si>
    <t>5,270 mg/L CaO needed to treat high metals AMD water with sulfate concentration of 10,040 mg/L</t>
  </si>
  <si>
    <t>Sulfuric Acid Consumption Factor</t>
  </si>
  <si>
    <t>lb/gal</t>
  </si>
  <si>
    <t>0.028 pounds per 1,000 gallons (50 mg acid per liter of water treated)</t>
  </si>
  <si>
    <t>Sludge Factor</t>
  </si>
  <si>
    <t>mg/L Sludge/mg/L SO4</t>
  </si>
  <si>
    <t>21,000 mg/L Sludge for 10,040 mg/L SO4</t>
  </si>
  <si>
    <t>Van Riper treatability study results used to detemine lime usage and sludge production according to the factors listed above and the sulfate concentration.</t>
  </si>
  <si>
    <t>HDS Chemical Precipitation</t>
  </si>
  <si>
    <t xml:space="preserve">Reaction Tank </t>
  </si>
  <si>
    <t>Tank size</t>
  </si>
  <si>
    <t>x</t>
  </si>
  <si>
    <t>min</t>
  </si>
  <si>
    <t>Need 4 reaction tanks - to provide minimum of 90</t>
  </si>
  <si>
    <t>min retention time at max flow and minimum of 120 min</t>
  </si>
  <si>
    <t>retention time at avg flow</t>
  </si>
  <si>
    <t>Freeboard</t>
  </si>
  <si>
    <t>each tank, total of 4 tanks for approximately 90 min reaction time</t>
  </si>
  <si>
    <r>
      <t>ft</t>
    </r>
    <r>
      <rPr>
        <vertAlign val="superscript"/>
        <sz val="11"/>
        <color theme="1"/>
        <rFont val="Arial"/>
        <family val="2"/>
      </rPr>
      <t>3</t>
    </r>
  </si>
  <si>
    <r>
      <t>ft</t>
    </r>
    <r>
      <rPr>
        <b/>
        <vertAlign val="superscript"/>
        <sz val="11"/>
        <color theme="1"/>
        <rFont val="Arial"/>
        <family val="2"/>
      </rPr>
      <t>3</t>
    </r>
  </si>
  <si>
    <t>Tank Height</t>
  </si>
  <si>
    <t>Diameter</t>
  </si>
  <si>
    <t>π</t>
  </si>
  <si>
    <t>Mixing Requirement</t>
  </si>
  <si>
    <t>N-s</t>
  </si>
  <si>
    <r>
      <t>ft</t>
    </r>
    <r>
      <rPr>
        <vertAlign val="superscript"/>
        <sz val="11"/>
        <rFont val="Arial"/>
        <family val="2"/>
      </rPr>
      <t>3</t>
    </r>
  </si>
  <si>
    <r>
      <t>m</t>
    </r>
    <r>
      <rPr>
        <vertAlign val="superscript"/>
        <sz val="11"/>
        <rFont val="Arial"/>
        <family val="2"/>
      </rPr>
      <t>3</t>
    </r>
  </si>
  <si>
    <t>W</t>
  </si>
  <si>
    <r>
      <t>m</t>
    </r>
    <r>
      <rPr>
        <vertAlign val="superscript"/>
        <sz val="11"/>
        <rFont val="Arial"/>
        <family val="2"/>
      </rPr>
      <t>2</t>
    </r>
  </si>
  <si>
    <t>kW</t>
  </si>
  <si>
    <t>sec</t>
  </si>
  <si>
    <t>Clarifier</t>
  </si>
  <si>
    <t>Tank size (based on Clarification)</t>
  </si>
  <si>
    <r>
      <t>ft</t>
    </r>
    <r>
      <rPr>
        <vertAlign val="superscript"/>
        <sz val="11"/>
        <rFont val="Arial"/>
        <family val="2"/>
      </rPr>
      <t>2</t>
    </r>
  </si>
  <si>
    <r>
      <t>Use conservative loading rate of 0.3 gpm/ft</t>
    </r>
    <r>
      <rPr>
        <vertAlign val="superscript"/>
        <sz val="10"/>
        <rFont val="Arial"/>
        <family val="2"/>
      </rPr>
      <t>2</t>
    </r>
  </si>
  <si>
    <t xml:space="preserve">considering sludge is primarily calcium sulfate and </t>
  </si>
  <si>
    <r>
      <t>ft</t>
    </r>
    <r>
      <rPr>
        <b/>
        <vertAlign val="superscript"/>
        <sz val="11"/>
        <color theme="1"/>
        <rFont val="Arial"/>
        <family val="2"/>
      </rPr>
      <t>2</t>
    </r>
  </si>
  <si>
    <t>iron hydroxide and densified.</t>
  </si>
  <si>
    <t>Diameter (based on Clarification)</t>
  </si>
  <si>
    <r>
      <t>ft</t>
    </r>
    <r>
      <rPr>
        <vertAlign val="superscript"/>
        <sz val="11"/>
        <color theme="1"/>
        <rFont val="Arial"/>
        <family val="2"/>
      </rPr>
      <t>2</t>
    </r>
  </si>
  <si>
    <t>Depth (based on Clarification)</t>
  </si>
  <si>
    <t>Overflow</t>
  </si>
  <si>
    <t>Solids underflow</t>
  </si>
  <si>
    <t>lb</t>
  </si>
  <si>
    <t>kg</t>
  </si>
  <si>
    <t>day</t>
  </si>
  <si>
    <t>Solids recycle (max)</t>
  </si>
  <si>
    <t>Recycles</t>
  </si>
  <si>
    <t>(assumption)</t>
  </si>
  <si>
    <t>solids</t>
  </si>
  <si>
    <t>SG</t>
  </si>
  <si>
    <t>gal/min</t>
  </si>
  <si>
    <t>Effluent Neutralization System</t>
  </si>
  <si>
    <t>Discharge System</t>
  </si>
  <si>
    <t>Discharge Tank</t>
  </si>
  <si>
    <t>Solids Management</t>
  </si>
  <si>
    <t>Sludge Storage Tank</t>
  </si>
  <si>
    <t>Sludge Production</t>
  </si>
  <si>
    <t>mg Sludge</t>
  </si>
  <si>
    <t>L</t>
  </si>
  <si>
    <t>per Hazen Research, Inc., May 3, 2002</t>
  </si>
  <si>
    <r>
      <t>mg SO</t>
    </r>
    <r>
      <rPr>
        <vertAlign val="subscript"/>
        <sz val="11"/>
        <color theme="1"/>
        <rFont val="Arial"/>
        <family val="2"/>
      </rPr>
      <t>4</t>
    </r>
  </si>
  <si>
    <t>Van Riper Factor (Sulfate x Factor = sludge)</t>
  </si>
  <si>
    <t>Influent Concentration</t>
  </si>
  <si>
    <t>mg/L Sludge</t>
  </si>
  <si>
    <r>
      <t>mg/L SO</t>
    </r>
    <r>
      <rPr>
        <vertAlign val="subscript"/>
        <sz val="11"/>
        <color theme="1"/>
        <rFont val="Arial"/>
        <family val="2"/>
      </rPr>
      <t>4</t>
    </r>
  </si>
  <si>
    <t>Influent Dry Solids</t>
  </si>
  <si>
    <t>mg</t>
  </si>
  <si>
    <t>Influent Wet Cake</t>
  </si>
  <si>
    <t>Wet Cake</t>
  </si>
  <si>
    <t>Dry Solids</t>
  </si>
  <si>
    <t>Influent Wet Solids</t>
  </si>
  <si>
    <t>Wet Solids</t>
  </si>
  <si>
    <t>(Clarifier Underflow)</t>
  </si>
  <si>
    <t>Water Content</t>
  </si>
  <si>
    <t>-</t>
  </si>
  <si>
    <t>(filtrate from dewatering)</t>
  </si>
  <si>
    <t>Volume of Cake - Max</t>
  </si>
  <si>
    <t>yr</t>
  </si>
  <si>
    <r>
      <t>ft</t>
    </r>
    <r>
      <rPr>
        <b/>
        <vertAlign val="superscript"/>
        <sz val="11"/>
        <color theme="1"/>
        <rFont val="Arial"/>
        <family val="2"/>
      </rPr>
      <t>3</t>
    </r>
    <r>
      <rPr>
        <b/>
        <sz val="11"/>
        <color theme="1"/>
        <rFont val="Arial"/>
        <family val="2"/>
      </rPr>
      <t>/yr</t>
    </r>
  </si>
  <si>
    <t>Filter Press Size - Max</t>
  </si>
  <si>
    <t>cycle</t>
  </si>
  <si>
    <t>filter presses online</t>
  </si>
  <si>
    <t>3 shifts, 2 presses</t>
  </si>
  <si>
    <t>op</t>
  </si>
  <si>
    <r>
      <t>ft</t>
    </r>
    <r>
      <rPr>
        <b/>
        <vertAlign val="superscript"/>
        <sz val="11"/>
        <color theme="1"/>
        <rFont val="Arial"/>
        <family val="2"/>
      </rPr>
      <t>3</t>
    </r>
    <r>
      <rPr>
        <b/>
        <sz val="11"/>
        <color theme="1"/>
        <rFont val="Arial"/>
        <family val="2"/>
      </rPr>
      <t>/cycle/filter press</t>
    </r>
  </si>
  <si>
    <t>Volume of Cake - Average</t>
  </si>
  <si>
    <t>Filter Press Size - Avg</t>
  </si>
  <si>
    <t>1 shift 2 presses</t>
  </si>
  <si>
    <t xml:space="preserve">Sludge storage tank </t>
  </si>
  <si>
    <t>Filtrate</t>
  </si>
  <si>
    <t>Chemical Addition Systems</t>
  </si>
  <si>
    <t>Lime Chemical Addition System</t>
  </si>
  <si>
    <t>Lime Consumption</t>
  </si>
  <si>
    <t>mg CaO</t>
  </si>
  <si>
    <r>
      <t>mg/L CaO / mg/L SO</t>
    </r>
    <r>
      <rPr>
        <b/>
        <vertAlign val="subscript"/>
        <sz val="11"/>
        <color theme="1"/>
        <rFont val="Arial"/>
        <family val="2"/>
      </rPr>
      <t>4</t>
    </r>
  </si>
  <si>
    <t>Lime, CaO</t>
  </si>
  <si>
    <t>mg/L CaO</t>
  </si>
  <si>
    <t>lb CaO/day</t>
  </si>
  <si>
    <r>
      <t>Volume, 10% Ca(OH)</t>
    </r>
    <r>
      <rPr>
        <vertAlign val="subscript"/>
        <sz val="11"/>
        <color theme="1"/>
        <rFont val="Arial"/>
        <family val="2"/>
      </rPr>
      <t>2</t>
    </r>
    <r>
      <rPr>
        <sz val="11"/>
        <color theme="1"/>
        <rFont val="Arial"/>
        <family val="2"/>
      </rPr>
      <t xml:space="preserve"> slurry</t>
    </r>
  </si>
  <si>
    <t>Concentration</t>
  </si>
  <si>
    <r>
      <t>mg CaOH</t>
    </r>
    <r>
      <rPr>
        <vertAlign val="subscript"/>
        <sz val="11"/>
        <color theme="1"/>
        <rFont val="Arial"/>
        <family val="2"/>
      </rPr>
      <t>2</t>
    </r>
  </si>
  <si>
    <t>From FMI's Calcs</t>
  </si>
  <si>
    <t>Factor</t>
  </si>
  <si>
    <t>Lime Consumption, as CaO</t>
  </si>
  <si>
    <t>lb CaO</t>
  </si>
  <si>
    <t>lb CaO/gal</t>
  </si>
  <si>
    <t>Chemical Usage, as CaO</t>
  </si>
  <si>
    <t>lbs CaO</t>
  </si>
  <si>
    <t>ton</t>
  </si>
  <si>
    <t>lbs</t>
  </si>
  <si>
    <t>ton CaO/yr</t>
  </si>
  <si>
    <t>Densification Tank (lime slurry + recycled sludge)</t>
  </si>
  <si>
    <t xml:space="preserve">Flocculent Chemical Addition System </t>
  </si>
  <si>
    <t>Mass</t>
  </si>
  <si>
    <t>Estimated from experience</t>
  </si>
  <si>
    <t>(typically moderately anionic polymer)</t>
  </si>
  <si>
    <t>lb/min</t>
  </si>
  <si>
    <t>Usage</t>
  </si>
  <si>
    <t>lb/yr-gpm</t>
  </si>
  <si>
    <t>Volume</t>
  </si>
  <si>
    <t>hr</t>
  </si>
  <si>
    <t>gph</t>
  </si>
  <si>
    <t xml:space="preserve">HCl Acid Chemical Addition </t>
  </si>
  <si>
    <t>NOTE:  2018 UPDATE INCLUDES USING HCL INSTEAD OF SULFURIC - THE FOLLOWING CONVERSION FACTOR IS INCORPORATED INTO THE SUMMARY SHEET TO CONVERT 93% SULFURIC USAGE TO 35% HCL USAGE</t>
  </si>
  <si>
    <t>lb 93% H2SO4</t>
  </si>
  <si>
    <t>lb H2SO4</t>
  </si>
  <si>
    <t>mol H2SO4</t>
  </si>
  <si>
    <t>mols H+</t>
  </si>
  <si>
    <t>mol HCl</t>
  </si>
  <si>
    <t>lb HCl</t>
  </si>
  <si>
    <t>lb 35%</t>
  </si>
  <si>
    <t>lb 93%</t>
  </si>
  <si>
    <t xml:space="preserve"> mol H2SO4</t>
  </si>
  <si>
    <t>mol H+</t>
  </si>
  <si>
    <t>factor lb SO4(93%)/gal to lb HCl (35%)/gal</t>
  </si>
  <si>
    <t>lb 35%HCL/gal</t>
  </si>
  <si>
    <t>HCl (35%) Acid Consumption</t>
  </si>
  <si>
    <t>lbs H2SO4 (93%)</t>
  </si>
  <si>
    <t>lbs HCl (35%)</t>
  </si>
  <si>
    <t xml:space="preserve">Used Van Riper Consulting, 2002 for H2SO4 </t>
  </si>
  <si>
    <t>then converted to 35% HCl</t>
  </si>
  <si>
    <t>lbs/gal</t>
  </si>
  <si>
    <t>Chemical Usage</t>
  </si>
  <si>
    <t>lbs/yr</t>
  </si>
  <si>
    <t>MF Cleaning Chemicals</t>
  </si>
  <si>
    <t>High pH Cleaner Mass</t>
  </si>
  <si>
    <t>cleanings</t>
  </si>
  <si>
    <t>month</t>
  </si>
  <si>
    <t>pail</t>
  </si>
  <si>
    <t>cleaning</t>
  </si>
  <si>
    <t xml:space="preserve">and advice from Avista </t>
  </si>
  <si>
    <t>lb/yr</t>
  </si>
  <si>
    <t>High pH Cleaner Usage Rate</t>
  </si>
  <si>
    <t>lb MF Cleaning Chem</t>
  </si>
  <si>
    <t>year</t>
  </si>
  <si>
    <t>Low pH Cleaner Mass</t>
  </si>
  <si>
    <t>Low pH Cleaner Usage Rate</t>
  </si>
  <si>
    <t>RO Cleaning Chemicals</t>
  </si>
  <si>
    <t>and avista advice</t>
  </si>
  <si>
    <t>Antiscalant</t>
  </si>
  <si>
    <t>Biocide</t>
  </si>
  <si>
    <t>Process Water (Does not include slaking water)</t>
  </si>
  <si>
    <t>Water required</t>
  </si>
  <si>
    <t>Polymer make-down</t>
  </si>
  <si>
    <t>+</t>
  </si>
  <si>
    <t>Lime make-down</t>
  </si>
  <si>
    <t>Power Consumption</t>
  </si>
  <si>
    <t>Membrane System</t>
  </si>
  <si>
    <t>hp</t>
  </si>
  <si>
    <t>kw</t>
  </si>
  <si>
    <t>Plus 5% for building load</t>
  </si>
  <si>
    <t>kw-hr/year</t>
  </si>
  <si>
    <t>kw-hr</t>
  </si>
  <si>
    <t>kw-hr/gpm-yr</t>
  </si>
  <si>
    <t xml:space="preserve">HDS System </t>
  </si>
  <si>
    <t>Labor Cost Estimate - STS and SDF Operations</t>
  </si>
  <si>
    <t xml:space="preserve">Max Solids </t>
  </si>
  <si>
    <r>
      <t>Max Solids - All 3 shifts</t>
    </r>
    <r>
      <rPr>
        <b/>
        <vertAlign val="superscript"/>
        <sz val="10"/>
        <color rgb="FF008091"/>
        <rFont val="Arial"/>
        <family val="2"/>
      </rPr>
      <t>1</t>
    </r>
  </si>
  <si>
    <t xml:space="preserve">Avg Solids </t>
  </si>
  <si>
    <t>Day shift - 1 supervisor, 2 maintenance - 40 hrs a week 
(also used for ETS, SDF, Salt Disposal Facility)
Per shift - 2 filter press, 1 lime silo, 1 membrane, 1 HDS,
1 pumps/pipelines (conveyance and discharge) and ETS
2 shifts each 12 hr days, 7 days week, Covered by 4 crews so that each crew works 40 hr/wk plus average of 4 hrs scheduled overtime</t>
  </si>
  <si>
    <t>Day shift - 1 supervisor, 1 maintenance - 40 hrs a week
(also used for ETS, SDF, Salt Disposal Facility)
One shift - 2 filter press, 1/2 HDS, 1/2 Membrane, 1 lime silo, 1 pumps/pipelines (conveyance and discharge) and ETS
1 shift 12 hr days, 7 days week</t>
  </si>
  <si>
    <t>Operator Rate</t>
  </si>
  <si>
    <t>Operator Hours (7 day/wk)</t>
  </si>
  <si>
    <t xml:space="preserve">Operator Hours </t>
  </si>
  <si>
    <t>Supervisor Hours (5 day/wk)</t>
  </si>
  <si>
    <t>Maintenance Techs</t>
  </si>
  <si>
    <r>
      <t>Maintenance Tech Rates</t>
    </r>
    <r>
      <rPr>
        <vertAlign val="superscript"/>
        <sz val="10"/>
        <color theme="1"/>
        <rFont val="Arial"/>
        <family val="2"/>
      </rPr>
      <t>4</t>
    </r>
  </si>
  <si>
    <t>Maintenance Tech Rates</t>
  </si>
  <si>
    <t>Maintenance Tech Hours (5 day/wk)</t>
  </si>
  <si>
    <t xml:space="preserve">Maintenance Tech Hours </t>
  </si>
  <si>
    <t>Maintenance Tech Total Cost</t>
  </si>
  <si>
    <t>Sub-Total Labor Cost</t>
  </si>
  <si>
    <r>
      <t>Overtime for supervisor</t>
    </r>
    <r>
      <rPr>
        <vertAlign val="superscript"/>
        <sz val="10"/>
        <color theme="1"/>
        <rFont val="Arial"/>
        <family val="2"/>
      </rPr>
      <t>5</t>
    </r>
  </si>
  <si>
    <t>Overtime hours for supervisor</t>
  </si>
  <si>
    <t>Supervisor Overtime Total Cost</t>
  </si>
  <si>
    <r>
      <t>Overtime for maintenance</t>
    </r>
    <r>
      <rPr>
        <vertAlign val="superscript"/>
        <sz val="10"/>
        <color theme="1"/>
        <rFont val="Arial"/>
        <family val="2"/>
      </rPr>
      <t>5</t>
    </r>
  </si>
  <si>
    <t>Overtime hours for maintenance</t>
  </si>
  <si>
    <t>Maintenance Overtime Total Cost</t>
  </si>
  <si>
    <r>
      <t>Overtime for operators</t>
    </r>
    <r>
      <rPr>
        <vertAlign val="superscript"/>
        <sz val="10"/>
        <color theme="1"/>
        <rFont val="Arial"/>
        <family val="2"/>
      </rPr>
      <t>5</t>
    </r>
  </si>
  <si>
    <r>
      <t>Overtime hours for operators</t>
    </r>
    <r>
      <rPr>
        <vertAlign val="superscript"/>
        <sz val="10"/>
        <color theme="1"/>
        <rFont val="Arial"/>
        <family val="2"/>
      </rPr>
      <t>5</t>
    </r>
  </si>
  <si>
    <r>
      <t>Benefits fringe rate per hour</t>
    </r>
    <r>
      <rPr>
        <vertAlign val="superscript"/>
        <sz val="10"/>
        <color theme="1"/>
        <rFont val="Arial"/>
        <family val="2"/>
      </rPr>
      <t>6</t>
    </r>
  </si>
  <si>
    <t xml:space="preserve">Number of employees </t>
  </si>
  <si>
    <t>ops</t>
  </si>
  <si>
    <t>hrs/op</t>
  </si>
  <si>
    <t>Total Labor Cost</t>
  </si>
  <si>
    <r>
      <t>Sludge (lb/day)</t>
    </r>
    <r>
      <rPr>
        <i/>
        <vertAlign val="superscript"/>
        <sz val="10"/>
        <color theme="1"/>
        <rFont val="Arial"/>
        <family val="2"/>
      </rPr>
      <t>7</t>
    </r>
  </si>
  <si>
    <t>Labor Cost/lb sludge ($/d)</t>
  </si>
  <si>
    <r>
      <rPr>
        <vertAlign val="superscript"/>
        <sz val="10"/>
        <rFont val="Arial"/>
        <family val="2"/>
      </rPr>
      <t>1</t>
    </r>
    <r>
      <rPr>
        <sz val="10"/>
        <rFont val="Arial"/>
        <family val="2"/>
      </rPr>
      <t xml:space="preserve"> Operator numbers are estimated from Golder's experience with operating similar plants.</t>
    </r>
  </si>
  <si>
    <r>
      <rPr>
        <vertAlign val="superscript"/>
        <sz val="10"/>
        <rFont val="Arial"/>
        <family val="2"/>
      </rPr>
      <t>2</t>
    </r>
    <r>
      <rPr>
        <sz val="10"/>
        <rFont val="Arial"/>
        <family val="2"/>
      </rPr>
      <t xml:space="preserve"> 2019 NM Type "A" Street, Highway, Utility &amp; Light Engineering Prevailing Wages. Operator Group I. 
https://www.dws.state.nm.us/Portals/0/DM/LaborRelations/Prevailing_Wage_Poster_A_2019_final.pdf</t>
    </r>
  </si>
  <si>
    <r>
      <rPr>
        <vertAlign val="superscript"/>
        <sz val="10"/>
        <rFont val="Arial"/>
        <family val="2"/>
      </rPr>
      <t>3</t>
    </r>
    <r>
      <rPr>
        <sz val="10"/>
        <rFont val="Arial"/>
        <family val="2"/>
      </rPr>
      <t xml:space="preserve"> 2019 NM Type "A" Street, Highway, Utility &amp; Light Engineering Prevailing Wages. Operator Group X. 
https://www.dws.state.nm.us/Portals/0/DM/LaborRelations/Prevailing_Wage_Poster_A_2019_final.pdf</t>
    </r>
  </si>
  <si>
    <r>
      <rPr>
        <vertAlign val="superscript"/>
        <sz val="10"/>
        <rFont val="Arial"/>
        <family val="2"/>
      </rPr>
      <t>4</t>
    </r>
    <r>
      <rPr>
        <sz val="10"/>
        <rFont val="Arial"/>
        <family val="2"/>
      </rPr>
      <t xml:space="preserve"> 2019 NM Type "A" Street, Highway, Utility &amp; Light Engineering Prevailing Wages. Operator Group V. 
https://www.dws.state.nm.us/Portals/0/DM/LaborRelations/Prevailing_Wage_Poster_A_2019_final.pdf</t>
    </r>
  </si>
  <si>
    <r>
      <rPr>
        <vertAlign val="superscript"/>
        <sz val="10"/>
        <rFont val="Arial"/>
        <family val="2"/>
      </rPr>
      <t>5</t>
    </r>
    <r>
      <rPr>
        <sz val="10"/>
        <rFont val="Arial"/>
        <family val="2"/>
      </rPr>
      <t>Overtime for supervisor/maintenance is for call-outs when off-shift (nights and weekends). Overtime for operators includes average of 4 hours per week scheduled overtime (10%) plus an additional 5% for unexpected projects, covering sick time, holiday work, etc) for max solids. Scheduled overtime for average solids operating periods is 2 hours scheduled per week, however, with the plant operating unattended there may be more call-outs so overtime is left at 15%.</t>
    </r>
  </si>
  <si>
    <r>
      <rPr>
        <vertAlign val="superscript"/>
        <sz val="10"/>
        <rFont val="Arial"/>
        <family val="2"/>
      </rPr>
      <t>6</t>
    </r>
    <r>
      <rPr>
        <sz val="10"/>
        <rFont val="Arial"/>
        <family val="2"/>
      </rPr>
      <t xml:space="preserve"> 2019 NM Type "A" Street, Highway, Utility &amp; Light Engineering Prevailing Wages. All Operator groups. 
https://www.dws.state.nm.us/Portals/0/DM/LaborRelations/Prevailing_Wage_Poster_A_2019_final.pdf</t>
    </r>
  </si>
  <si>
    <r>
      <rPr>
        <vertAlign val="superscript"/>
        <sz val="10"/>
        <rFont val="Arial"/>
        <family val="2"/>
      </rPr>
      <t xml:space="preserve">7 </t>
    </r>
    <r>
      <rPr>
        <sz val="10"/>
        <rFont val="Arial"/>
        <family val="2"/>
      </rPr>
      <t>If sludge is max solids then need full crew, otherwise assume crew size is less and listed as Average Solids</t>
    </r>
  </si>
  <si>
    <t>No sampling required for O&amp;M of the short-term ETS or the high TDS and sulfate sources during O&amp;M of the long-term ETS.</t>
  </si>
  <si>
    <t>Revised sampling strategy - quarterly through year 12 and then semi-annual over the 20 year period where we apply a linear decrease in flows (uncovered to covered drainage rates).  Annual thereafter.</t>
  </si>
  <si>
    <t>West Stockpile reclaimed by April 2029 so we don't have to collect samples from the two collections that are just collecting stormwater runoff after this point.</t>
  </si>
  <si>
    <t>NPDES surface water sampling locations will be sampled beginning in Year 1 for complaince purposes (1 in NMA and 7 in 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</si>
</sst>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quot;$&quot;#,##0"/>
    <numFmt numFmtId="167" formatCode="&quot;$&quot;#,##0.00"/>
    <numFmt numFmtId="168" formatCode="#,##0.0"/>
    <numFmt numFmtId="169" formatCode="#,##0.0000"/>
    <numFmt numFmtId="170" formatCode="0.0%"/>
    <numFmt numFmtId="171" formatCode="0.0"/>
    <numFmt numFmtId="172" formatCode="_(* #,##0_);_(* \(#,##0\);_(* &quot;-&quot;??_);_(@_)"/>
    <numFmt numFmtId="173" formatCode="_(* #,##0.000_);_(* \(#,##0.000\);_(* &quot;-&quot;??_);_(@_)"/>
    <numFmt numFmtId="174" formatCode="#,##0.000"/>
    <numFmt numFmtId="175" formatCode="0.000"/>
    <numFmt numFmtId="176" formatCode="0.0000"/>
    <numFmt numFmtId="177" formatCode="_(&quot;$&quot;* #,##0.000_);_(&quot;$&quot;* \(#,##0.000\);_(&quot;$&quot;* &quot;-&quot;??_);_(@_)"/>
    <numFmt numFmtId="178" formatCode="_(&quot;$&quot;* #,##0_);_(&quot;$&quot;* \(#,##0\);_(&quot;$&quot;* &quot;-&quot;?_);_(@_)"/>
    <numFmt numFmtId="179" formatCode="_(* #,##0.0_);_(* \(#,##0.0\);_(* &quot;-&quot;??_);_(@_)"/>
  </numFmts>
  <fonts count="67" x14ac:knownFonts="1">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1"/>
      <color theme="0"/>
      <name val="Arial"/>
      <family val="2"/>
    </font>
    <font>
      <sz val="11"/>
      <color indexed="8"/>
      <name val="Arial"/>
      <family val="2"/>
    </font>
    <font>
      <sz val="11"/>
      <name val="Arial"/>
      <family val="2"/>
    </font>
    <font>
      <b/>
      <sz val="11"/>
      <color indexed="8"/>
      <name val="Arial"/>
      <family val="2"/>
    </font>
    <font>
      <b/>
      <sz val="11"/>
      <name val="Arial"/>
      <family val="2"/>
    </font>
    <font>
      <b/>
      <sz val="14"/>
      <name val="Arial"/>
      <family val="2"/>
    </font>
    <font>
      <sz val="9"/>
      <name val="Arial"/>
      <family val="2"/>
    </font>
    <font>
      <sz val="11"/>
      <color theme="1"/>
      <name val="Arial"/>
      <family val="2"/>
    </font>
    <font>
      <sz val="10"/>
      <color theme="1"/>
      <name val="Arial"/>
      <family val="2"/>
    </font>
    <font>
      <b/>
      <sz val="12"/>
      <color rgb="FF008091"/>
      <name val="Arial"/>
      <family val="2"/>
    </font>
    <font>
      <i/>
      <sz val="11"/>
      <color theme="1"/>
      <name val="Arial"/>
      <family val="2"/>
    </font>
    <font>
      <sz val="11"/>
      <color rgb="FFFF0000"/>
      <name val="Calibri"/>
      <family val="2"/>
      <scheme val="minor"/>
    </font>
    <font>
      <b/>
      <sz val="11"/>
      <color theme="1"/>
      <name val="Arial"/>
      <family val="2"/>
    </font>
    <font>
      <b/>
      <sz val="11"/>
      <color rgb="FF008091"/>
      <name val="Arial"/>
      <family val="2"/>
    </font>
    <font>
      <sz val="11"/>
      <color rgb="FF7030A0"/>
      <name val="Arial"/>
      <family val="2"/>
    </font>
    <font>
      <vertAlign val="superscript"/>
      <sz val="11"/>
      <color theme="1"/>
      <name val="Arial"/>
      <family val="2"/>
    </font>
    <font>
      <b/>
      <vertAlign val="superscript"/>
      <sz val="11"/>
      <color theme="1"/>
      <name val="Arial"/>
      <family val="2"/>
    </font>
    <font>
      <sz val="9"/>
      <color theme="1"/>
      <name val="Arial"/>
      <family val="2"/>
    </font>
    <font>
      <vertAlign val="superscript"/>
      <sz val="11"/>
      <name val="Arial"/>
      <family val="2"/>
    </font>
    <font>
      <sz val="8"/>
      <name val="Arial"/>
      <family val="2"/>
    </font>
    <font>
      <i/>
      <sz val="11"/>
      <name val="Arial"/>
      <family val="2"/>
    </font>
    <font>
      <vertAlign val="subscript"/>
      <sz val="11"/>
      <color theme="1"/>
      <name val="Arial"/>
      <family val="2"/>
    </font>
    <font>
      <i/>
      <sz val="10"/>
      <name val="Arial"/>
      <family val="2"/>
    </font>
    <font>
      <sz val="10"/>
      <name val="MS Sans Serif"/>
    </font>
    <font>
      <b/>
      <sz val="10"/>
      <color rgb="FFFF0000"/>
      <name val="Arial"/>
      <family val="2"/>
    </font>
    <font>
      <b/>
      <sz val="10"/>
      <color theme="1"/>
      <name val="Arial"/>
      <family val="2"/>
    </font>
    <font>
      <sz val="10"/>
      <color rgb="FFFF0000"/>
      <name val="Arial"/>
      <family val="2"/>
    </font>
    <font>
      <vertAlign val="superscript"/>
      <sz val="10"/>
      <name val="Arial"/>
      <family val="2"/>
    </font>
    <font>
      <vertAlign val="superscript"/>
      <sz val="10"/>
      <color theme="1"/>
      <name val="Arial"/>
      <family val="2"/>
    </font>
    <font>
      <sz val="11"/>
      <color rgb="FFFF0000"/>
      <name val="Arial"/>
      <family val="2"/>
    </font>
    <font>
      <i/>
      <sz val="10"/>
      <color theme="1"/>
      <name val="Arial"/>
      <family val="2"/>
    </font>
    <font>
      <i/>
      <vertAlign val="superscript"/>
      <sz val="10"/>
      <color theme="1"/>
      <name val="Arial"/>
      <family val="2"/>
    </font>
    <font>
      <b/>
      <vertAlign val="superscript"/>
      <sz val="10"/>
      <color rgb="FF008091"/>
      <name val="Arial"/>
      <family val="2"/>
    </font>
    <font>
      <i/>
      <sz val="11"/>
      <color indexed="8"/>
      <name val="Arial"/>
      <family val="2"/>
    </font>
    <font>
      <sz val="11"/>
      <color rgb="FF006100"/>
      <name val="Calibri"/>
      <family val="2"/>
      <scheme val="minor"/>
    </font>
    <font>
      <sz val="11"/>
      <color rgb="FF006100"/>
      <name val="Arial"/>
      <family val="2"/>
    </font>
    <font>
      <b/>
      <sz val="10"/>
      <color theme="0"/>
      <name val="Arial"/>
      <family val="2"/>
    </font>
    <font>
      <b/>
      <vertAlign val="superscript"/>
      <sz val="10"/>
      <color theme="0"/>
      <name val="Arial"/>
      <family val="2"/>
    </font>
    <font>
      <sz val="10"/>
      <color rgb="FFC00000"/>
      <name val="Arial"/>
      <family val="2"/>
    </font>
    <font>
      <b/>
      <sz val="12"/>
      <color rgb="FF00B050"/>
      <name val="Arial"/>
      <family val="2"/>
    </font>
    <font>
      <b/>
      <sz val="11"/>
      <color rgb="FF00B050"/>
      <name val="Arial"/>
      <family val="2"/>
    </font>
    <font>
      <i/>
      <sz val="10"/>
      <color theme="0"/>
      <name val="Arial"/>
      <family val="2"/>
    </font>
    <font>
      <vertAlign val="superscript"/>
      <sz val="10"/>
      <color theme="0"/>
      <name val="Arial"/>
      <family val="2"/>
    </font>
    <font>
      <b/>
      <i/>
      <sz val="10"/>
      <color theme="0"/>
      <name val="Arial"/>
      <family val="2"/>
    </font>
    <font>
      <b/>
      <i/>
      <sz val="10"/>
      <color theme="1"/>
      <name val="Arial"/>
      <family val="2"/>
    </font>
    <font>
      <b/>
      <sz val="18"/>
      <name val="Arial"/>
      <family val="2"/>
    </font>
    <font>
      <b/>
      <sz val="18"/>
      <color theme="1"/>
      <name val="Arial"/>
      <family val="2"/>
    </font>
    <font>
      <b/>
      <sz val="14"/>
      <color theme="0"/>
      <name val="Arial"/>
      <family val="2"/>
    </font>
    <font>
      <sz val="9"/>
      <color indexed="81"/>
      <name val="Tahoma"/>
      <family val="2"/>
    </font>
    <font>
      <b/>
      <sz val="9"/>
      <color indexed="81"/>
      <name val="Tahoma"/>
      <family val="2"/>
    </font>
    <font>
      <sz val="11"/>
      <color rgb="FF00B0F0"/>
      <name val="Calibri"/>
      <family val="2"/>
      <scheme val="minor"/>
    </font>
    <font>
      <sz val="10"/>
      <color rgb="FF00B0F0"/>
      <name val="Arial"/>
      <family val="2"/>
    </font>
    <font>
      <u/>
      <sz val="11"/>
      <color theme="10"/>
      <name val="Calibri"/>
      <family val="2"/>
      <scheme val="minor"/>
    </font>
    <font>
      <vertAlign val="superscript"/>
      <sz val="11"/>
      <color rgb="FF000000"/>
      <name val="Arial"/>
      <family val="2"/>
    </font>
    <font>
      <b/>
      <vertAlign val="subscript"/>
      <sz val="11"/>
      <color theme="1"/>
      <name val="Arial"/>
      <family val="2"/>
    </font>
    <font>
      <sz val="8"/>
      <color theme="1"/>
      <name val="Arial"/>
      <family val="2"/>
    </font>
    <font>
      <b/>
      <sz val="9"/>
      <color theme="1"/>
      <name val="Arial"/>
      <family val="2"/>
    </font>
    <font>
      <sz val="10"/>
      <color theme="1"/>
      <name val="Arial"/>
      <family val="2"/>
    </font>
    <font>
      <sz val="11"/>
      <name val="Arial"/>
      <family val="2"/>
    </font>
    <font>
      <sz val="11"/>
      <color theme="1"/>
      <name val="Arial"/>
      <family val="2"/>
    </font>
  </fonts>
  <fills count="11">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4.9989318521683403E-2"/>
        <bgColor indexed="64"/>
      </patternFill>
    </fill>
    <fill>
      <patternFill patternType="solid">
        <fgColor rgb="FFC6EFCE"/>
      </patternFill>
    </fill>
    <fill>
      <patternFill patternType="solid">
        <fgColor theme="1"/>
        <bgColor indexed="64"/>
      </patternFill>
    </fill>
    <fill>
      <patternFill patternType="solid">
        <fgColor rgb="FF09554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medium">
        <color rgb="FF00755C"/>
      </left>
      <right/>
      <top/>
      <bottom/>
      <diagonal/>
    </border>
    <border>
      <left style="medium">
        <color rgb="FF00755C"/>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16">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0" fontId="15" fillId="0" borderId="0"/>
    <xf numFmtId="0" fontId="5" fillId="0" borderId="0"/>
    <xf numFmtId="44" fontId="5" fillId="0" borderId="0" applyFont="0" applyFill="0" applyBorder="0" applyAlignment="0" applyProtection="0"/>
    <xf numFmtId="0" fontId="5" fillId="0" borderId="0"/>
    <xf numFmtId="43" fontId="2" fillId="0" borderId="0" applyFont="0" applyFill="0" applyBorder="0" applyAlignment="0" applyProtection="0"/>
    <xf numFmtId="9" fontId="5" fillId="0" borderId="0" applyFont="0" applyFill="0" applyBorder="0" applyAlignment="0" applyProtection="0"/>
    <xf numFmtId="0" fontId="30" fillId="0" borderId="0"/>
    <xf numFmtId="44" fontId="30" fillId="0" borderId="0" applyFont="0" applyFill="0" applyBorder="0" applyAlignment="0" applyProtection="0"/>
    <xf numFmtId="0" fontId="2" fillId="0" borderId="0"/>
    <xf numFmtId="0" fontId="41" fillId="8" borderId="0" applyNumberFormat="0" applyBorder="0" applyAlignment="0" applyProtection="0"/>
    <xf numFmtId="0" fontId="59" fillId="0" borderId="0" applyNumberFormat="0" applyFill="0" applyBorder="0" applyAlignment="0" applyProtection="0"/>
  </cellStyleXfs>
  <cellXfs count="606">
    <xf numFmtId="0" fontId="0" fillId="0" borderId="0" xfId="0"/>
    <xf numFmtId="0" fontId="4" fillId="0" borderId="0" xfId="0" applyFont="1"/>
    <xf numFmtId="0" fontId="4" fillId="0" borderId="0" xfId="0" applyFont="1" applyAlignment="1">
      <alignment horizontal="center"/>
    </xf>
    <xf numFmtId="0" fontId="5" fillId="0" borderId="0" xfId="3" applyFont="1"/>
    <xf numFmtId="164" fontId="5" fillId="0" borderId="0" xfId="0" applyNumberFormat="1" applyFont="1"/>
    <xf numFmtId="0" fontId="6" fillId="0" borderId="0" xfId="0" applyFont="1" applyAlignment="1">
      <alignment horizontal="right"/>
    </xf>
    <xf numFmtId="0" fontId="5" fillId="0" borderId="0" xfId="0" applyFont="1" applyAlignment="1">
      <alignment horizontal="left"/>
    </xf>
    <xf numFmtId="0" fontId="5" fillId="0" borderId="0" xfId="0" applyFont="1"/>
    <xf numFmtId="0" fontId="5" fillId="0" borderId="0" xfId="0" applyFont="1" applyAlignment="1">
      <alignment wrapText="1"/>
    </xf>
    <xf numFmtId="0" fontId="7" fillId="2" borderId="1" xfId="0" applyFont="1" applyFill="1" applyBorder="1"/>
    <xf numFmtId="165" fontId="7" fillId="2" borderId="1" xfId="1" applyNumberFormat="1" applyFont="1" applyFill="1" applyBorder="1" applyAlignment="1">
      <alignment horizontal="center" wrapText="1"/>
    </xf>
    <xf numFmtId="165" fontId="7" fillId="2" borderId="1" xfId="1" applyNumberFormat="1" applyFont="1" applyFill="1" applyBorder="1" applyAlignment="1">
      <alignment horizontal="center"/>
    </xf>
    <xf numFmtId="0" fontId="8" fillId="0" borderId="1" xfId="0" applyFont="1" applyBorder="1"/>
    <xf numFmtId="165" fontId="9" fillId="0" borderId="1" xfId="1" applyNumberFormat="1" applyFont="1" applyBorder="1" applyAlignment="1">
      <alignment horizontal="center"/>
    </xf>
    <xf numFmtId="0" fontId="8" fillId="5" borderId="1" xfId="0" applyFont="1" applyFill="1" applyBorder="1"/>
    <xf numFmtId="165" fontId="9" fillId="5" borderId="1" xfId="1" applyNumberFormat="1" applyFont="1" applyFill="1" applyBorder="1"/>
    <xf numFmtId="0" fontId="10" fillId="5" borderId="1" xfId="0" applyFont="1" applyFill="1" applyBorder="1"/>
    <xf numFmtId="165" fontId="11" fillId="5" borderId="1" xfId="1" applyNumberFormat="1" applyFont="1" applyFill="1" applyBorder="1"/>
    <xf numFmtId="0" fontId="11" fillId="5" borderId="1" xfId="0" applyFont="1" applyFill="1" applyBorder="1"/>
    <xf numFmtId="165" fontId="7" fillId="2" borderId="1" xfId="1" applyNumberFormat="1" applyFont="1" applyFill="1" applyBorder="1"/>
    <xf numFmtId="3" fontId="5" fillId="0" borderId="1" xfId="0" applyNumberFormat="1" applyFont="1" applyBorder="1" applyAlignment="1">
      <alignment horizontal="center"/>
    </xf>
    <xf numFmtId="0" fontId="0" fillId="0" borderId="0" xfId="0" applyAlignment="1">
      <alignment horizontal="center"/>
    </xf>
    <xf numFmtId="0" fontId="12" fillId="0" borderId="0" xfId="3" applyFont="1" applyAlignment="1">
      <alignment horizontal="right"/>
    </xf>
    <xf numFmtId="0" fontId="14" fillId="0" borderId="0" xfId="3" applyFont="1"/>
    <xf numFmtId="0" fontId="5" fillId="0" borderId="0" xfId="0" applyFont="1" applyAlignment="1">
      <alignment horizontal="center"/>
    </xf>
    <xf numFmtId="0" fontId="6" fillId="0" borderId="0" xfId="3" applyFont="1"/>
    <xf numFmtId="0" fontId="19" fillId="0" borderId="0" xfId="4" applyFont="1"/>
    <xf numFmtId="0" fontId="19" fillId="0" borderId="0" xfId="3" applyFont="1" applyAlignment="1">
      <alignment horizontal="center"/>
    </xf>
    <xf numFmtId="3" fontId="19" fillId="0" borderId="0" xfId="3" applyNumberFormat="1" applyFont="1"/>
    <xf numFmtId="0" fontId="19" fillId="0" borderId="0" xfId="3" applyFont="1"/>
    <xf numFmtId="0" fontId="16" fillId="0" borderId="0" xfId="4" applyFont="1"/>
    <xf numFmtId="0" fontId="17" fillId="0" borderId="0" xfId="4" applyFont="1"/>
    <xf numFmtId="0" fontId="17" fillId="0" borderId="0" xfId="3" applyFont="1" applyAlignment="1">
      <alignment horizontal="center"/>
    </xf>
    <xf numFmtId="3" fontId="17" fillId="0" borderId="0" xfId="3" applyNumberFormat="1" applyFont="1"/>
    <xf numFmtId="0" fontId="17" fillId="0" borderId="0" xfId="3" applyFont="1"/>
    <xf numFmtId="0" fontId="16" fillId="0" borderId="0" xfId="8" applyFont="1"/>
    <xf numFmtId="0" fontId="20" fillId="0" borderId="0" xfId="8" applyFont="1"/>
    <xf numFmtId="0" fontId="9" fillId="0" borderId="0" xfId="8" applyFont="1"/>
    <xf numFmtId="0" fontId="9" fillId="0" borderId="0" xfId="8" applyFont="1" applyAlignment="1">
      <alignment horizontal="center"/>
    </xf>
    <xf numFmtId="1" fontId="9" fillId="0" borderId="11" xfId="8" applyNumberFormat="1" applyFont="1" applyBorder="1"/>
    <xf numFmtId="0" fontId="9" fillId="0" borderId="11" xfId="8" applyFont="1" applyBorder="1"/>
    <xf numFmtId="1" fontId="21" fillId="0" borderId="11" xfId="8" applyNumberFormat="1" applyFont="1" applyBorder="1"/>
    <xf numFmtId="0" fontId="5" fillId="0" borderId="0" xfId="8"/>
    <xf numFmtId="3" fontId="19" fillId="0" borderId="0" xfId="8" applyNumberFormat="1" applyFont="1"/>
    <xf numFmtId="0" fontId="19" fillId="0" borderId="0" xfId="8" applyFont="1"/>
    <xf numFmtId="0" fontId="9" fillId="0" borderId="0" xfId="3" applyFont="1" applyAlignment="1">
      <alignment horizontal="center"/>
    </xf>
    <xf numFmtId="12" fontId="24" fillId="0" borderId="0" xfId="3" applyNumberFormat="1" applyFont="1" applyAlignment="1">
      <alignment horizontal="left" vertical="top"/>
    </xf>
    <xf numFmtId="1" fontId="19" fillId="0" borderId="0" xfId="3" applyNumberFormat="1" applyFont="1"/>
    <xf numFmtId="3" fontId="9" fillId="0" borderId="11" xfId="8" applyNumberFormat="1" applyFont="1" applyBorder="1"/>
    <xf numFmtId="4" fontId="9" fillId="0" borderId="11" xfId="8" applyNumberFormat="1" applyFont="1" applyBorder="1"/>
    <xf numFmtId="0" fontId="26" fillId="0" borderId="0" xfId="8" applyFont="1" applyAlignment="1">
      <alignment horizontal="left" vertical="top"/>
    </xf>
    <xf numFmtId="3" fontId="9" fillId="0" borderId="0" xfId="8" applyNumberFormat="1" applyFont="1"/>
    <xf numFmtId="12" fontId="24" fillId="0" borderId="0" xfId="8" applyNumberFormat="1" applyFont="1" applyAlignment="1">
      <alignment horizontal="left" vertical="top"/>
    </xf>
    <xf numFmtId="1" fontId="19" fillId="0" borderId="0" xfId="8" applyNumberFormat="1" applyFont="1"/>
    <xf numFmtId="9" fontId="9" fillId="0" borderId="0" xfId="2" applyFont="1"/>
    <xf numFmtId="0" fontId="27" fillId="0" borderId="0" xfId="8" applyFont="1"/>
    <xf numFmtId="0" fontId="29" fillId="0" borderId="0" xfId="8" applyFont="1"/>
    <xf numFmtId="169" fontId="19" fillId="0" borderId="0" xfId="8" applyNumberFormat="1" applyFont="1"/>
    <xf numFmtId="172" fontId="9" fillId="0" borderId="11" xfId="9" applyNumberFormat="1" applyFont="1" applyBorder="1"/>
    <xf numFmtId="173" fontId="9" fillId="0" borderId="11" xfId="9" applyNumberFormat="1" applyFont="1" applyBorder="1"/>
    <xf numFmtId="1" fontId="9" fillId="0" borderId="0" xfId="8" applyNumberFormat="1" applyFont="1"/>
    <xf numFmtId="9" fontId="9" fillId="0" borderId="0" xfId="8" applyNumberFormat="1" applyFont="1"/>
    <xf numFmtId="171" fontId="9" fillId="0" borderId="0" xfId="8" applyNumberFormat="1" applyFont="1"/>
    <xf numFmtId="0" fontId="17" fillId="0" borderId="0" xfId="8" applyFont="1"/>
    <xf numFmtId="0" fontId="9" fillId="0" borderId="0" xfId="8" applyFont="1" applyAlignment="1">
      <alignment horizontal="left" vertical="top"/>
    </xf>
    <xf numFmtId="0" fontId="9" fillId="0" borderId="0" xfId="8" applyFont="1" applyAlignment="1">
      <alignment horizontal="center" vertical="top"/>
    </xf>
    <xf numFmtId="3" fontId="11" fillId="0" borderId="0" xfId="8" applyNumberFormat="1" applyFont="1"/>
    <xf numFmtId="0" fontId="11" fillId="0" borderId="0" xfId="8" applyFont="1"/>
    <xf numFmtId="0" fontId="20" fillId="0" borderId="0" xfId="4" applyFont="1"/>
    <xf numFmtId="172" fontId="19" fillId="0" borderId="0" xfId="9" applyNumberFormat="1" applyFont="1" applyAlignment="1">
      <alignment horizontal="center" vertical="center"/>
    </xf>
    <xf numFmtId="0" fontId="19" fillId="0" borderId="0" xfId="4" applyFont="1" applyAlignment="1">
      <alignment horizontal="center"/>
    </xf>
    <xf numFmtId="0" fontId="19" fillId="6" borderId="0" xfId="4" applyFont="1" applyFill="1" applyAlignment="1">
      <alignment horizontal="center"/>
    </xf>
    <xf numFmtId="0" fontId="14" fillId="0" borderId="0" xfId="0" applyFont="1"/>
    <xf numFmtId="2" fontId="19" fillId="0" borderId="0" xfId="4" applyNumberFormat="1" applyFont="1" applyAlignment="1">
      <alignment horizontal="center"/>
    </xf>
    <xf numFmtId="1" fontId="19" fillId="6" borderId="0" xfId="9" applyNumberFormat="1" applyFont="1" applyFill="1" applyAlignment="1">
      <alignment horizontal="center" vertical="center"/>
    </xf>
    <xf numFmtId="4" fontId="19" fillId="0" borderId="0" xfId="3" applyNumberFormat="1" applyFont="1"/>
    <xf numFmtId="2" fontId="19" fillId="0" borderId="0" xfId="9" applyNumberFormat="1" applyFont="1" applyAlignment="1">
      <alignment horizontal="center" vertical="center"/>
    </xf>
    <xf numFmtId="3" fontId="19" fillId="0" borderId="0" xfId="9" applyNumberFormat="1" applyFont="1" applyAlignment="1">
      <alignment horizontal="center" vertical="center"/>
    </xf>
    <xf numFmtId="1" fontId="19" fillId="0" borderId="0" xfId="4" applyNumberFormat="1" applyFont="1" applyAlignment="1">
      <alignment horizontal="center"/>
    </xf>
    <xf numFmtId="2" fontId="19" fillId="6" borderId="0" xfId="9" applyNumberFormat="1" applyFont="1" applyFill="1" applyAlignment="1">
      <alignment horizontal="center" vertical="center"/>
    </xf>
    <xf numFmtId="3" fontId="19" fillId="6" borderId="0" xfId="3" applyNumberFormat="1" applyFont="1" applyFill="1"/>
    <xf numFmtId="0" fontId="19" fillId="6" borderId="0" xfId="3" applyFont="1" applyFill="1"/>
    <xf numFmtId="0" fontId="31" fillId="0" borderId="0" xfId="3" applyFont="1"/>
    <xf numFmtId="0" fontId="15" fillId="0" borderId="0" xfId="3" applyFont="1" applyAlignment="1">
      <alignment vertical="center"/>
    </xf>
    <xf numFmtId="0" fontId="15" fillId="0" borderId="0" xfId="3" applyFont="1" applyAlignment="1">
      <alignment horizontal="center" vertical="center"/>
    </xf>
    <xf numFmtId="0" fontId="15" fillId="0" borderId="0" xfId="3" applyFont="1" applyAlignment="1">
      <alignment horizontal="left" vertical="center"/>
    </xf>
    <xf numFmtId="0" fontId="15" fillId="0" borderId="0" xfId="3" applyFont="1" applyAlignment="1">
      <alignment horizontal="right" vertical="center"/>
    </xf>
    <xf numFmtId="165" fontId="15" fillId="0" borderId="0" xfId="3" applyNumberFormat="1" applyFont="1" applyAlignment="1">
      <alignment horizontal="right"/>
    </xf>
    <xf numFmtId="0" fontId="15" fillId="0" borderId="0" xfId="3" applyFont="1"/>
    <xf numFmtId="14" fontId="15" fillId="0" borderId="0" xfId="3" applyNumberFormat="1" applyFont="1"/>
    <xf numFmtId="0" fontId="15" fillId="0" borderId="0" xfId="3" applyFont="1" applyAlignment="1">
      <alignment horizontal="right"/>
    </xf>
    <xf numFmtId="0" fontId="15" fillId="4" borderId="0" xfId="3" applyFont="1" applyFill="1"/>
    <xf numFmtId="166" fontId="5" fillId="0" borderId="1" xfId="0" applyNumberFormat="1" applyFont="1" applyBorder="1" applyAlignment="1">
      <alignment horizontal="center"/>
    </xf>
    <xf numFmtId="0" fontId="9" fillId="0" borderId="0" xfId="0" applyFont="1"/>
    <xf numFmtId="0" fontId="15" fillId="0" borderId="0" xfId="0" applyFont="1"/>
    <xf numFmtId="0" fontId="15" fillId="0" borderId="0" xfId="0" applyFont="1" applyAlignment="1">
      <alignment horizontal="left"/>
    </xf>
    <xf numFmtId="0" fontId="15" fillId="0" borderId="11" xfId="0" applyFont="1" applyBorder="1"/>
    <xf numFmtId="0" fontId="15" fillId="0" borderId="1" xfId="0" applyFont="1" applyBorder="1" applyAlignment="1">
      <alignment horizontal="center"/>
    </xf>
    <xf numFmtId="0" fontId="15" fillId="0" borderId="0" xfId="0" applyFont="1" applyAlignment="1">
      <alignment horizontal="center"/>
    </xf>
    <xf numFmtId="166" fontId="6" fillId="0" borderId="0" xfId="0" applyNumberFormat="1" applyFont="1" applyAlignment="1">
      <alignment horizontal="center"/>
    </xf>
    <xf numFmtId="166" fontId="31" fillId="0" borderId="0" xfId="0" applyNumberFormat="1" applyFont="1" applyAlignment="1">
      <alignment horizontal="center"/>
    </xf>
    <xf numFmtId="0" fontId="36" fillId="0" borderId="0" xfId="0" applyFont="1"/>
    <xf numFmtId="0" fontId="15" fillId="0" borderId="0" xfId="8" applyFont="1"/>
    <xf numFmtId="166" fontId="5" fillId="0" borderId="13" xfId="0" applyNumberFormat="1" applyFont="1" applyBorder="1" applyAlignment="1">
      <alignment horizontal="center" vertical="center" wrapText="1"/>
    </xf>
    <xf numFmtId="170" fontId="9" fillId="0" borderId="0" xfId="0" applyNumberFormat="1" applyFont="1"/>
    <xf numFmtId="1" fontId="15" fillId="0" borderId="2" xfId="1" applyNumberFormat="1" applyFont="1" applyBorder="1"/>
    <xf numFmtId="44" fontId="15" fillId="0" borderId="2" xfId="1" applyFont="1" applyBorder="1"/>
    <xf numFmtId="3" fontId="37" fillId="0" borderId="2" xfId="1" applyNumberFormat="1" applyFont="1" applyBorder="1"/>
    <xf numFmtId="0" fontId="6" fillId="4" borderId="0" xfId="6" applyFont="1" applyFill="1"/>
    <xf numFmtId="166" fontId="5" fillId="4" borderId="0" xfId="6" applyNumberFormat="1" applyFill="1"/>
    <xf numFmtId="0" fontId="5" fillId="4" borderId="0" xfId="6" applyFill="1"/>
    <xf numFmtId="44" fontId="15" fillId="0" borderId="0" xfId="0" applyNumberFormat="1" applyFont="1"/>
    <xf numFmtId="0" fontId="6" fillId="0" borderId="0" xfId="3" applyFont="1" applyAlignment="1">
      <alignment horizontal="right"/>
    </xf>
    <xf numFmtId="0" fontId="15" fillId="0" borderId="1" xfId="0" applyFont="1" applyBorder="1"/>
    <xf numFmtId="3" fontId="15" fillId="0" borderId="1" xfId="0" applyNumberFormat="1" applyFont="1" applyBorder="1"/>
    <xf numFmtId="42" fontId="15" fillId="0" borderId="1" xfId="0" applyNumberFormat="1" applyFont="1" applyBorder="1"/>
    <xf numFmtId="165" fontId="15" fillId="0" borderId="1" xfId="0" applyNumberFormat="1" applyFont="1" applyBorder="1"/>
    <xf numFmtId="0" fontId="32" fillId="0" borderId="0" xfId="0" applyFont="1"/>
    <xf numFmtId="165" fontId="32" fillId="0" borderId="0" xfId="0" applyNumberFormat="1" applyFont="1"/>
    <xf numFmtId="0" fontId="5" fillId="0" borderId="0" xfId="6"/>
    <xf numFmtId="0" fontId="5" fillId="4" borderId="1" xfId="6" applyFill="1" applyBorder="1"/>
    <xf numFmtId="165" fontId="5" fillId="0" borderId="1" xfId="7" applyNumberFormat="1" applyBorder="1"/>
    <xf numFmtId="165" fontId="5" fillId="0" borderId="1" xfId="6" applyNumberFormat="1" applyBorder="1"/>
    <xf numFmtId="0" fontId="6" fillId="4" borderId="1" xfId="6" applyFont="1" applyFill="1" applyBorder="1"/>
    <xf numFmtId="165" fontId="6" fillId="0" borderId="1" xfId="7" applyNumberFormat="1" applyFont="1" applyBorder="1"/>
    <xf numFmtId="164" fontId="5" fillId="0" borderId="0" xfId="0" quotePrefix="1" applyNumberFormat="1" applyFont="1" applyAlignment="1">
      <alignment horizontal="left"/>
    </xf>
    <xf numFmtId="166" fontId="9" fillId="0" borderId="0" xfId="0" applyNumberFormat="1" applyFont="1"/>
    <xf numFmtId="3" fontId="5" fillId="4" borderId="0" xfId="6" applyNumberFormat="1" applyFill="1" applyAlignment="1">
      <alignment horizontal="center"/>
    </xf>
    <xf numFmtId="0" fontId="5" fillId="4" borderId="0" xfId="7" applyNumberFormat="1" applyFill="1" applyAlignment="1">
      <alignment horizontal="center"/>
    </xf>
    <xf numFmtId="0" fontId="15" fillId="0" borderId="0" xfId="4" applyFont="1" applyAlignment="1">
      <alignment horizontal="center"/>
    </xf>
    <xf numFmtId="44" fontId="15" fillId="0" borderId="0" xfId="1" applyFont="1"/>
    <xf numFmtId="0" fontId="15" fillId="0" borderId="8" xfId="0" applyFont="1" applyBorder="1"/>
    <xf numFmtId="0" fontId="5" fillId="4" borderId="11" xfId="6" applyFill="1" applyBorder="1"/>
    <xf numFmtId="0" fontId="5" fillId="4" borderId="0" xfId="6" applyFill="1" applyAlignment="1">
      <alignment horizontal="center"/>
    </xf>
    <xf numFmtId="167" fontId="6" fillId="4" borderId="0" xfId="6" applyNumberFormat="1" applyFont="1" applyFill="1"/>
    <xf numFmtId="0" fontId="34" fillId="0" borderId="4" xfId="6" applyFont="1" applyBorder="1" applyAlignment="1">
      <alignment horizontal="left" wrapText="1"/>
    </xf>
    <xf numFmtId="0" fontId="5" fillId="0" borderId="1" xfId="6" applyBorder="1" applyAlignment="1">
      <alignment horizontal="left"/>
    </xf>
    <xf numFmtId="42" fontId="5" fillId="0" borderId="1" xfId="6" applyNumberFormat="1" applyBorder="1" applyAlignment="1">
      <alignment horizontal="left"/>
    </xf>
    <xf numFmtId="0" fontId="5" fillId="0" borderId="7" xfId="0" applyFont="1" applyBorder="1"/>
    <xf numFmtId="0" fontId="5" fillId="0" borderId="8" xfId="0" applyFont="1" applyBorder="1"/>
    <xf numFmtId="0" fontId="5" fillId="0" borderId="9" xfId="0" applyFont="1" applyBorder="1"/>
    <xf numFmtId="3" fontId="5" fillId="0" borderId="13" xfId="0" applyNumberFormat="1" applyFont="1" applyBorder="1" applyAlignment="1">
      <alignment horizontal="center"/>
    </xf>
    <xf numFmtId="0" fontId="5" fillId="0" borderId="8" xfId="0" applyFont="1" applyBorder="1" applyAlignment="1">
      <alignment horizontal="center"/>
    </xf>
    <xf numFmtId="165" fontId="5" fillId="0" borderId="13" xfId="7" applyNumberFormat="1" applyBorder="1" applyAlignment="1" applyProtection="1">
      <alignment horizontal="right"/>
      <protection locked="0"/>
    </xf>
    <xf numFmtId="42" fontId="5" fillId="0" borderId="9" xfId="7" applyNumberFormat="1" applyBorder="1" applyAlignment="1">
      <alignment horizontal="center"/>
    </xf>
    <xf numFmtId="0" fontId="5" fillId="0" borderId="5" xfId="0" applyFont="1" applyBorder="1"/>
    <xf numFmtId="0" fontId="34" fillId="0" borderId="0" xfId="0" applyFont="1"/>
    <xf numFmtId="0" fontId="5" fillId="0" borderId="6" xfId="0" applyFont="1" applyBorder="1"/>
    <xf numFmtId="3" fontId="5" fillId="0" borderId="15" xfId="0" applyNumberFormat="1" applyFont="1" applyBorder="1" applyAlignment="1">
      <alignment horizontal="center"/>
    </xf>
    <xf numFmtId="166" fontId="5" fillId="0" borderId="15" xfId="0" applyNumberFormat="1" applyFont="1" applyBorder="1" applyAlignment="1">
      <alignment horizontal="right"/>
    </xf>
    <xf numFmtId="42" fontId="5" fillId="0" borderId="6" xfId="7" applyNumberFormat="1" applyBorder="1" applyAlignment="1">
      <alignment horizontal="center"/>
    </xf>
    <xf numFmtId="0" fontId="5" fillId="0" borderId="10" xfId="0" applyFont="1" applyBorder="1"/>
    <xf numFmtId="167" fontId="5" fillId="0" borderId="14" xfId="0" applyNumberFormat="1" applyFont="1" applyBorder="1" applyAlignment="1">
      <alignment horizontal="right"/>
    </xf>
    <xf numFmtId="0" fontId="5" fillId="0" borderId="11" xfId="0" applyFont="1" applyBorder="1"/>
    <xf numFmtId="0" fontId="5" fillId="0" borderId="12" xfId="0" applyFont="1" applyBorder="1"/>
    <xf numFmtId="3" fontId="5" fillId="0" borderId="14" xfId="0" applyNumberFormat="1" applyFont="1" applyBorder="1" applyAlignment="1">
      <alignment horizontal="center"/>
    </xf>
    <xf numFmtId="0" fontId="5" fillId="0" borderId="11" xfId="0" applyFont="1" applyBorder="1" applyAlignment="1">
      <alignment horizontal="center"/>
    </xf>
    <xf numFmtId="42" fontId="5" fillId="0" borderId="12" xfId="7" applyNumberFormat="1" applyBorder="1" applyAlignment="1">
      <alignment horizontal="center"/>
    </xf>
    <xf numFmtId="165" fontId="5" fillId="0" borderId="15" xfId="7" applyNumberFormat="1" applyBorder="1" applyAlignment="1" applyProtection="1">
      <alignment horizontal="right"/>
      <protection locked="0"/>
    </xf>
    <xf numFmtId="0" fontId="5" fillId="0" borderId="14" xfId="0" applyFont="1" applyBorder="1" applyAlignment="1">
      <alignment horizontal="center"/>
    </xf>
    <xf numFmtId="0" fontId="5" fillId="0" borderId="2" xfId="0" applyFont="1" applyBorder="1"/>
    <xf numFmtId="0" fontId="34" fillId="4" borderId="4" xfId="6" applyFont="1" applyFill="1" applyBorder="1" applyAlignment="1">
      <alignment horizontal="left" wrapText="1"/>
    </xf>
    <xf numFmtId="0" fontId="5" fillId="0" borderId="3" xfId="0" applyFont="1" applyBorder="1"/>
    <xf numFmtId="0" fontId="5" fillId="0" borderId="3" xfId="0" applyFont="1" applyBorder="1" applyAlignment="1">
      <alignment horizontal="center"/>
    </xf>
    <xf numFmtId="166" fontId="5" fillId="0" borderId="1" xfId="0" applyNumberFormat="1" applyFont="1" applyBorder="1" applyAlignment="1">
      <alignment horizontal="right"/>
    </xf>
    <xf numFmtId="42" fontId="5" fillId="0" borderId="4" xfId="7" applyNumberFormat="1" applyBorder="1" applyAlignment="1">
      <alignment horizontal="center"/>
    </xf>
    <xf numFmtId="0" fontId="5" fillId="0" borderId="16" xfId="0" applyFont="1" applyBorder="1"/>
    <xf numFmtId="42" fontId="6" fillId="5" borderId="1" xfId="7" applyNumberFormat="1" applyFont="1" applyFill="1" applyBorder="1" applyAlignment="1">
      <alignment horizontal="center"/>
    </xf>
    <xf numFmtId="0" fontId="34" fillId="0" borderId="4" xfId="0" applyFont="1" applyBorder="1"/>
    <xf numFmtId="0" fontId="5" fillId="0" borderId="1" xfId="0" applyFont="1" applyBorder="1"/>
    <xf numFmtId="168" fontId="5" fillId="0" borderId="1" xfId="0" applyNumberFormat="1" applyFont="1" applyBorder="1" applyAlignment="1">
      <alignment horizontal="center"/>
    </xf>
    <xf numFmtId="42" fontId="5" fillId="0" borderId="1" xfId="7" applyNumberFormat="1" applyBorder="1" applyAlignment="1">
      <alignment horizontal="center"/>
    </xf>
    <xf numFmtId="0" fontId="34" fillId="0" borderId="9" xfId="0" applyFont="1" applyBorder="1"/>
    <xf numFmtId="0" fontId="5" fillId="0" borderId="15" xfId="0" applyFont="1" applyBorder="1"/>
    <xf numFmtId="167" fontId="5" fillId="0" borderId="15" xfId="0" applyNumberFormat="1" applyFont="1" applyBorder="1" applyAlignment="1">
      <alignment horizontal="center"/>
    </xf>
    <xf numFmtId="42" fontId="5" fillId="0" borderId="15" xfId="7" applyNumberFormat="1" applyBorder="1" applyAlignment="1">
      <alignment horizontal="center"/>
    </xf>
    <xf numFmtId="166" fontId="5" fillId="0" borderId="15" xfId="0" applyNumberFormat="1" applyFont="1" applyBorder="1" applyAlignment="1">
      <alignment horizontal="center"/>
    </xf>
    <xf numFmtId="0" fontId="5" fillId="0" borderId="14" xfId="0" applyFont="1" applyBorder="1"/>
    <xf numFmtId="42" fontId="5" fillId="0" borderId="14" xfId="7" applyNumberFormat="1" applyBorder="1" applyAlignment="1">
      <alignment horizontal="center"/>
    </xf>
    <xf numFmtId="0" fontId="5" fillId="0" borderId="1" xfId="0" applyFont="1" applyBorder="1" applyAlignment="1">
      <alignment horizontal="center"/>
    </xf>
    <xf numFmtId="0" fontId="5" fillId="0" borderId="4" xfId="0" applyFont="1" applyBorder="1"/>
    <xf numFmtId="42" fontId="6" fillId="0" borderId="0" xfId="7" applyNumberFormat="1" applyFont="1" applyAlignment="1">
      <alignment horizontal="center"/>
    </xf>
    <xf numFmtId="167" fontId="5" fillId="4" borderId="0" xfId="6" applyNumberFormat="1" applyFill="1" applyAlignment="1">
      <alignment horizontal="center"/>
    </xf>
    <xf numFmtId="42" fontId="5" fillId="4" borderId="0" xfId="7" applyNumberFormat="1" applyFill="1" applyAlignment="1">
      <alignment horizontal="center"/>
    </xf>
    <xf numFmtId="165" fontId="0" fillId="0" borderId="0" xfId="0" applyNumberFormat="1"/>
    <xf numFmtId="165" fontId="6" fillId="0" borderId="1" xfId="6" applyNumberFormat="1" applyFont="1" applyBorder="1"/>
    <xf numFmtId="0" fontId="40" fillId="0" borderId="1" xfId="0" applyFont="1" applyBorder="1"/>
    <xf numFmtId="165" fontId="27" fillId="0" borderId="1" xfId="1" applyNumberFormat="1" applyFont="1" applyBorder="1"/>
    <xf numFmtId="0" fontId="33" fillId="0" borderId="0" xfId="0" applyFont="1"/>
    <xf numFmtId="165" fontId="5" fillId="0" borderId="1" xfId="7" applyNumberFormat="1" applyBorder="1" applyAlignment="1">
      <alignment horizontal="center" wrapText="1"/>
    </xf>
    <xf numFmtId="165" fontId="5" fillId="0" borderId="0" xfId="7" applyNumberFormat="1" applyAlignment="1">
      <alignment horizontal="left"/>
    </xf>
    <xf numFmtId="165" fontId="5" fillId="0" borderId="19" xfId="7" applyNumberFormat="1" applyBorder="1" applyAlignment="1">
      <alignment horizontal="center" wrapText="1"/>
    </xf>
    <xf numFmtId="165" fontId="5" fillId="0" borderId="20" xfId="7" applyNumberFormat="1" applyBorder="1" applyAlignment="1">
      <alignment horizontal="center" wrapText="1"/>
    </xf>
    <xf numFmtId="0" fontId="5" fillId="4" borderId="21" xfId="6" applyFill="1" applyBorder="1"/>
    <xf numFmtId="0" fontId="5" fillId="0" borderId="21" xfId="6" applyBorder="1"/>
    <xf numFmtId="165" fontId="5" fillId="0" borderId="19" xfId="7" applyNumberFormat="1" applyBorder="1"/>
    <xf numFmtId="165" fontId="5" fillId="0" borderId="20" xfId="7" applyNumberFormat="1" applyBorder="1"/>
    <xf numFmtId="165" fontId="5" fillId="0" borderId="20" xfId="6" applyNumberFormat="1" applyBorder="1"/>
    <xf numFmtId="9" fontId="15" fillId="0" borderId="0" xfId="0" applyNumberFormat="1" applyFont="1"/>
    <xf numFmtId="0" fontId="5" fillId="4" borderId="26" xfId="6" applyFill="1" applyBorder="1"/>
    <xf numFmtId="0" fontId="32" fillId="0" borderId="0" xfId="0" applyFont="1" applyAlignment="1">
      <alignment horizontal="right"/>
    </xf>
    <xf numFmtId="0" fontId="15" fillId="0" borderId="0" xfId="0" applyFont="1" applyAlignment="1">
      <alignment horizontal="right"/>
    </xf>
    <xf numFmtId="165" fontId="5" fillId="0" borderId="3" xfId="6" applyNumberFormat="1" applyBorder="1"/>
    <xf numFmtId="166" fontId="5" fillId="0" borderId="0" xfId="0" applyNumberFormat="1" applyFont="1"/>
    <xf numFmtId="0" fontId="15" fillId="0" borderId="13" xfId="0" applyFont="1" applyBorder="1" applyAlignment="1">
      <alignment horizontal="center"/>
    </xf>
    <xf numFmtId="165" fontId="6" fillId="0" borderId="28" xfId="6" applyNumberFormat="1" applyFont="1" applyBorder="1"/>
    <xf numFmtId="165" fontId="5" fillId="0" borderId="28" xfId="7" applyNumberFormat="1" applyBorder="1"/>
    <xf numFmtId="0" fontId="6" fillId="9" borderId="29" xfId="6" applyFont="1" applyFill="1" applyBorder="1" applyAlignment="1">
      <alignment horizontal="center" wrapText="1"/>
    </xf>
    <xf numFmtId="44" fontId="6" fillId="9" borderId="11" xfId="7" applyFont="1" applyFill="1" applyBorder="1" applyAlignment="1">
      <alignment horizontal="center" wrapText="1"/>
    </xf>
    <xf numFmtId="165" fontId="5" fillId="9" borderId="3" xfId="6" applyNumberFormat="1" applyFill="1" applyBorder="1"/>
    <xf numFmtId="165" fontId="6" fillId="9" borderId="29" xfId="7" applyNumberFormat="1" applyFont="1" applyFill="1" applyBorder="1"/>
    <xf numFmtId="165" fontId="5" fillId="0" borderId="27" xfId="6" applyNumberFormat="1" applyBorder="1"/>
    <xf numFmtId="165" fontId="5" fillId="0" borderId="28" xfId="6" applyNumberFormat="1" applyBorder="1"/>
    <xf numFmtId="0" fontId="6" fillId="0" borderId="11" xfId="0" applyFont="1" applyBorder="1" applyAlignment="1">
      <alignment wrapText="1"/>
    </xf>
    <xf numFmtId="170" fontId="42" fillId="8" borderId="1" xfId="14" applyNumberFormat="1" applyFont="1" applyBorder="1" applyAlignment="1">
      <alignment horizontal="right"/>
    </xf>
    <xf numFmtId="44" fontId="43" fillId="2" borderId="12" xfId="7" applyFont="1" applyFill="1" applyBorder="1" applyAlignment="1">
      <alignment horizontal="center" wrapText="1"/>
    </xf>
    <xf numFmtId="44" fontId="43" fillId="2" borderId="14" xfId="7" applyFont="1" applyFill="1" applyBorder="1" applyAlignment="1">
      <alignment horizontal="center" wrapText="1"/>
    </xf>
    <xf numFmtId="44" fontId="43" fillId="2" borderId="22" xfId="7" applyFont="1" applyFill="1" applyBorder="1" applyAlignment="1">
      <alignment horizontal="center" wrapText="1"/>
    </xf>
    <xf numFmtId="44" fontId="43" fillId="2" borderId="35" xfId="7" applyFont="1" applyFill="1" applyBorder="1" applyAlignment="1">
      <alignment horizontal="center" wrapText="1"/>
    </xf>
    <xf numFmtId="44" fontId="43" fillId="2" borderId="34" xfId="7" applyFont="1" applyFill="1" applyBorder="1" applyAlignment="1">
      <alignment horizontal="center" wrapText="1"/>
    </xf>
    <xf numFmtId="44" fontId="43" fillId="2" borderId="33" xfId="7" applyFont="1" applyFill="1" applyBorder="1" applyAlignment="1">
      <alignment horizontal="center" wrapText="1"/>
    </xf>
    <xf numFmtId="44" fontId="43" fillId="2" borderId="32" xfId="7" applyFont="1" applyFill="1" applyBorder="1" applyAlignment="1">
      <alignment horizontal="center" wrapText="1"/>
    </xf>
    <xf numFmtId="165" fontId="5" fillId="0" borderId="4" xfId="7" applyNumberFormat="1" applyBorder="1" applyAlignment="1">
      <alignment horizontal="center" wrapText="1"/>
    </xf>
    <xf numFmtId="0" fontId="43" fillId="2" borderId="18" xfId="6" applyFont="1" applyFill="1" applyBorder="1"/>
    <xf numFmtId="165" fontId="43" fillId="2" borderId="36" xfId="7" applyNumberFormat="1" applyFont="1" applyFill="1" applyBorder="1" applyAlignment="1">
      <alignment horizontal="center" wrapText="1"/>
    </xf>
    <xf numFmtId="165" fontId="43" fillId="2" borderId="24" xfId="7" applyNumberFormat="1" applyFont="1" applyFill="1" applyBorder="1" applyAlignment="1">
      <alignment horizontal="center" wrapText="1"/>
    </xf>
    <xf numFmtId="165" fontId="43" fillId="2" borderId="25" xfId="7" applyNumberFormat="1" applyFont="1" applyFill="1" applyBorder="1" applyAlignment="1">
      <alignment horizontal="center" wrapText="1"/>
    </xf>
    <xf numFmtId="165" fontId="43" fillId="2" borderId="23" xfId="7" applyNumberFormat="1" applyFont="1" applyFill="1" applyBorder="1" applyAlignment="1">
      <alignment horizontal="center" wrapText="1"/>
    </xf>
    <xf numFmtId="165" fontId="43" fillId="2" borderId="25" xfId="7" applyNumberFormat="1" applyFont="1" applyFill="1" applyBorder="1"/>
    <xf numFmtId="165" fontId="43" fillId="2" borderId="23" xfId="7" applyNumberFormat="1" applyFont="1" applyFill="1" applyBorder="1"/>
    <xf numFmtId="165" fontId="43" fillId="2" borderId="30" xfId="7" applyNumberFormat="1" applyFont="1" applyFill="1" applyBorder="1"/>
    <xf numFmtId="165" fontId="43" fillId="2" borderId="31" xfId="7" applyNumberFormat="1" applyFont="1" applyFill="1" applyBorder="1"/>
    <xf numFmtId="165" fontId="43" fillId="2" borderId="31" xfId="6" applyNumberFormat="1" applyFont="1" applyFill="1" applyBorder="1"/>
    <xf numFmtId="0" fontId="43" fillId="2" borderId="1" xfId="0" applyFont="1" applyFill="1" applyBorder="1" applyAlignment="1">
      <alignment horizontal="right"/>
    </xf>
    <xf numFmtId="170" fontId="41" fillId="8" borderId="1" xfId="14" applyNumberFormat="1" applyBorder="1" applyAlignment="1">
      <alignment horizontal="right"/>
    </xf>
    <xf numFmtId="3" fontId="43" fillId="2" borderId="1" xfId="0" applyNumberFormat="1" applyFont="1" applyFill="1" applyBorder="1" applyAlignment="1">
      <alignment horizontal="center" wrapText="1"/>
    </xf>
    <xf numFmtId="166" fontId="43" fillId="2" borderId="1" xfId="0" applyNumberFormat="1" applyFont="1" applyFill="1" applyBorder="1" applyAlignment="1">
      <alignment horizontal="left" wrapText="1"/>
    </xf>
    <xf numFmtId="166" fontId="43" fillId="2" borderId="2" xfId="0" applyNumberFormat="1" applyFont="1" applyFill="1" applyBorder="1" applyAlignment="1">
      <alignment horizontal="left" wrapText="1"/>
    </xf>
    <xf numFmtId="0" fontId="43" fillId="2" borderId="2" xfId="6" applyFont="1" applyFill="1" applyBorder="1" applyAlignment="1">
      <alignment horizontal="left"/>
    </xf>
    <xf numFmtId="3" fontId="43" fillId="2" borderId="1" xfId="6" applyNumberFormat="1" applyFont="1" applyFill="1" applyBorder="1" applyAlignment="1">
      <alignment horizontal="left"/>
    </xf>
    <xf numFmtId="167" fontId="43" fillId="2" borderId="1" xfId="6" applyNumberFormat="1" applyFont="1" applyFill="1" applyBorder="1" applyAlignment="1">
      <alignment horizontal="left"/>
    </xf>
    <xf numFmtId="42" fontId="43" fillId="2" borderId="1" xfId="7" applyNumberFormat="1" applyFont="1" applyFill="1" applyBorder="1" applyAlignment="1">
      <alignment horizontal="left"/>
    </xf>
    <xf numFmtId="165" fontId="43" fillId="2" borderId="1" xfId="7" applyNumberFormat="1" applyFont="1" applyFill="1" applyBorder="1" applyAlignment="1">
      <alignment horizontal="left"/>
    </xf>
    <xf numFmtId="42" fontId="43" fillId="2" borderId="1" xfId="7" applyNumberFormat="1" applyFont="1" applyFill="1" applyBorder="1" applyAlignment="1">
      <alignment horizontal="center"/>
    </xf>
    <xf numFmtId="0" fontId="45" fillId="4" borderId="0" xfId="6" applyFont="1" applyFill="1"/>
    <xf numFmtId="165" fontId="43" fillId="2" borderId="1" xfId="7" applyNumberFormat="1" applyFont="1" applyFill="1" applyBorder="1" applyAlignment="1">
      <alignment horizontal="center"/>
    </xf>
    <xf numFmtId="169" fontId="43" fillId="2" borderId="1" xfId="6" applyNumberFormat="1" applyFont="1" applyFill="1" applyBorder="1" applyAlignment="1">
      <alignment horizontal="center"/>
    </xf>
    <xf numFmtId="165" fontId="43" fillId="2" borderId="1" xfId="7" applyNumberFormat="1" applyFont="1" applyFill="1" applyBorder="1" applyAlignment="1">
      <alignment horizontal="center" wrapText="1"/>
    </xf>
    <xf numFmtId="0" fontId="36" fillId="0" borderId="0" xfId="3" applyFont="1"/>
    <xf numFmtId="0" fontId="15" fillId="3" borderId="1" xfId="3" applyFont="1" applyFill="1" applyBorder="1" applyAlignment="1">
      <alignment horizontal="left" vertical="center" wrapText="1"/>
    </xf>
    <xf numFmtId="0" fontId="15" fillId="3" borderId="1" xfId="3" applyFont="1" applyFill="1" applyBorder="1" applyAlignment="1">
      <alignment horizontal="center" vertical="center" wrapText="1"/>
    </xf>
    <xf numFmtId="0" fontId="15" fillId="3" borderId="1" xfId="3" applyFont="1" applyFill="1" applyBorder="1" applyAlignment="1">
      <alignment horizontal="right" vertical="center" wrapText="1"/>
    </xf>
    <xf numFmtId="165" fontId="15" fillId="3" borderId="1" xfId="7" applyNumberFormat="1" applyFont="1" applyFill="1" applyBorder="1" applyAlignment="1">
      <alignment horizontal="right" vertical="center" wrapText="1"/>
    </xf>
    <xf numFmtId="0" fontId="15" fillId="0" borderId="1" xfId="3" applyFont="1" applyBorder="1" applyAlignment="1">
      <alignment horizontal="left" vertical="center" wrapText="1"/>
    </xf>
    <xf numFmtId="0" fontId="15" fillId="0" borderId="1" xfId="3" applyFont="1" applyBorder="1" applyAlignment="1">
      <alignment horizontal="center" vertical="center" wrapText="1"/>
    </xf>
    <xf numFmtId="0" fontId="15" fillId="0" borderId="1" xfId="3" applyFont="1" applyBorder="1" applyAlignment="1">
      <alignment horizontal="right" vertical="center" wrapText="1"/>
    </xf>
    <xf numFmtId="165" fontId="15" fillId="0" borderId="1" xfId="7" applyNumberFormat="1" applyFont="1" applyBorder="1" applyAlignment="1">
      <alignment horizontal="right" vertical="center" wrapText="1"/>
    </xf>
    <xf numFmtId="0" fontId="15" fillId="0" borderId="1" xfId="3" applyFont="1" applyBorder="1" applyAlignment="1">
      <alignment horizontal="left" wrapText="1"/>
    </xf>
    <xf numFmtId="0" fontId="15" fillId="0" borderId="1" xfId="3" applyFont="1" applyBorder="1" applyAlignment="1">
      <alignment horizontal="center" vertical="center"/>
    </xf>
    <xf numFmtId="1" fontId="15" fillId="0" borderId="1" xfId="3" applyNumberFormat="1" applyFont="1" applyBorder="1" applyAlignment="1">
      <alignment horizontal="center" vertical="center" wrapText="1"/>
    </xf>
    <xf numFmtId="0" fontId="15" fillId="4" borderId="1" xfId="3" applyFont="1" applyFill="1" applyBorder="1" applyAlignment="1">
      <alignment horizontal="left" wrapText="1"/>
    </xf>
    <xf numFmtId="0" fontId="15" fillId="4" borderId="1" xfId="3" applyFont="1" applyFill="1" applyBorder="1" applyAlignment="1">
      <alignment horizontal="left" vertical="center" wrapText="1"/>
    </xf>
    <xf numFmtId="0" fontId="15" fillId="4" borderId="1" xfId="3" applyFont="1" applyFill="1" applyBorder="1" applyAlignment="1">
      <alignment horizontal="center" vertical="center"/>
    </xf>
    <xf numFmtId="1" fontId="15" fillId="4" borderId="1" xfId="3" applyNumberFormat="1" applyFont="1" applyFill="1" applyBorder="1" applyAlignment="1">
      <alignment horizontal="center" vertical="center" wrapText="1"/>
    </xf>
    <xf numFmtId="0" fontId="15" fillId="4" borderId="1" xfId="3" applyFont="1" applyFill="1" applyBorder="1" applyAlignment="1">
      <alignment horizontal="right" vertical="center" wrapText="1"/>
    </xf>
    <xf numFmtId="165" fontId="15" fillId="4" borderId="1" xfId="7" applyNumberFormat="1" applyFont="1" applyFill="1" applyBorder="1" applyAlignment="1">
      <alignment horizontal="right" vertical="center" wrapText="1"/>
    </xf>
    <xf numFmtId="0" fontId="5" fillId="0" borderId="1" xfId="3" applyFont="1" applyBorder="1" applyAlignment="1">
      <alignment horizontal="left" vertical="center" wrapText="1"/>
    </xf>
    <xf numFmtId="0" fontId="32" fillId="0" borderId="1" xfId="3" applyFont="1" applyBorder="1" applyAlignment="1">
      <alignment horizontal="left" wrapText="1"/>
    </xf>
    <xf numFmtId="0" fontId="32" fillId="0" borderId="1" xfId="3" applyFont="1" applyBorder="1" applyAlignment="1">
      <alignment horizontal="left" vertical="center"/>
    </xf>
    <xf numFmtId="3" fontId="32" fillId="0" borderId="1" xfId="3" applyNumberFormat="1" applyFont="1" applyBorder="1" applyAlignment="1">
      <alignment horizontal="center" vertical="center"/>
    </xf>
    <xf numFmtId="0" fontId="15" fillId="3" borderId="1" xfId="3" applyFont="1" applyFill="1" applyBorder="1" applyAlignment="1">
      <alignment wrapText="1"/>
    </xf>
    <xf numFmtId="0" fontId="13" fillId="7" borderId="1" xfId="4" applyFont="1" applyFill="1" applyBorder="1"/>
    <xf numFmtId="3" fontId="13" fillId="7" borderId="1" xfId="4" applyNumberFormat="1" applyFont="1" applyFill="1" applyBorder="1"/>
    <xf numFmtId="42" fontId="13" fillId="4" borderId="1" xfId="6" applyNumberFormat="1" applyFont="1" applyFill="1" applyBorder="1" applyAlignment="1">
      <alignment horizontal="left"/>
    </xf>
    <xf numFmtId="165" fontId="13" fillId="7" borderId="1" xfId="7" applyNumberFormat="1" applyFont="1" applyFill="1" applyBorder="1"/>
    <xf numFmtId="0" fontId="15" fillId="0" borderId="0" xfId="1" applyNumberFormat="1" applyFont="1"/>
    <xf numFmtId="0" fontId="15" fillId="0" borderId="0" xfId="3" applyFont="1" applyAlignment="1">
      <alignment wrapText="1"/>
    </xf>
    <xf numFmtId="176" fontId="15" fillId="0" borderId="0" xfId="1" applyNumberFormat="1" applyFont="1"/>
    <xf numFmtId="0" fontId="5" fillId="10" borderId="0" xfId="0" applyFont="1" applyFill="1"/>
    <xf numFmtId="0" fontId="48" fillId="2" borderId="1" xfId="0" applyFont="1" applyFill="1" applyBorder="1" applyAlignment="1">
      <alignment horizontal="left" wrapText="1"/>
    </xf>
    <xf numFmtId="0" fontId="3" fillId="0" borderId="0" xfId="0" applyFont="1"/>
    <xf numFmtId="165" fontId="3" fillId="0" borderId="0" xfId="1" applyNumberFormat="1" applyFont="1"/>
    <xf numFmtId="165" fontId="3" fillId="0" borderId="0" xfId="0" applyNumberFormat="1" applyFont="1"/>
    <xf numFmtId="0" fontId="18" fillId="0" borderId="0" xfId="0" applyFont="1" applyAlignment="1">
      <alignment horizontal="right"/>
    </xf>
    <xf numFmtId="165" fontId="7" fillId="2" borderId="1" xfId="1" applyNumberFormat="1" applyFont="1" applyFill="1" applyBorder="1" applyAlignment="1">
      <alignment horizontal="right" wrapText="1"/>
    </xf>
    <xf numFmtId="49" fontId="8" fillId="0" borderId="1" xfId="0" applyNumberFormat="1" applyFont="1" applyBorder="1" applyAlignment="1">
      <alignment horizontal="left"/>
    </xf>
    <xf numFmtId="0" fontId="18" fillId="0" borderId="0" xfId="0" applyFont="1" applyAlignment="1">
      <alignment horizontal="center"/>
    </xf>
    <xf numFmtId="0" fontId="18" fillId="0" borderId="0" xfId="0" applyFont="1" applyAlignment="1">
      <alignment horizontal="left" vertical="center"/>
    </xf>
    <xf numFmtId="9" fontId="15" fillId="0" borderId="0" xfId="2" applyFont="1"/>
    <xf numFmtId="170" fontId="15" fillId="0" borderId="0" xfId="2" applyNumberFormat="1" applyFont="1"/>
    <xf numFmtId="0" fontId="18" fillId="0" borderId="0" xfId="0" applyFont="1"/>
    <xf numFmtId="0" fontId="12" fillId="0" borderId="0" xfId="3" applyFont="1"/>
    <xf numFmtId="0" fontId="6" fillId="0" borderId="0" xfId="3" applyFont="1" applyAlignment="1">
      <alignment horizontal="left"/>
    </xf>
    <xf numFmtId="0" fontId="6" fillId="0" borderId="0" xfId="3" applyFont="1" applyAlignment="1">
      <alignment wrapText="1"/>
    </xf>
    <xf numFmtId="0" fontId="5" fillId="0" borderId="0" xfId="3" applyFont="1" applyAlignment="1">
      <alignment wrapText="1"/>
    </xf>
    <xf numFmtId="0" fontId="5" fillId="0" borderId="0" xfId="3" applyFont="1" applyAlignment="1">
      <alignment horizontal="right"/>
    </xf>
    <xf numFmtId="0" fontId="5" fillId="0" borderId="0" xfId="11" applyFont="1"/>
    <xf numFmtId="2" fontId="5" fillId="0" borderId="0" xfId="11" applyNumberFormat="1" applyFont="1" applyAlignment="1">
      <alignment horizontal="right"/>
    </xf>
    <xf numFmtId="44" fontId="5" fillId="0" borderId="0" xfId="12" applyFont="1" applyAlignment="1">
      <alignment horizontal="right"/>
    </xf>
    <xf numFmtId="2" fontId="5" fillId="0" borderId="0" xfId="13" applyNumberFormat="1" applyFont="1"/>
    <xf numFmtId="0" fontId="5" fillId="0" borderId="0" xfId="13" applyFont="1"/>
    <xf numFmtId="0" fontId="32" fillId="0" borderId="0" xfId="3" applyFont="1" applyAlignment="1">
      <alignment wrapText="1"/>
    </xf>
    <xf numFmtId="0" fontId="32" fillId="5" borderId="1" xfId="3" applyFont="1" applyFill="1" applyBorder="1" applyAlignment="1">
      <alignment wrapText="1"/>
    </xf>
    <xf numFmtId="0" fontId="13" fillId="5" borderId="1" xfId="4" applyFont="1" applyFill="1" applyBorder="1"/>
    <xf numFmtId="3" fontId="13" fillId="5" borderId="1" xfId="4" applyNumberFormat="1" applyFont="1" applyFill="1" applyBorder="1"/>
    <xf numFmtId="42" fontId="13" fillId="5" borderId="1" xfId="6" applyNumberFormat="1" applyFont="1" applyFill="1" applyBorder="1" applyAlignment="1">
      <alignment horizontal="left"/>
    </xf>
    <xf numFmtId="165" fontId="13" fillId="5" borderId="1" xfId="7" applyNumberFormat="1" applyFont="1" applyFill="1" applyBorder="1"/>
    <xf numFmtId="165" fontId="13" fillId="5" borderId="1" xfId="7" applyNumberFormat="1" applyFont="1" applyFill="1" applyBorder="1" applyAlignment="1">
      <alignment wrapText="1"/>
    </xf>
    <xf numFmtId="0" fontId="15" fillId="5" borderId="1" xfId="3" applyFont="1" applyFill="1" applyBorder="1" applyAlignment="1">
      <alignment wrapText="1"/>
    </xf>
    <xf numFmtId="1" fontId="15" fillId="0" borderId="1" xfId="0" applyNumberFormat="1" applyFont="1" applyBorder="1"/>
    <xf numFmtId="171" fontId="15" fillId="0" borderId="1" xfId="0" applyNumberFormat="1" applyFont="1" applyBorder="1"/>
    <xf numFmtId="0" fontId="43" fillId="2" borderId="0" xfId="0" applyFont="1" applyFill="1"/>
    <xf numFmtId="3" fontId="43" fillId="2" borderId="0" xfId="0" applyNumberFormat="1" applyFont="1" applyFill="1"/>
    <xf numFmtId="1" fontId="32" fillId="0" borderId="0" xfId="0" applyNumberFormat="1" applyFont="1"/>
    <xf numFmtId="3" fontId="15" fillId="0" borderId="0" xfId="0" applyNumberFormat="1" applyFont="1"/>
    <xf numFmtId="1" fontId="15" fillId="0" borderId="0" xfId="0" applyNumberFormat="1" applyFont="1"/>
    <xf numFmtId="171" fontId="15" fillId="0" borderId="0" xfId="0" applyNumberFormat="1" applyFont="1"/>
    <xf numFmtId="0" fontId="37" fillId="0" borderId="0" xfId="0" applyFont="1"/>
    <xf numFmtId="2" fontId="15" fillId="0" borderId="0" xfId="0" applyNumberFormat="1" applyFont="1"/>
    <xf numFmtId="3" fontId="15" fillId="0" borderId="2" xfId="0" applyNumberFormat="1" applyFont="1" applyBorder="1"/>
    <xf numFmtId="0" fontId="43" fillId="2" borderId="1" xfId="0" applyFont="1" applyFill="1" applyBorder="1" applyAlignment="1">
      <alignment wrapText="1"/>
    </xf>
    <xf numFmtId="3" fontId="5" fillId="0" borderId="1" xfId="7" applyNumberFormat="1" applyBorder="1"/>
    <xf numFmtId="3" fontId="5" fillId="4" borderId="1" xfId="7" applyNumberFormat="1" applyFill="1" applyBorder="1"/>
    <xf numFmtId="2" fontId="15" fillId="0" borderId="1" xfId="0" applyNumberFormat="1" applyFont="1" applyBorder="1"/>
    <xf numFmtId="3" fontId="11" fillId="0" borderId="0" xfId="3" applyNumberFormat="1" applyFont="1"/>
    <xf numFmtId="0" fontId="11" fillId="0" borderId="0" xfId="3" applyFont="1"/>
    <xf numFmtId="3" fontId="9" fillId="0" borderId="0" xfId="3" applyNumberFormat="1" applyFont="1"/>
    <xf numFmtId="0" fontId="9" fillId="0" borderId="0" xfId="3" applyFont="1"/>
    <xf numFmtId="3" fontId="9" fillId="0" borderId="10" xfId="3" applyNumberFormat="1" applyFont="1" applyBorder="1"/>
    <xf numFmtId="0" fontId="9" fillId="0" borderId="11" xfId="3" applyFont="1" applyBorder="1"/>
    <xf numFmtId="0" fontId="9" fillId="0" borderId="12" xfId="3" applyFont="1" applyBorder="1"/>
    <xf numFmtId="3" fontId="9" fillId="0" borderId="5" xfId="3" applyNumberFormat="1" applyFont="1" applyBorder="1"/>
    <xf numFmtId="0" fontId="9" fillId="0" borderId="6" xfId="3" applyFont="1" applyBorder="1" applyAlignment="1">
      <alignment horizontal="right"/>
    </xf>
    <xf numFmtId="1" fontId="11" fillId="0" borderId="0" xfId="3" applyNumberFormat="1" applyFont="1"/>
    <xf numFmtId="0" fontId="18" fillId="0" borderId="0" xfId="0" applyFont="1" applyAlignment="1">
      <alignment horizontal="left"/>
    </xf>
    <xf numFmtId="0" fontId="0" fillId="4" borderId="0" xfId="0" applyFill="1"/>
    <xf numFmtId="0" fontId="24" fillId="0" borderId="0" xfId="0" applyFont="1"/>
    <xf numFmtId="0" fontId="13" fillId="0" borderId="0" xfId="0" applyFont="1" applyAlignment="1">
      <alignment horizontal="left"/>
    </xf>
    <xf numFmtId="0" fontId="58" fillId="0" borderId="0" xfId="0" applyFont="1"/>
    <xf numFmtId="0" fontId="57" fillId="0" borderId="0" xfId="0" applyFont="1"/>
    <xf numFmtId="177" fontId="15" fillId="0" borderId="0" xfId="1" applyNumberFormat="1" applyFont="1"/>
    <xf numFmtId="164" fontId="5" fillId="0" borderId="0" xfId="0" applyNumberFormat="1" applyFont="1" applyAlignment="1">
      <alignment horizontal="center"/>
    </xf>
    <xf numFmtId="166" fontId="43" fillId="2" borderId="1" xfId="0" applyNumberFormat="1" applyFont="1" applyFill="1" applyBorder="1" applyAlignment="1">
      <alignment horizontal="center" wrapText="1"/>
    </xf>
    <xf numFmtId="172" fontId="5" fillId="0" borderId="1" xfId="0" applyNumberFormat="1" applyFont="1" applyBorder="1"/>
    <xf numFmtId="165" fontId="15" fillId="0" borderId="0" xfId="0" applyNumberFormat="1" applyFont="1"/>
    <xf numFmtId="5" fontId="15" fillId="0" borderId="0" xfId="0" applyNumberFormat="1" applyFont="1"/>
    <xf numFmtId="166" fontId="15" fillId="0" borderId="0" xfId="0" applyNumberFormat="1" applyFont="1"/>
    <xf numFmtId="165" fontId="59" fillId="0" borderId="0" xfId="15" applyNumberFormat="1"/>
    <xf numFmtId="0" fontId="5" fillId="0" borderId="2" xfId="6" applyBorder="1" applyAlignment="1">
      <alignment horizontal="left" wrapText="1"/>
    </xf>
    <xf numFmtId="0" fontId="43" fillId="2" borderId="2" xfId="0" applyFont="1" applyFill="1" applyBorder="1" applyAlignment="1">
      <alignment horizontal="left" wrapText="1"/>
    </xf>
    <xf numFmtId="0" fontId="8" fillId="0" borderId="9" xfId="0" applyFont="1" applyBorder="1"/>
    <xf numFmtId="165" fontId="5" fillId="4" borderId="4" xfId="7" applyNumberFormat="1" applyFill="1" applyBorder="1" applyAlignment="1">
      <alignment horizontal="center" wrapText="1"/>
    </xf>
    <xf numFmtId="44" fontId="43" fillId="2" borderId="1" xfId="0" applyNumberFormat="1" applyFont="1" applyFill="1" applyBorder="1" applyAlignment="1">
      <alignment horizontal="center"/>
    </xf>
    <xf numFmtId="165" fontId="5" fillId="0" borderId="1" xfId="0" applyNumberFormat="1" applyFont="1" applyBorder="1" applyAlignment="1">
      <alignment horizontal="center"/>
    </xf>
    <xf numFmtId="165" fontId="5" fillId="0" borderId="13"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43" fillId="2" borderId="1" xfId="0" applyNumberFormat="1" applyFont="1" applyFill="1" applyBorder="1" applyAlignment="1">
      <alignment horizontal="center"/>
    </xf>
    <xf numFmtId="3" fontId="4" fillId="0" borderId="1" xfId="0" applyNumberFormat="1" applyFont="1" applyBorder="1" applyAlignment="1">
      <alignment horizontal="right"/>
    </xf>
    <xf numFmtId="0" fontId="5" fillId="0" borderId="1" xfId="0" applyFont="1" applyBorder="1" applyAlignment="1">
      <alignment horizontal="right"/>
    </xf>
    <xf numFmtId="3" fontId="0" fillId="0" borderId="13" xfId="0" applyNumberFormat="1" applyBorder="1" applyAlignment="1">
      <alignment horizontal="right"/>
    </xf>
    <xf numFmtId="3" fontId="0" fillId="0" borderId="1" xfId="0" applyNumberFormat="1" applyBorder="1" applyAlignment="1">
      <alignment horizontal="right"/>
    </xf>
    <xf numFmtId="3" fontId="43" fillId="2" borderId="1" xfId="0" applyNumberFormat="1" applyFont="1" applyFill="1" applyBorder="1" applyAlignment="1">
      <alignment horizontal="right"/>
    </xf>
    <xf numFmtId="3" fontId="43" fillId="2" borderId="1" xfId="0" applyNumberFormat="1" applyFont="1" applyFill="1" applyBorder="1" applyAlignment="1">
      <alignment horizontal="right" wrapText="1"/>
    </xf>
    <xf numFmtId="44" fontId="6" fillId="0" borderId="1" xfId="0" applyNumberFormat="1" applyFont="1" applyBorder="1" applyAlignment="1">
      <alignment horizontal="center"/>
    </xf>
    <xf numFmtId="165" fontId="6" fillId="0" borderId="1" xfId="0" applyNumberFormat="1" applyFont="1" applyBorder="1" applyAlignment="1">
      <alignment horizontal="center"/>
    </xf>
    <xf numFmtId="1" fontId="4" fillId="0" borderId="1" xfId="1" applyNumberFormat="1" applyFont="1" applyBorder="1" applyAlignment="1">
      <alignment horizontal="right"/>
    </xf>
    <xf numFmtId="1" fontId="4" fillId="0" borderId="13" xfId="1" applyNumberFormat="1" applyFont="1" applyBorder="1" applyAlignment="1">
      <alignment horizontal="right"/>
    </xf>
    <xf numFmtId="3" fontId="5" fillId="0" borderId="1" xfId="0" applyNumberFormat="1" applyFont="1" applyBorder="1" applyAlignment="1">
      <alignment horizontal="right"/>
    </xf>
    <xf numFmtId="165" fontId="15" fillId="5" borderId="2" xfId="1" applyNumberFormat="1" applyFont="1" applyFill="1" applyBorder="1"/>
    <xf numFmtId="165" fontId="5" fillId="0" borderId="13" xfId="0" applyNumberFormat="1" applyFont="1" applyBorder="1" applyAlignment="1">
      <alignment horizontal="center"/>
    </xf>
    <xf numFmtId="3" fontId="4" fillId="0" borderId="13" xfId="0" applyNumberFormat="1" applyFont="1" applyBorder="1" applyAlignment="1">
      <alignment horizontal="right"/>
    </xf>
    <xf numFmtId="178" fontId="15" fillId="0" borderId="0" xfId="0" applyNumberFormat="1" applyFont="1"/>
    <xf numFmtId="3" fontId="4" fillId="0" borderId="1" xfId="1" applyNumberFormat="1" applyFont="1" applyBorder="1" applyAlignment="1">
      <alignment horizontal="right"/>
    </xf>
    <xf numFmtId="3" fontId="4" fillId="0" borderId="13" xfId="1" applyNumberFormat="1" applyFont="1" applyBorder="1" applyAlignment="1">
      <alignment horizontal="right"/>
    </xf>
    <xf numFmtId="3" fontId="6" fillId="0" borderId="1" xfId="1" applyNumberFormat="1" applyFont="1" applyBorder="1" applyAlignment="1">
      <alignment horizontal="right"/>
    </xf>
    <xf numFmtId="3" fontId="5" fillId="0" borderId="3" xfId="0" applyNumberFormat="1" applyFont="1" applyBorder="1"/>
    <xf numFmtId="3" fontId="5" fillId="0" borderId="0" xfId="0" applyNumberFormat="1" applyFont="1"/>
    <xf numFmtId="0" fontId="13" fillId="5" borderId="1" xfId="4" applyFont="1" applyFill="1" applyBorder="1" applyAlignment="1">
      <alignment horizontal="right"/>
    </xf>
    <xf numFmtId="3" fontId="15" fillId="0" borderId="1" xfId="3" applyNumberFormat="1" applyFont="1" applyBorder="1" applyAlignment="1">
      <alignment horizontal="center" vertical="center" wrapText="1"/>
    </xf>
    <xf numFmtId="1" fontId="15" fillId="0" borderId="0" xfId="3" applyNumberFormat="1" applyFont="1" applyAlignment="1">
      <alignment horizontal="center" vertical="center"/>
    </xf>
    <xf numFmtId="0" fontId="43" fillId="2" borderId="1" xfId="0" applyFont="1" applyFill="1" applyBorder="1" applyAlignment="1">
      <alignment horizontal="center" wrapText="1"/>
    </xf>
    <xf numFmtId="10" fontId="15" fillId="0" borderId="0" xfId="3" applyNumberFormat="1" applyFont="1"/>
    <xf numFmtId="43" fontId="19" fillId="6" borderId="0" xfId="9" applyFont="1" applyFill="1" applyAlignment="1">
      <alignment horizontal="center" vertical="center"/>
    </xf>
    <xf numFmtId="176" fontId="19" fillId="6" borderId="0" xfId="9" applyNumberFormat="1" applyFont="1" applyFill="1" applyAlignment="1">
      <alignment horizontal="center" vertical="center"/>
    </xf>
    <xf numFmtId="176" fontId="19" fillId="6" borderId="0" xfId="4" applyNumberFormat="1" applyFont="1" applyFill="1" applyAlignment="1">
      <alignment horizontal="center"/>
    </xf>
    <xf numFmtId="3" fontId="19" fillId="0" borderId="0" xfId="4" applyNumberFormat="1" applyFont="1" applyAlignment="1">
      <alignment horizontal="center"/>
    </xf>
    <xf numFmtId="175" fontId="19" fillId="6" borderId="0" xfId="9" applyNumberFormat="1" applyFont="1" applyFill="1" applyAlignment="1">
      <alignment horizontal="center" vertical="center"/>
    </xf>
    <xf numFmtId="179" fontId="19" fillId="0" borderId="0" xfId="9" applyNumberFormat="1" applyFont="1" applyAlignment="1">
      <alignment horizontal="center" vertical="center"/>
    </xf>
    <xf numFmtId="171" fontId="9" fillId="0" borderId="11" xfId="8" applyNumberFormat="1" applyFont="1" applyBorder="1"/>
    <xf numFmtId="0" fontId="15" fillId="0" borderId="32" xfId="3" applyFont="1" applyBorder="1"/>
    <xf numFmtId="1" fontId="15" fillId="0" borderId="38" xfId="1" applyNumberFormat="1" applyFont="1" applyBorder="1"/>
    <xf numFmtId="0" fontId="15" fillId="0" borderId="34" xfId="3" applyFont="1" applyBorder="1"/>
    <xf numFmtId="0" fontId="15" fillId="0" borderId="19" xfId="3" applyFont="1" applyBorder="1"/>
    <xf numFmtId="0" fontId="15" fillId="0" borderId="28" xfId="3" applyFont="1" applyBorder="1"/>
    <xf numFmtId="0" fontId="15" fillId="5" borderId="39" xfId="3" applyFont="1" applyFill="1" applyBorder="1"/>
    <xf numFmtId="0" fontId="15" fillId="5" borderId="41" xfId="3" applyFont="1" applyFill="1" applyBorder="1"/>
    <xf numFmtId="0" fontId="32" fillId="0" borderId="23" xfId="3" applyFont="1" applyBorder="1"/>
    <xf numFmtId="0" fontId="32" fillId="0" borderId="31" xfId="3" applyFont="1" applyBorder="1"/>
    <xf numFmtId="9" fontId="15" fillId="0" borderId="38" xfId="1" applyNumberFormat="1" applyFont="1" applyBorder="1"/>
    <xf numFmtId="3" fontId="15" fillId="0" borderId="2" xfId="1" applyNumberFormat="1" applyFont="1" applyBorder="1"/>
    <xf numFmtId="42" fontId="15" fillId="5" borderId="40" xfId="1" applyNumberFormat="1" applyFont="1" applyFill="1" applyBorder="1"/>
    <xf numFmtId="0" fontId="15" fillId="0" borderId="10" xfId="1" applyNumberFormat="1" applyFont="1" applyBorder="1"/>
    <xf numFmtId="165" fontId="32" fillId="0" borderId="45" xfId="1" applyNumberFormat="1" applyFont="1" applyBorder="1"/>
    <xf numFmtId="44" fontId="15" fillId="0" borderId="38" xfId="1" applyFont="1" applyBorder="1"/>
    <xf numFmtId="0" fontId="15" fillId="0" borderId="46" xfId="3" applyFont="1" applyBorder="1"/>
    <xf numFmtId="0" fontId="15" fillId="0" borderId="47" xfId="3" applyFont="1" applyBorder="1"/>
    <xf numFmtId="0" fontId="15" fillId="0" borderId="48" xfId="3" applyFont="1" applyBorder="1"/>
    <xf numFmtId="3" fontId="15" fillId="0" borderId="49" xfId="1" applyNumberFormat="1" applyFont="1" applyBorder="1"/>
    <xf numFmtId="0" fontId="15" fillId="0" borderId="50" xfId="3" applyFont="1" applyBorder="1"/>
    <xf numFmtId="0" fontId="15" fillId="5" borderId="23" xfId="3" applyFont="1" applyFill="1" applyBorder="1"/>
    <xf numFmtId="42" fontId="15" fillId="5" borderId="45" xfId="1" applyNumberFormat="1" applyFont="1" applyFill="1" applyBorder="1"/>
    <xf numFmtId="0" fontId="15" fillId="5" borderId="31" xfId="3" applyFont="1" applyFill="1" applyBorder="1"/>
    <xf numFmtId="0" fontId="32" fillId="5" borderId="32" xfId="3" applyFont="1" applyFill="1" applyBorder="1"/>
    <xf numFmtId="165" fontId="32" fillId="5" borderId="38" xfId="1" applyNumberFormat="1" applyFont="1" applyFill="1" applyBorder="1"/>
    <xf numFmtId="0" fontId="32" fillId="5" borderId="34" xfId="3" applyFont="1" applyFill="1" applyBorder="1"/>
    <xf numFmtId="0" fontId="37" fillId="0" borderId="19" xfId="3" applyFont="1" applyBorder="1"/>
    <xf numFmtId="0" fontId="37" fillId="0" borderId="28" xfId="3" applyFont="1" applyBorder="1"/>
    <xf numFmtId="0" fontId="37" fillId="0" borderId="39" xfId="3" applyFont="1" applyBorder="1"/>
    <xf numFmtId="42" fontId="37" fillId="0" borderId="40" xfId="1" applyNumberFormat="1" applyFont="1" applyBorder="1"/>
    <xf numFmtId="0" fontId="37" fillId="0" borderId="41" xfId="3" applyFont="1" applyBorder="1"/>
    <xf numFmtId="0" fontId="32" fillId="0" borderId="34" xfId="3" applyFont="1" applyBorder="1"/>
    <xf numFmtId="42" fontId="32" fillId="0" borderId="45" xfId="1" applyNumberFormat="1" applyFont="1" applyBorder="1"/>
    <xf numFmtId="0" fontId="32" fillId="0" borderId="0" xfId="3" applyFont="1"/>
    <xf numFmtId="165" fontId="32" fillId="0" borderId="0" xfId="1" applyNumberFormat="1" applyFont="1"/>
    <xf numFmtId="0" fontId="15" fillId="5" borderId="19" xfId="3" applyFont="1" applyFill="1" applyBorder="1"/>
    <xf numFmtId="0" fontId="15" fillId="5" borderId="28" xfId="3" applyFont="1" applyFill="1" applyBorder="1"/>
    <xf numFmtId="0" fontId="32" fillId="0" borderId="39" xfId="3" applyFont="1" applyBorder="1"/>
    <xf numFmtId="165" fontId="32" fillId="0" borderId="40" xfId="1" applyNumberFormat="1" applyFont="1" applyBorder="1"/>
    <xf numFmtId="0" fontId="32" fillId="0" borderId="41" xfId="3" applyFont="1" applyBorder="1"/>
    <xf numFmtId="0" fontId="43" fillId="2" borderId="30" xfId="0" applyFont="1" applyFill="1" applyBorder="1" applyAlignment="1">
      <alignment horizontal="left" wrapText="1"/>
    </xf>
    <xf numFmtId="0" fontId="43" fillId="2" borderId="29" xfId="0" applyFont="1" applyFill="1" applyBorder="1" applyAlignment="1">
      <alignment horizontal="left" wrapText="1"/>
    </xf>
    <xf numFmtId="0" fontId="43" fillId="2" borderId="31" xfId="0" applyFont="1" applyFill="1" applyBorder="1" applyAlignment="1">
      <alignment horizontal="left" wrapText="1"/>
    </xf>
    <xf numFmtId="0" fontId="62" fillId="0" borderId="0" xfId="0" applyFont="1" applyAlignment="1">
      <alignment horizontal="right"/>
    </xf>
    <xf numFmtId="42" fontId="26" fillId="0" borderId="0" xfId="14" applyNumberFormat="1" applyFont="1" applyFill="1" applyAlignment="1">
      <alignment horizontal="right"/>
    </xf>
    <xf numFmtId="170" fontId="26" fillId="0" borderId="0" xfId="14" applyNumberFormat="1" applyFont="1" applyFill="1" applyAlignment="1">
      <alignment horizontal="right"/>
    </xf>
    <xf numFmtId="177" fontId="26" fillId="0" borderId="0" xfId="0" applyNumberFormat="1" applyFont="1"/>
    <xf numFmtId="166" fontId="26" fillId="0" borderId="0" xfId="14" applyNumberFormat="1" applyFont="1" applyFill="1" applyAlignment="1">
      <alignment horizontal="right"/>
    </xf>
    <xf numFmtId="0" fontId="26" fillId="0" borderId="0" xfId="0" applyFont="1" applyAlignment="1">
      <alignment horizontal="right"/>
    </xf>
    <xf numFmtId="0" fontId="26" fillId="0" borderId="0" xfId="0" applyFont="1"/>
    <xf numFmtId="177" fontId="26" fillId="0" borderId="0" xfId="14" applyNumberFormat="1" applyFont="1" applyFill="1" applyAlignment="1">
      <alignment horizontal="right"/>
    </xf>
    <xf numFmtId="0" fontId="35" fillId="0" borderId="0" xfId="0" applyFont="1" applyAlignment="1">
      <alignment horizontal="left"/>
    </xf>
    <xf numFmtId="0" fontId="62" fillId="0" borderId="0" xfId="0" applyFont="1"/>
    <xf numFmtId="44" fontId="26" fillId="0" borderId="0" xfId="14" applyNumberFormat="1" applyFont="1" applyFill="1" applyAlignment="1">
      <alignment horizontal="right"/>
    </xf>
    <xf numFmtId="10" fontId="26" fillId="0" borderId="0" xfId="14" applyNumberFormat="1" applyFont="1" applyFill="1" applyAlignment="1">
      <alignment horizontal="right"/>
    </xf>
    <xf numFmtId="44" fontId="15" fillId="4" borderId="0" xfId="1" applyFont="1" applyFill="1"/>
    <xf numFmtId="2" fontId="5" fillId="4" borderId="0" xfId="13" applyNumberFormat="1" applyFont="1" applyFill="1"/>
    <xf numFmtId="171" fontId="15" fillId="0" borderId="2" xfId="1" applyNumberFormat="1" applyFont="1" applyBorder="1"/>
    <xf numFmtId="171" fontId="15" fillId="0" borderId="38" xfId="1" applyNumberFormat="1" applyFont="1" applyBorder="1"/>
    <xf numFmtId="0" fontId="64" fillId="0" borderId="0" xfId="0" applyFont="1" applyAlignment="1">
      <alignment horizontal="left"/>
    </xf>
    <xf numFmtId="0" fontId="64" fillId="0" borderId="0" xfId="0" applyFont="1"/>
    <xf numFmtId="0" fontId="65" fillId="0" borderId="0" xfId="0" applyFont="1"/>
    <xf numFmtId="0" fontId="66" fillId="0" borderId="0" xfId="0" applyFont="1"/>
    <xf numFmtId="0" fontId="6" fillId="0" borderId="0" xfId="0" applyFont="1" applyAlignment="1">
      <alignment horizontal="center" wrapText="1"/>
    </xf>
    <xf numFmtId="0" fontId="6" fillId="4" borderId="0" xfId="6" applyFont="1" applyFill="1" applyAlignment="1">
      <alignment horizontal="center"/>
    </xf>
    <xf numFmtId="0" fontId="15" fillId="0" borderId="0" xfId="0" applyFont="1" applyAlignment="1">
      <alignment horizontal="left" wrapText="1"/>
    </xf>
    <xf numFmtId="0" fontId="6" fillId="0" borderId="0" xfId="0" applyFont="1"/>
    <xf numFmtId="0" fontId="6" fillId="0" borderId="0" xfId="0" applyFont="1" applyAlignment="1">
      <alignment horizontal="left"/>
    </xf>
    <xf numFmtId="0" fontId="6" fillId="0" borderId="0" xfId="0" applyFont="1" applyAlignment="1">
      <alignment wrapText="1"/>
    </xf>
    <xf numFmtId="0" fontId="43" fillId="2" borderId="4" xfId="6" applyFont="1" applyFill="1" applyBorder="1" applyAlignment="1">
      <alignment horizontal="left"/>
    </xf>
    <xf numFmtId="0" fontId="43" fillId="2" borderId="1" xfId="6" applyFont="1" applyFill="1" applyBorder="1" applyAlignment="1">
      <alignment horizontal="left"/>
    </xf>
    <xf numFmtId="0" fontId="43" fillId="2" borderId="1" xfId="0" applyFont="1" applyFill="1" applyBorder="1" applyAlignment="1">
      <alignment horizontal="left" wrapText="1"/>
    </xf>
    <xf numFmtId="0" fontId="43" fillId="2" borderId="13" xfId="0" applyFont="1" applyFill="1" applyBorder="1" applyAlignment="1">
      <alignment horizontal="center" wrapText="1"/>
    </xf>
    <xf numFmtId="0" fontId="43" fillId="2" borderId="14" xfId="0" applyFont="1" applyFill="1" applyBorder="1" applyAlignment="1">
      <alignment horizontal="center" wrapText="1"/>
    </xf>
    <xf numFmtId="164" fontId="5" fillId="0" borderId="0" xfId="0" applyNumberFormat="1" applyFont="1" applyAlignment="1">
      <alignment horizontal="left"/>
    </xf>
    <xf numFmtId="0" fontId="47" fillId="0" borderId="0" xfId="4" applyFont="1"/>
    <xf numFmtId="0" fontId="5" fillId="0" borderId="0" xfId="3" applyFont="1" applyAlignment="1">
      <alignment horizontal="center" wrapText="1"/>
    </xf>
    <xf numFmtId="0" fontId="5" fillId="0" borderId="0" xfId="3" applyFont="1" applyAlignment="1">
      <alignment horizontal="left" wrapText="1"/>
    </xf>
    <xf numFmtId="0" fontId="1" fillId="0" borderId="0" xfId="0" applyFont="1"/>
    <xf numFmtId="165" fontId="1" fillId="0" borderId="0" xfId="1" applyNumberFormat="1" applyFont="1"/>
    <xf numFmtId="170" fontId="1" fillId="0" borderId="0" xfId="0" applyNumberFormat="1" applyFont="1"/>
    <xf numFmtId="166" fontId="1" fillId="0" borderId="0" xfId="0" applyNumberFormat="1" applyFont="1"/>
    <xf numFmtId="0" fontId="1" fillId="0" borderId="0" xfId="3" applyFont="1"/>
    <xf numFmtId="0" fontId="1" fillId="0" borderId="0" xfId="4" applyFont="1"/>
    <xf numFmtId="0" fontId="1" fillId="0" borderId="0" xfId="3" applyFont="1" applyAlignment="1">
      <alignment horizontal="center"/>
    </xf>
    <xf numFmtId="3" fontId="1" fillId="0" borderId="0" xfId="3" applyNumberFormat="1" applyFont="1"/>
    <xf numFmtId="0" fontId="1" fillId="0" borderId="0" xfId="8" applyFont="1"/>
    <xf numFmtId="0" fontId="1" fillId="0" borderId="0" xfId="8" applyFont="1" applyAlignment="1">
      <alignment horizontal="center"/>
    </xf>
    <xf numFmtId="3" fontId="1" fillId="0" borderId="11" xfId="3" applyNumberFormat="1" applyFont="1" applyBorder="1"/>
    <xf numFmtId="0" fontId="1" fillId="0" borderId="11" xfId="3" applyFont="1" applyBorder="1"/>
    <xf numFmtId="2" fontId="1" fillId="0" borderId="0" xfId="3" applyNumberFormat="1" applyFont="1"/>
    <xf numFmtId="3" fontId="1" fillId="0" borderId="10" xfId="3" applyNumberFormat="1" applyFont="1" applyBorder="1"/>
    <xf numFmtId="0" fontId="1" fillId="0" borderId="12" xfId="3" applyFont="1" applyBorder="1"/>
    <xf numFmtId="3" fontId="1" fillId="0" borderId="5" xfId="3" applyNumberFormat="1" applyFont="1" applyBorder="1"/>
    <xf numFmtId="0" fontId="1" fillId="0" borderId="6" xfId="3" applyFont="1" applyBorder="1" applyAlignment="1">
      <alignment horizontal="right"/>
    </xf>
    <xf numFmtId="3" fontId="1" fillId="0" borderId="0" xfId="8" applyNumberFormat="1" applyFont="1"/>
    <xf numFmtId="3" fontId="1" fillId="0" borderId="17" xfId="3" applyNumberFormat="1" applyFont="1" applyBorder="1"/>
    <xf numFmtId="0" fontId="1" fillId="0" borderId="12" xfId="8" applyFont="1" applyBorder="1"/>
    <xf numFmtId="0" fontId="1" fillId="0" borderId="5" xfId="8" applyFont="1" applyBorder="1"/>
    <xf numFmtId="0" fontId="1" fillId="0" borderId="6" xfId="8" applyFont="1" applyBorder="1" applyAlignment="1">
      <alignment horizontal="right"/>
    </xf>
    <xf numFmtId="3" fontId="1" fillId="0" borderId="11" xfId="8" applyNumberFormat="1" applyFont="1" applyBorder="1"/>
    <xf numFmtId="0" fontId="1" fillId="0" borderId="11" xfId="8" applyFont="1" applyBorder="1"/>
    <xf numFmtId="1" fontId="1" fillId="0" borderId="0" xfId="8" applyNumberFormat="1" applyFont="1"/>
    <xf numFmtId="169" fontId="1" fillId="0" borderId="11" xfId="8" applyNumberFormat="1" applyFont="1" applyBorder="1"/>
    <xf numFmtId="0" fontId="1" fillId="0" borderId="0" xfId="8" applyFont="1" applyAlignment="1">
      <alignment horizontal="left" vertical="top"/>
    </xf>
    <xf numFmtId="0" fontId="1" fillId="0" borderId="0" xfId="4" applyFont="1" applyAlignment="1">
      <alignment horizontal="center"/>
    </xf>
    <xf numFmtId="3" fontId="1" fillId="0" borderId="11" xfId="4" applyNumberFormat="1" applyFont="1" applyBorder="1" applyAlignment="1">
      <alignment horizontal="center"/>
    </xf>
    <xf numFmtId="0" fontId="1" fillId="0" borderId="11" xfId="4" applyFont="1" applyBorder="1" applyAlignment="1">
      <alignment horizontal="center"/>
    </xf>
    <xf numFmtId="174" fontId="1" fillId="0" borderId="11" xfId="4" applyNumberFormat="1" applyFont="1" applyBorder="1" applyAlignment="1">
      <alignment horizontal="center"/>
    </xf>
    <xf numFmtId="3" fontId="1" fillId="4" borderId="11" xfId="4" applyNumberFormat="1" applyFont="1" applyFill="1" applyBorder="1" applyAlignment="1">
      <alignment horizontal="center"/>
    </xf>
    <xf numFmtId="3" fontId="1" fillId="0" borderId="0" xfId="4" applyNumberFormat="1" applyFont="1" applyAlignment="1">
      <alignment horizontal="center"/>
    </xf>
    <xf numFmtId="1" fontId="1" fillId="0" borderId="11" xfId="4" applyNumberFormat="1" applyFont="1" applyBorder="1" applyAlignment="1">
      <alignment horizontal="center"/>
    </xf>
    <xf numFmtId="0" fontId="1" fillId="0" borderId="11" xfId="4" applyFont="1" applyBorder="1"/>
    <xf numFmtId="9" fontId="1" fillId="0" borderId="0" xfId="10" applyFont="1" applyAlignment="1">
      <alignment horizontal="center"/>
    </xf>
    <xf numFmtId="11" fontId="1" fillId="0" borderId="0" xfId="4" applyNumberFormat="1" applyFont="1" applyAlignment="1">
      <alignment horizontal="center"/>
    </xf>
    <xf numFmtId="1" fontId="1" fillId="0" borderId="0" xfId="0" applyNumberFormat="1" applyFont="1"/>
    <xf numFmtId="175" fontId="1" fillId="0" borderId="11" xfId="4" applyNumberFormat="1" applyFont="1" applyBorder="1" applyAlignment="1">
      <alignment horizontal="center"/>
    </xf>
    <xf numFmtId="2" fontId="1" fillId="0" borderId="11" xfId="4" applyNumberFormat="1" applyFont="1" applyBorder="1" applyAlignment="1">
      <alignment horizontal="center"/>
    </xf>
    <xf numFmtId="1" fontId="1" fillId="0" borderId="11" xfId="9" applyNumberFormat="1" applyFont="1" applyBorder="1" applyAlignment="1">
      <alignment horizontal="center" vertical="center"/>
    </xf>
    <xf numFmtId="171" fontId="1" fillId="0" borderId="11" xfId="4" applyNumberFormat="1" applyFont="1" applyBorder="1" applyAlignment="1">
      <alignment horizontal="center"/>
    </xf>
    <xf numFmtId="2" fontId="1" fillId="0" borderId="0" xfId="4" applyNumberFormat="1" applyFont="1" applyAlignment="1">
      <alignment horizontal="center"/>
    </xf>
    <xf numFmtId="4" fontId="1" fillId="0" borderId="11" xfId="4" applyNumberFormat="1" applyFont="1" applyBorder="1" applyAlignment="1">
      <alignment horizontal="center"/>
    </xf>
    <xf numFmtId="169" fontId="1" fillId="0" borderId="11" xfId="4" applyNumberFormat="1" applyFont="1" applyBorder="1" applyAlignment="1">
      <alignment horizontal="center"/>
    </xf>
    <xf numFmtId="176" fontId="1" fillId="0" borderId="11" xfId="4" applyNumberFormat="1" applyFont="1" applyBorder="1" applyAlignment="1">
      <alignment horizontal="center"/>
    </xf>
    <xf numFmtId="1" fontId="1" fillId="0" borderId="0" xfId="10" applyNumberFormat="1" applyFont="1" applyAlignment="1">
      <alignment horizontal="center"/>
    </xf>
    <xf numFmtId="3" fontId="1" fillId="0" borderId="0" xfId="4" applyNumberFormat="1" applyFont="1" applyAlignment="1">
      <alignment horizontal="left"/>
    </xf>
    <xf numFmtId="0" fontId="1" fillId="0" borderId="0" xfId="4" applyFont="1" applyAlignment="1">
      <alignment horizontal="left"/>
    </xf>
    <xf numFmtId="175" fontId="1" fillId="0" borderId="0" xfId="4" applyNumberFormat="1" applyFont="1" applyAlignment="1">
      <alignment horizontal="left"/>
    </xf>
    <xf numFmtId="175" fontId="1" fillId="0" borderId="11" xfId="3" applyNumberFormat="1" applyFont="1" applyBorder="1"/>
    <xf numFmtId="0" fontId="52" fillId="0" borderId="11" xfId="0" applyFont="1" applyBorder="1" applyAlignment="1">
      <alignment horizontal="center" wrapText="1"/>
    </xf>
    <xf numFmtId="0" fontId="53" fillId="0" borderId="11" xfId="0" applyFont="1" applyBorder="1" applyAlignment="1">
      <alignment horizontal="center"/>
    </xf>
    <xf numFmtId="0" fontId="43" fillId="2" borderId="2" xfId="0" applyFont="1" applyFill="1" applyBorder="1" applyAlignment="1">
      <alignment horizontal="left"/>
    </xf>
    <xf numFmtId="0" fontId="43" fillId="2" borderId="3" xfId="0" applyFont="1" applyFill="1" applyBorder="1" applyAlignment="1">
      <alignment horizontal="left"/>
    </xf>
    <xf numFmtId="0" fontId="43" fillId="2" borderId="4" xfId="0" applyFont="1" applyFill="1" applyBorder="1" applyAlignment="1">
      <alignment horizontal="left"/>
    </xf>
    <xf numFmtId="0" fontId="6" fillId="4" borderId="0" xfId="6" applyFont="1" applyFill="1" applyAlignment="1">
      <alignment horizontal="center"/>
    </xf>
    <xf numFmtId="0" fontId="43" fillId="2" borderId="30" xfId="6" applyFont="1" applyFill="1" applyBorder="1" applyAlignment="1">
      <alignment horizontal="center" wrapText="1"/>
    </xf>
    <xf numFmtId="0" fontId="43" fillId="2" borderId="29" xfId="6" applyFont="1" applyFill="1" applyBorder="1" applyAlignment="1">
      <alignment horizontal="center" wrapText="1"/>
    </xf>
    <xf numFmtId="0" fontId="43" fillId="2" borderId="31" xfId="6" applyFont="1" applyFill="1" applyBorder="1" applyAlignment="1">
      <alignment horizontal="center" wrapText="1"/>
    </xf>
    <xf numFmtId="44" fontId="43" fillId="2" borderId="30" xfId="7" applyFont="1" applyFill="1" applyBorder="1" applyAlignment="1">
      <alignment horizontal="center" wrapText="1"/>
    </xf>
    <xf numFmtId="44" fontId="43" fillId="2" borderId="29" xfId="7" applyFont="1" applyFill="1" applyBorder="1" applyAlignment="1">
      <alignment horizontal="center" wrapText="1"/>
    </xf>
    <xf numFmtId="44" fontId="43" fillId="2" borderId="31" xfId="7" applyFont="1" applyFill="1" applyBorder="1" applyAlignment="1">
      <alignment horizontal="center" wrapText="1"/>
    </xf>
    <xf numFmtId="44" fontId="43" fillId="2" borderId="23" xfId="7" applyFont="1" applyFill="1" applyBorder="1" applyAlignment="1">
      <alignment horizontal="center" wrapText="1"/>
    </xf>
    <xf numFmtId="44" fontId="43" fillId="2" borderId="24" xfId="7" applyFont="1" applyFill="1" applyBorder="1" applyAlignment="1">
      <alignment horizontal="center" wrapText="1"/>
    </xf>
    <xf numFmtId="44" fontId="43" fillId="2" borderId="25" xfId="7" applyFont="1" applyFill="1" applyBorder="1" applyAlignment="1">
      <alignment horizontal="center" wrapText="1"/>
    </xf>
    <xf numFmtId="0" fontId="15" fillId="0" borderId="1" xfId="0" applyFont="1" applyBorder="1" applyAlignment="1">
      <alignment horizontal="left"/>
    </xf>
    <xf numFmtId="0" fontId="15" fillId="0" borderId="1" xfId="0" applyFont="1" applyBorder="1" applyAlignment="1">
      <alignment horizontal="left"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6" fillId="0" borderId="0" xfId="0" applyFont="1" applyAlignment="1">
      <alignment horizontal="center" wrapText="1"/>
    </xf>
    <xf numFmtId="0" fontId="7" fillId="2" borderId="37" xfId="0" applyFont="1" applyFill="1" applyBorder="1" applyAlignment="1">
      <alignment horizontal="center"/>
    </xf>
    <xf numFmtId="0" fontId="7" fillId="2" borderId="21" xfId="0" applyFont="1" applyFill="1" applyBorder="1" applyAlignment="1">
      <alignment horizontal="center"/>
    </xf>
    <xf numFmtId="0" fontId="43" fillId="2" borderId="23" xfId="6" applyFont="1" applyFill="1" applyBorder="1" applyAlignment="1">
      <alignment horizontal="center" wrapText="1"/>
    </xf>
    <xf numFmtId="0" fontId="43" fillId="2" borderId="25" xfId="6" applyFont="1" applyFill="1" applyBorder="1" applyAlignment="1">
      <alignment horizontal="center" wrapText="1"/>
    </xf>
    <xf numFmtId="44" fontId="43" fillId="2" borderId="36" xfId="7" applyFont="1" applyFill="1" applyBorder="1" applyAlignment="1">
      <alignment horizontal="center" wrapText="1"/>
    </xf>
    <xf numFmtId="0" fontId="63" fillId="0" borderId="0" xfId="0" applyFont="1" applyAlignment="1">
      <alignment horizontal="center"/>
    </xf>
    <xf numFmtId="0" fontId="43" fillId="2" borderId="1" xfId="0" applyFont="1" applyFill="1" applyBorder="1" applyAlignment="1">
      <alignment horizontal="center"/>
    </xf>
    <xf numFmtId="0" fontId="15" fillId="0" borderId="0" xfId="0" applyFont="1" applyAlignment="1">
      <alignment horizontal="left" wrapText="1"/>
    </xf>
    <xf numFmtId="0" fontId="6" fillId="0" borderId="0" xfId="0" applyFont="1"/>
    <xf numFmtId="0" fontId="15" fillId="0" borderId="0" xfId="0" applyFont="1"/>
    <xf numFmtId="0" fontId="6" fillId="0" borderId="0" xfId="0" applyFont="1" applyAlignment="1">
      <alignment horizontal="left"/>
    </xf>
    <xf numFmtId="0" fontId="6" fillId="0" borderId="0" xfId="0" applyFont="1" applyAlignment="1">
      <alignment wrapText="1"/>
    </xf>
    <xf numFmtId="0" fontId="5" fillId="4" borderId="0" xfId="6" applyFill="1" applyAlignment="1">
      <alignment horizontal="left" wrapText="1"/>
    </xf>
    <xf numFmtId="0" fontId="5" fillId="0" borderId="35" xfId="4" applyBorder="1" applyAlignment="1">
      <alignment horizontal="left" wrapText="1"/>
    </xf>
    <xf numFmtId="0" fontId="5" fillId="0" borderId="42" xfId="4" applyBorder="1" applyAlignment="1">
      <alignment horizontal="left" wrapText="1"/>
    </xf>
    <xf numFmtId="0" fontId="5" fillId="0" borderId="34" xfId="4" applyBorder="1" applyAlignment="1">
      <alignment horizontal="left" wrapText="1"/>
    </xf>
    <xf numFmtId="0" fontId="32" fillId="0" borderId="1" xfId="0" applyFont="1" applyBorder="1" applyAlignment="1">
      <alignment horizontal="center"/>
    </xf>
    <xf numFmtId="0" fontId="15" fillId="0" borderId="0" xfId="0" applyFont="1" applyAlignment="1">
      <alignment horizontal="left" vertical="top" wrapText="1"/>
    </xf>
    <xf numFmtId="0" fontId="15" fillId="0" borderId="8" xfId="0" applyFont="1" applyBorder="1" applyAlignment="1">
      <alignment horizontal="left" wrapText="1"/>
    </xf>
    <xf numFmtId="0" fontId="43" fillId="2" borderId="1" xfId="6" applyFont="1" applyFill="1" applyBorder="1" applyAlignment="1">
      <alignment horizontal="center" wrapText="1"/>
    </xf>
    <xf numFmtId="0" fontId="43" fillId="2" borderId="1" xfId="6" applyFont="1" applyFill="1" applyBorder="1" applyAlignment="1">
      <alignment horizontal="center"/>
    </xf>
    <xf numFmtId="44" fontId="43" fillId="2" borderId="1" xfId="7" applyFont="1" applyFill="1" applyBorder="1" applyAlignment="1">
      <alignment horizontal="center" wrapText="1"/>
    </xf>
    <xf numFmtId="0" fontId="43" fillId="2" borderId="1" xfId="7" applyNumberFormat="1" applyFont="1" applyFill="1" applyBorder="1" applyAlignment="1">
      <alignment horizontal="center" wrapText="1"/>
    </xf>
    <xf numFmtId="164" fontId="43" fillId="2" borderId="1" xfId="7" applyNumberFormat="1" applyFont="1" applyFill="1" applyBorder="1" applyAlignment="1">
      <alignment horizontal="center"/>
    </xf>
    <xf numFmtId="0" fontId="5" fillId="0" borderId="1" xfId="6" applyBorder="1" applyAlignment="1">
      <alignment horizontal="left" wrapText="1"/>
    </xf>
    <xf numFmtId="0" fontId="43" fillId="2" borderId="4" xfId="6" applyFont="1" applyFill="1" applyBorder="1" applyAlignment="1">
      <alignment horizontal="left"/>
    </xf>
    <xf numFmtId="0" fontId="43" fillId="2" borderId="1" xfId="6" applyFont="1" applyFill="1" applyBorder="1" applyAlignment="1">
      <alignment horizontal="left"/>
    </xf>
    <xf numFmtId="0" fontId="6" fillId="0" borderId="2" xfId="6" applyFont="1" applyBorder="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43" fillId="2" borderId="1" xfId="0" applyFont="1" applyFill="1" applyBorder="1" applyAlignment="1">
      <alignment horizontal="left"/>
    </xf>
    <xf numFmtId="0" fontId="6" fillId="0" borderId="1" xfId="0" applyFont="1" applyBorder="1" applyAlignment="1">
      <alignment horizontal="center"/>
    </xf>
    <xf numFmtId="0" fontId="6" fillId="5" borderId="1" xfId="0" applyFont="1" applyFill="1" applyBorder="1" applyAlignment="1">
      <alignment horizontal="left"/>
    </xf>
    <xf numFmtId="0" fontId="43" fillId="2" borderId="1" xfId="6" applyFont="1" applyFill="1" applyBorder="1" applyAlignment="1">
      <alignment horizontal="left" wrapText="1"/>
    </xf>
    <xf numFmtId="0" fontId="5" fillId="0" borderId="2" xfId="6" applyBorder="1" applyAlignment="1">
      <alignment horizontal="center" wrapText="1"/>
    </xf>
    <xf numFmtId="0" fontId="5" fillId="0" borderId="3" xfId="6" applyBorder="1" applyAlignment="1">
      <alignment horizontal="center" wrapText="1"/>
    </xf>
    <xf numFmtId="0" fontId="5" fillId="0" borderId="4" xfId="6" applyBorder="1" applyAlignment="1">
      <alignment horizontal="center" wrapText="1"/>
    </xf>
    <xf numFmtId="0" fontId="15" fillId="0" borderId="0" xfId="3" applyFont="1" applyAlignment="1">
      <alignment horizontal="center" vertical="center" wrapText="1"/>
    </xf>
    <xf numFmtId="0" fontId="54" fillId="2" borderId="1" xfId="0" applyFont="1" applyFill="1" applyBorder="1" applyAlignment="1">
      <alignment horizontal="center"/>
    </xf>
    <xf numFmtId="0" fontId="43" fillId="2" borderId="1" xfId="0" applyFont="1" applyFill="1" applyBorder="1" applyAlignment="1">
      <alignment horizontal="left" wrapText="1"/>
    </xf>
    <xf numFmtId="0" fontId="54" fillId="2" borderId="1" xfId="8" applyFont="1" applyFill="1" applyBorder="1" applyAlignment="1">
      <alignment horizontal="center"/>
    </xf>
    <xf numFmtId="0" fontId="54" fillId="2" borderId="2" xfId="0" applyFont="1" applyFill="1" applyBorder="1" applyAlignment="1">
      <alignment horizontal="center"/>
    </xf>
    <xf numFmtId="0" fontId="43" fillId="2" borderId="13" xfId="0" applyFont="1" applyFill="1" applyBorder="1" applyAlignment="1">
      <alignment horizontal="center" wrapText="1"/>
    </xf>
    <xf numFmtId="0" fontId="43" fillId="2" borderId="14" xfId="0" applyFont="1" applyFill="1" applyBorder="1" applyAlignment="1">
      <alignment horizontal="center" wrapText="1"/>
    </xf>
    <xf numFmtId="0" fontId="43" fillId="2" borderId="2" xfId="0" applyFont="1" applyFill="1" applyBorder="1" applyAlignment="1">
      <alignment horizontal="center" wrapText="1"/>
    </xf>
    <xf numFmtId="0" fontId="43" fillId="2" borderId="3" xfId="0" applyFont="1" applyFill="1" applyBorder="1" applyAlignment="1">
      <alignment horizontal="center" wrapText="1"/>
    </xf>
    <xf numFmtId="0" fontId="43" fillId="2" borderId="4" xfId="0" applyFont="1" applyFill="1" applyBorder="1" applyAlignment="1">
      <alignment horizontal="center" wrapText="1"/>
    </xf>
    <xf numFmtId="0" fontId="6" fillId="0" borderId="0" xfId="8" applyFont="1"/>
    <xf numFmtId="164" fontId="5" fillId="0" borderId="0" xfId="0" applyNumberFormat="1" applyFont="1" applyAlignment="1">
      <alignment horizontal="left"/>
    </xf>
    <xf numFmtId="164" fontId="5" fillId="0" borderId="0" xfId="3" applyNumberFormat="1" applyFont="1" applyAlignment="1">
      <alignment horizontal="left"/>
    </xf>
    <xf numFmtId="0" fontId="6" fillId="0" borderId="0" xfId="3" applyFont="1" applyAlignment="1">
      <alignment horizontal="center"/>
    </xf>
    <xf numFmtId="0" fontId="5" fillId="0" borderId="0" xfId="3" applyFont="1" applyAlignment="1">
      <alignment horizontal="center" wrapText="1"/>
    </xf>
    <xf numFmtId="0" fontId="5" fillId="0" borderId="0" xfId="3" applyFont="1" applyAlignment="1">
      <alignment horizontal="left"/>
    </xf>
    <xf numFmtId="0" fontId="5" fillId="0" borderId="0" xfId="3" applyFont="1" applyAlignment="1">
      <alignment horizontal="left" wrapText="1"/>
    </xf>
    <xf numFmtId="0" fontId="46" fillId="0" borderId="0" xfId="4" applyFont="1"/>
    <xf numFmtId="0" fontId="47" fillId="0" borderId="0" xfId="4" applyFont="1"/>
    <xf numFmtId="0" fontId="46" fillId="0" borderId="0" xfId="8" applyFont="1"/>
    <xf numFmtId="0" fontId="47" fillId="0" borderId="0" xfId="8" applyFont="1"/>
    <xf numFmtId="0" fontId="43" fillId="2" borderId="35" xfId="0" applyFont="1" applyFill="1" applyBorder="1" applyAlignment="1">
      <alignment horizontal="left" wrapText="1"/>
    </xf>
    <xf numFmtId="0" fontId="43" fillId="2" borderId="42" xfId="0" applyFont="1" applyFill="1" applyBorder="1" applyAlignment="1">
      <alignment horizontal="left" wrapText="1"/>
    </xf>
    <xf numFmtId="0" fontId="43" fillId="2" borderId="34" xfId="0" applyFont="1" applyFill="1" applyBorder="1" applyAlignment="1">
      <alignment horizontal="left" wrapText="1"/>
    </xf>
    <xf numFmtId="0" fontId="5" fillId="0" borderId="43" xfId="4" applyBorder="1" applyAlignment="1">
      <alignment horizontal="left" wrapText="1"/>
    </xf>
    <xf numFmtId="0" fontId="5" fillId="0" borderId="44" xfId="4" applyBorder="1" applyAlignment="1">
      <alignment horizontal="left" wrapText="1"/>
    </xf>
    <xf numFmtId="0" fontId="5" fillId="0" borderId="41" xfId="4" applyBorder="1" applyAlignment="1">
      <alignment horizontal="left" wrapText="1"/>
    </xf>
    <xf numFmtId="0" fontId="5" fillId="0" borderId="39" xfId="4" applyBorder="1" applyAlignment="1">
      <alignment horizontal="left" wrapText="1"/>
    </xf>
    <xf numFmtId="0" fontId="5" fillId="0" borderId="51" xfId="4" applyBorder="1" applyAlignment="1">
      <alignment horizontal="left" wrapText="1"/>
    </xf>
    <xf numFmtId="0" fontId="15" fillId="0" borderId="52" xfId="0" applyFont="1" applyBorder="1"/>
  </cellXfs>
  <cellStyles count="16">
    <cellStyle name="Comma" xfId="9" builtinId="3"/>
    <cellStyle name="Currency" xfId="1" builtinId="4"/>
    <cellStyle name="Currency 2" xfId="7" xr:uid="{D076053B-7FBF-4054-8597-F68CA45D58D3}"/>
    <cellStyle name="Currency 5" xfId="12" xr:uid="{379CBDEA-4E8A-469A-BB37-9DDCB0E7305E}"/>
    <cellStyle name="Good" xfId="14" builtinId="26"/>
    <cellStyle name="Hyperlink" xfId="15" builtinId="8"/>
    <cellStyle name="Normal" xfId="0" builtinId="0"/>
    <cellStyle name="Normal 10" xfId="4" xr:uid="{0D63FCD2-9BB2-4D25-B975-463B7E7CED46}"/>
    <cellStyle name="Normal 143" xfId="5" xr:uid="{663D3B32-DAFE-4741-A5F3-DFDEA7427FE3}"/>
    <cellStyle name="Normal 2" xfId="6" xr:uid="{9F368536-7DA2-4887-BB01-DAA57CB1EB09}"/>
    <cellStyle name="Normal 3 2 2" xfId="13" xr:uid="{9EC10265-AC08-4AAF-9824-1BA7CF2EE54F}"/>
    <cellStyle name="Normal 36" xfId="3" xr:uid="{2BB51A6E-1E72-4960-B534-EA3D933E8A26}"/>
    <cellStyle name="Normal 37" xfId="8" xr:uid="{89CFCE41-40AB-4289-A657-C9D2C2B492BA}"/>
    <cellStyle name="Normal 38" xfId="11" xr:uid="{2F85871A-38CE-4F77-A150-809E547F636A}"/>
    <cellStyle name="Percent" xfId="2" builtinId="5"/>
    <cellStyle name="Percent 2" xfId="10" xr:uid="{8348A03E-E9E5-4002-B1BD-22B3482E2085}"/>
  </cellStyles>
  <dxfs count="2">
    <dxf>
      <font>
        <color theme="0" tint="-0.14996795556505021"/>
      </font>
    </dxf>
    <dxf>
      <font>
        <color theme="0" tint="-0.14996795556505021"/>
      </font>
    </dxf>
  </dxfs>
  <tableStyles count="0" defaultTableStyle="TableStyleMedium2" defaultPivotStyle="PivotStyleLight16"/>
  <colors>
    <mruColors>
      <color rgb="FF5B9BD5"/>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2133600</xdr:colOff>
      <xdr:row>2</xdr:row>
      <xdr:rowOff>215505</xdr:rowOff>
    </xdr:to>
    <xdr:pic>
      <xdr:nvPicPr>
        <xdr:cNvPr id="2" name="Picture 1">
          <a:extLst>
            <a:ext uri="{FF2B5EF4-FFF2-40B4-BE49-F238E27FC236}">
              <a16:creationId xmlns:a16="http://schemas.microsoft.com/office/drawing/2014/main" id="{91B1BD2B-658A-4400-9A94-BF9A1D276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133600" cy="586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840105</xdr:colOff>
      <xdr:row>2</xdr:row>
      <xdr:rowOff>299362</xdr:rowOff>
    </xdr:to>
    <xdr:pic>
      <xdr:nvPicPr>
        <xdr:cNvPr id="2" name="Picture 1">
          <a:extLst>
            <a:ext uri="{FF2B5EF4-FFF2-40B4-BE49-F238E27FC236}">
              <a16:creationId xmlns:a16="http://schemas.microsoft.com/office/drawing/2014/main" id="{1D976FB2-DA63-4737-A426-5068445BF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625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492685</xdr:colOff>
      <xdr:row>2</xdr:row>
      <xdr:rowOff>233883</xdr:rowOff>
    </xdr:to>
    <xdr:pic>
      <xdr:nvPicPr>
        <xdr:cNvPr id="2" name="Picture 1">
          <a:extLst>
            <a:ext uri="{FF2B5EF4-FFF2-40B4-BE49-F238E27FC236}">
              <a16:creationId xmlns:a16="http://schemas.microsoft.com/office/drawing/2014/main" id="{E6FB06E9-EC53-4DB0-8D2C-BC6B1B03A6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3</xdr:row>
      <xdr:rowOff>1473</xdr:rowOff>
    </xdr:to>
    <xdr:pic>
      <xdr:nvPicPr>
        <xdr:cNvPr id="2" name="Picture 1">
          <a:extLst>
            <a:ext uri="{FF2B5EF4-FFF2-40B4-BE49-F238E27FC236}">
              <a16:creationId xmlns:a16="http://schemas.microsoft.com/office/drawing/2014/main" id="{14D84DD8-068D-4D62-9C46-4C678B375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14550" cy="5869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823258</xdr:colOff>
      <xdr:row>2</xdr:row>
      <xdr:rowOff>233883</xdr:rowOff>
    </xdr:to>
    <xdr:pic>
      <xdr:nvPicPr>
        <xdr:cNvPr id="2" name="Picture 1">
          <a:extLst>
            <a:ext uri="{FF2B5EF4-FFF2-40B4-BE49-F238E27FC236}">
              <a16:creationId xmlns:a16="http://schemas.microsoft.com/office/drawing/2014/main" id="{96CCB571-964A-4806-B51D-CD8CE34DE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818775</xdr:colOff>
      <xdr:row>3</xdr:row>
      <xdr:rowOff>5283</xdr:rowOff>
    </xdr:to>
    <xdr:pic>
      <xdr:nvPicPr>
        <xdr:cNvPr id="2" name="Picture 1">
          <a:extLst>
            <a:ext uri="{FF2B5EF4-FFF2-40B4-BE49-F238E27FC236}">
              <a16:creationId xmlns:a16="http://schemas.microsoft.com/office/drawing/2014/main" id="{7A46EF18-9149-4C6A-AC88-2EE0CF26E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4108</xdr:colOff>
      <xdr:row>2</xdr:row>
      <xdr:rowOff>233883</xdr:rowOff>
    </xdr:to>
    <xdr:pic>
      <xdr:nvPicPr>
        <xdr:cNvPr id="2" name="Picture 1">
          <a:extLst>
            <a:ext uri="{FF2B5EF4-FFF2-40B4-BE49-F238E27FC236}">
              <a16:creationId xmlns:a16="http://schemas.microsoft.com/office/drawing/2014/main" id="{BA0CDE46-364C-4D74-A57B-0D358933A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9133" cy="5958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4108</xdr:colOff>
      <xdr:row>2</xdr:row>
      <xdr:rowOff>224358</xdr:rowOff>
    </xdr:to>
    <xdr:pic>
      <xdr:nvPicPr>
        <xdr:cNvPr id="2" name="Picture 1">
          <a:extLst>
            <a:ext uri="{FF2B5EF4-FFF2-40B4-BE49-F238E27FC236}">
              <a16:creationId xmlns:a16="http://schemas.microsoft.com/office/drawing/2014/main" id="{ACB5B0D1-4D69-44A5-978B-A72766B3A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58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916305</xdr:colOff>
      <xdr:row>2</xdr:row>
      <xdr:rowOff>301230</xdr:rowOff>
    </xdr:to>
    <xdr:pic>
      <xdr:nvPicPr>
        <xdr:cNvPr id="4" name="Picture 3">
          <a:extLst>
            <a:ext uri="{FF2B5EF4-FFF2-40B4-BE49-F238E27FC236}">
              <a16:creationId xmlns:a16="http://schemas.microsoft.com/office/drawing/2014/main" id="{81264CBD-CBAE-4F30-B96F-DE48EF4B3C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6250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2106930</xdr:colOff>
      <xdr:row>2</xdr:row>
      <xdr:rowOff>227183</xdr:rowOff>
    </xdr:to>
    <xdr:pic>
      <xdr:nvPicPr>
        <xdr:cNvPr id="3" name="Picture 2">
          <a:extLst>
            <a:ext uri="{FF2B5EF4-FFF2-40B4-BE49-F238E27FC236}">
              <a16:creationId xmlns:a16="http://schemas.microsoft.com/office/drawing/2014/main" id="{028308EF-7E2E-44A7-ABF4-675C4DF31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0270" cy="56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0</xdr:col>
      <xdr:colOff>2144447</xdr:colOff>
      <xdr:row>2</xdr:row>
      <xdr:rowOff>179881</xdr:rowOff>
    </xdr:to>
    <xdr:pic>
      <xdr:nvPicPr>
        <xdr:cNvPr id="2" name="Picture 1">
          <a:extLst>
            <a:ext uri="{FF2B5EF4-FFF2-40B4-BE49-F238E27FC236}">
              <a16:creationId xmlns:a16="http://schemas.microsoft.com/office/drawing/2014/main" id="{A87671C0-71C4-4169-8AEC-EE41B9EF666E}"/>
            </a:ext>
          </a:extLst>
        </xdr:cNvPr>
        <xdr:cNvPicPr>
          <a:picLocks noChangeAspect="1"/>
        </xdr:cNvPicPr>
      </xdr:nvPicPr>
      <xdr:blipFill>
        <a:blip xmlns:r="http://schemas.openxmlformats.org/officeDocument/2006/relationships" r:embed="rId1"/>
        <a:stretch>
          <a:fillRect/>
        </a:stretch>
      </xdr:blipFill>
      <xdr:spPr>
        <a:xfrm>
          <a:off x="83820" y="0"/>
          <a:ext cx="2060627" cy="545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2</xdr:row>
      <xdr:rowOff>178668</xdr:rowOff>
    </xdr:to>
    <xdr:pic>
      <xdr:nvPicPr>
        <xdr:cNvPr id="2" name="Picture 1">
          <a:extLst>
            <a:ext uri="{FF2B5EF4-FFF2-40B4-BE49-F238E27FC236}">
              <a16:creationId xmlns:a16="http://schemas.microsoft.com/office/drawing/2014/main" id="{22E0A0C5-E562-4E87-A412-0C94BDEDA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5596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114524</xdr:colOff>
      <xdr:row>2</xdr:row>
      <xdr:rowOff>306833</xdr:rowOff>
    </xdr:to>
    <xdr:pic>
      <xdr:nvPicPr>
        <xdr:cNvPr id="2" name="Picture 1">
          <a:extLst>
            <a:ext uri="{FF2B5EF4-FFF2-40B4-BE49-F238E27FC236}">
              <a16:creationId xmlns:a16="http://schemas.microsoft.com/office/drawing/2014/main" id="{FB809213-0F04-4E60-9A3E-70F8CB48C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4555" cy="5869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2154555</xdr:colOff>
      <xdr:row>2</xdr:row>
      <xdr:rowOff>234555</xdr:rowOff>
    </xdr:to>
    <xdr:pic>
      <xdr:nvPicPr>
        <xdr:cNvPr id="2" name="Picture 1">
          <a:extLst>
            <a:ext uri="{FF2B5EF4-FFF2-40B4-BE49-F238E27FC236}">
              <a16:creationId xmlns:a16="http://schemas.microsoft.com/office/drawing/2014/main" id="{207723AF-4362-48BD-B3B5-A6589AE0A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717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2060627</xdr:colOff>
      <xdr:row>2</xdr:row>
      <xdr:rowOff>179881</xdr:rowOff>
    </xdr:to>
    <xdr:pic>
      <xdr:nvPicPr>
        <xdr:cNvPr id="3" name="Picture 2">
          <a:extLst>
            <a:ext uri="{FF2B5EF4-FFF2-40B4-BE49-F238E27FC236}">
              <a16:creationId xmlns:a16="http://schemas.microsoft.com/office/drawing/2014/main" id="{98DF0E14-094D-4780-93C0-D0B9CF1107B9}"/>
            </a:ext>
          </a:extLst>
        </xdr:cNvPr>
        <xdr:cNvPicPr>
          <a:picLocks noChangeAspect="1"/>
        </xdr:cNvPicPr>
      </xdr:nvPicPr>
      <xdr:blipFill>
        <a:blip xmlns:r="http://schemas.openxmlformats.org/officeDocument/2006/relationships" r:embed="rId1"/>
        <a:stretch>
          <a:fillRect/>
        </a:stretch>
      </xdr:blipFill>
      <xdr:spPr>
        <a:xfrm>
          <a:off x="0" y="0"/>
          <a:ext cx="2060627" cy="5608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2114550</xdr:colOff>
      <xdr:row>2</xdr:row>
      <xdr:rowOff>234555</xdr:rowOff>
    </xdr:to>
    <xdr:pic>
      <xdr:nvPicPr>
        <xdr:cNvPr id="3" name="Picture 2">
          <a:extLst>
            <a:ext uri="{FF2B5EF4-FFF2-40B4-BE49-F238E27FC236}">
              <a16:creationId xmlns:a16="http://schemas.microsoft.com/office/drawing/2014/main" id="{01F70CEC-B7EF-4B4C-ABF0-F59AB6DFC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2175" cy="558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um(H17:H11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B9E9-C86F-4D98-979A-26EBD5B6333F}">
  <sheetPr>
    <tabColor rgb="FF7030A0"/>
  </sheetPr>
  <dimension ref="A1:H49"/>
  <sheetViews>
    <sheetView topLeftCell="A4" zoomScale="70" zoomScaleNormal="70" zoomScaleSheetLayoutView="80" workbookViewId="0">
      <selection activeCell="D17" sqref="D17"/>
    </sheetView>
  </sheetViews>
  <sheetFormatPr defaultRowHeight="14.5" x14ac:dyDescent="0.35"/>
  <cols>
    <col min="1" max="1" width="56.26953125" customWidth="1"/>
    <col min="2" max="2" width="31.54296875" customWidth="1"/>
    <col min="4" max="4" width="32.54296875" customWidth="1"/>
    <col min="5" max="5" width="16.54296875" customWidth="1"/>
    <col min="6" max="6" width="13.54296875" customWidth="1"/>
    <col min="7" max="7" width="15.7265625" customWidth="1"/>
    <col min="8" max="8" width="16" customWidth="1"/>
  </cols>
  <sheetData>
    <row r="1" spans="1:8" x14ac:dyDescent="0.35">
      <c r="A1" s="1"/>
      <c r="B1" s="2"/>
    </row>
    <row r="2" spans="1:8" x14ac:dyDescent="0.35">
      <c r="A2" s="1"/>
      <c r="B2" s="2"/>
    </row>
    <row r="3" spans="1:8" ht="21" customHeight="1" x14ac:dyDescent="0.35">
      <c r="A3" s="3"/>
      <c r="B3" s="287" t="s">
        <v>0</v>
      </c>
    </row>
    <row r="4" spans="1:8" x14ac:dyDescent="0.35">
      <c r="A4" s="455" t="s">
        <v>1</v>
      </c>
      <c r="B4" s="125">
        <v>43536</v>
      </c>
    </row>
    <row r="5" spans="1:8" x14ac:dyDescent="0.35">
      <c r="A5" s="456" t="s">
        <v>2</v>
      </c>
      <c r="B5" s="6" t="s">
        <v>3</v>
      </c>
    </row>
    <row r="6" spans="1:8" x14ac:dyDescent="0.35">
      <c r="A6" s="456" t="s">
        <v>4</v>
      </c>
      <c r="B6" s="6" t="s">
        <v>5</v>
      </c>
    </row>
    <row r="7" spans="1:8" x14ac:dyDescent="0.35">
      <c r="A7" s="457" t="s">
        <v>6</v>
      </c>
      <c r="B7" s="6" t="s">
        <v>7</v>
      </c>
    </row>
    <row r="8" spans="1:8" x14ac:dyDescent="0.35">
      <c r="A8" s="457"/>
      <c r="B8" s="6"/>
    </row>
    <row r="9" spans="1:8" ht="23" x14ac:dyDescent="0.5">
      <c r="A9" s="518" t="s">
        <v>8</v>
      </c>
      <c r="B9" s="518"/>
      <c r="D9" s="519" t="s">
        <v>9</v>
      </c>
      <c r="E9" s="519"/>
      <c r="F9" s="519"/>
      <c r="G9" s="519"/>
      <c r="H9" s="519"/>
    </row>
    <row r="10" spans="1:8" x14ac:dyDescent="0.35">
      <c r="A10" s="9" t="s">
        <v>10</v>
      </c>
      <c r="B10" s="284" t="s">
        <v>11</v>
      </c>
      <c r="D10" s="9" t="s">
        <v>12</v>
      </c>
      <c r="E10" s="10" t="s">
        <v>13</v>
      </c>
      <c r="F10" s="10" t="s">
        <v>14</v>
      </c>
      <c r="G10" s="10" t="s">
        <v>15</v>
      </c>
      <c r="H10" s="10" t="s">
        <v>16</v>
      </c>
    </row>
    <row r="11" spans="1:8" ht="15.75" customHeight="1" x14ac:dyDescent="0.35">
      <c r="A11" s="12" t="s">
        <v>17</v>
      </c>
      <c r="B11" s="214">
        <v>0.3</v>
      </c>
      <c r="D11" s="285" t="s">
        <v>17</v>
      </c>
      <c r="E11" s="13">
        <f>SUM('Short Term ETS Cash Flow'!C111,'Long Term ETS Cash Flow'!C110,'Salt Disposal Cash Flow'!C110,'Water Conveyance Cash Flow'!C110,'Sludge Disposal Cash Flow'!C110,'STS Cash Flow'!B111)</f>
        <v>12161404.538777346</v>
      </c>
      <c r="F11" s="214">
        <v>0.3</v>
      </c>
      <c r="G11" s="13">
        <f>E11*F11</f>
        <v>3648421.3616332035</v>
      </c>
      <c r="H11" s="13">
        <f>SUM(G11,E11)</f>
        <v>15809825.90041055</v>
      </c>
    </row>
    <row r="12" spans="1:8" ht="15.75" customHeight="1" x14ac:dyDescent="0.35">
      <c r="A12" s="12" t="s">
        <v>18</v>
      </c>
      <c r="B12" s="214">
        <v>0.17499999999999999</v>
      </c>
      <c r="D12" s="12" t="s">
        <v>19</v>
      </c>
      <c r="E12" s="13">
        <f>SUM('STS Cash Flow'!F111:I111)</f>
        <v>62145517.691383377</v>
      </c>
      <c r="F12" s="214">
        <v>0.17499999999999999</v>
      </c>
      <c r="G12" s="13">
        <f t="shared" ref="G12:G17" si="0">E12*F12</f>
        <v>10875465.59599209</v>
      </c>
      <c r="H12" s="13">
        <f t="shared" ref="H12:H17" si="1">SUM(G12,E12)</f>
        <v>73020983.287375465</v>
      </c>
    </row>
    <row r="13" spans="1:8" x14ac:dyDescent="0.35">
      <c r="A13" s="9" t="s">
        <v>20</v>
      </c>
      <c r="B13" s="284" t="s">
        <v>21</v>
      </c>
      <c r="D13" s="12" t="s">
        <v>22</v>
      </c>
      <c r="E13" s="13">
        <f>SUM('STS Cash Flow'!J111)</f>
        <v>2150408</v>
      </c>
      <c r="F13" s="214">
        <v>0.17499999999999999</v>
      </c>
      <c r="G13" s="13">
        <f t="shared" si="0"/>
        <v>376321.39999999997</v>
      </c>
      <c r="H13" s="13">
        <f t="shared" si="1"/>
        <v>2526729.4</v>
      </c>
    </row>
    <row r="14" spans="1:8" x14ac:dyDescent="0.35">
      <c r="A14" s="12" t="s">
        <v>23</v>
      </c>
      <c r="B14" s="13">
        <f>'2019 CCP Cash Flow'!B112</f>
        <v>1908800</v>
      </c>
      <c r="D14" s="12" t="s">
        <v>24</v>
      </c>
      <c r="E14" s="13">
        <f>SUM('Short Term ETS Cash Flow'!H111,'Long Term ETS Cash Flow'!M110,'Water Conveyance Cash Flow'!J110,'STS Cash Flow'!K111)</f>
        <v>28329476.38446309</v>
      </c>
      <c r="F14" s="214">
        <v>0.17499999999999999</v>
      </c>
      <c r="G14" s="13">
        <f t="shared" si="0"/>
        <v>4957658.3672810402</v>
      </c>
      <c r="H14" s="13">
        <f t="shared" si="1"/>
        <v>33287134.751744129</v>
      </c>
    </row>
    <row r="15" spans="1:8" x14ac:dyDescent="0.35">
      <c r="A15" s="12" t="s">
        <v>25</v>
      </c>
      <c r="B15" s="13">
        <f>'2019 CCP Cash Flow'!E112</f>
        <v>429833</v>
      </c>
      <c r="D15" s="12" t="s">
        <v>26</v>
      </c>
      <c r="E15" s="13">
        <f>SUM('Long Term ETS Cash Flow'!D110:F110,'Salt Disposal Cash Flow'!D110,'Water Conveyance Cash Flow'!D110:E110,'Sludge Disposal Cash Flow'!D110,'STS Cash Flow'!D111)</f>
        <v>17984722.296638478</v>
      </c>
      <c r="F15" s="214">
        <v>0.17499999999999999</v>
      </c>
      <c r="G15" s="13">
        <f t="shared" si="0"/>
        <v>3147326.4019117332</v>
      </c>
      <c r="H15" s="13">
        <f t="shared" si="1"/>
        <v>21132048.698550209</v>
      </c>
    </row>
    <row r="16" spans="1:8" ht="17" x14ac:dyDescent="0.35">
      <c r="A16" s="12" t="s">
        <v>27</v>
      </c>
      <c r="B16" s="13">
        <f>'2019 CCP Cash Flow'!H112</f>
        <v>7585046.5087773455</v>
      </c>
      <c r="D16" s="12" t="s">
        <v>28</v>
      </c>
      <c r="E16" s="13">
        <f>SUM('Short Term ETS Cash Flow'!E111,'Long Term ETS Cash Flow'!G110:I110,'Water Conveyance Cash Flow'!F110:G110,'STS Cash Flow'!E111)</f>
        <v>19544702.255277712</v>
      </c>
      <c r="F16" s="214">
        <v>0.17499999999999999</v>
      </c>
      <c r="G16" s="13">
        <f t="shared" si="0"/>
        <v>3420322.8946735994</v>
      </c>
      <c r="H16" s="13">
        <f t="shared" si="1"/>
        <v>22965025.149951313</v>
      </c>
    </row>
    <row r="17" spans="1:8" x14ac:dyDescent="0.35">
      <c r="A17" s="12" t="s">
        <v>29</v>
      </c>
      <c r="B17" s="13">
        <f>'2019 CCP Cash Flow'!K112</f>
        <v>1564227.03</v>
      </c>
      <c r="D17" s="12" t="s">
        <v>30</v>
      </c>
      <c r="E17" s="13">
        <f>SUM('Short Term ETS Cash Flow'!F111,'STS Cash Flow'!C111)+'Salt Disposal Cash Flow'!H110-'Salt Disposal Cash Flow'!C110-'Salt Disposal Cash Flow'!D110+'Sludge Disposal Cash Flow'!H110-'Sludge Disposal Cash Flow'!D110-'Sludge Disposal Cash Flow'!C110</f>
        <v>61232380.64413356</v>
      </c>
      <c r="F17" s="214">
        <v>0.17499999999999999</v>
      </c>
      <c r="G17" s="13">
        <f t="shared" si="0"/>
        <v>10715666.612723373</v>
      </c>
      <c r="H17" s="13">
        <f t="shared" si="1"/>
        <v>71948047.256856933</v>
      </c>
    </row>
    <row r="18" spans="1:8" x14ac:dyDescent="0.35">
      <c r="A18" s="12" t="s">
        <v>31</v>
      </c>
      <c r="B18" s="13">
        <f>'2019 CCP Cash Flow'!N112</f>
        <v>138682</v>
      </c>
      <c r="D18" s="16" t="s">
        <v>32</v>
      </c>
      <c r="E18" s="17">
        <f>SUM(E11:E17)</f>
        <v>203548611.81067356</v>
      </c>
      <c r="F18" s="17"/>
      <c r="G18" s="17">
        <f>SUM(G11:G17)</f>
        <v>37141182.634215042</v>
      </c>
      <c r="H18" s="17">
        <f>SUM(H11:H17)</f>
        <v>240689794.44488859</v>
      </c>
    </row>
    <row r="19" spans="1:8" ht="17" x14ac:dyDescent="0.35">
      <c r="A19" s="12" t="s">
        <v>33</v>
      </c>
      <c r="B19" s="13">
        <f>'2019 CCP Cash Flow'!P112</f>
        <v>534816</v>
      </c>
      <c r="D19" s="350" t="s">
        <v>34</v>
      </c>
    </row>
    <row r="20" spans="1:8" x14ac:dyDescent="0.35">
      <c r="A20" s="14" t="s">
        <v>35</v>
      </c>
      <c r="B20" s="15">
        <f>SUM(B14:B19)</f>
        <v>12161404.538777346</v>
      </c>
      <c r="E20" s="184"/>
    </row>
    <row r="21" spans="1:8" x14ac:dyDescent="0.35">
      <c r="A21" s="186" t="s">
        <v>36</v>
      </c>
      <c r="B21" s="187">
        <f>B20*B11</f>
        <v>3648421.3616332035</v>
      </c>
      <c r="E21" s="184"/>
    </row>
    <row r="22" spans="1:8" x14ac:dyDescent="0.35">
      <c r="A22" s="16" t="s">
        <v>32</v>
      </c>
      <c r="B22" s="17">
        <f>SUM(B20:B21)</f>
        <v>15809825.90041055</v>
      </c>
    </row>
    <row r="23" spans="1:8" x14ac:dyDescent="0.35">
      <c r="A23" s="9" t="s">
        <v>37</v>
      </c>
      <c r="B23" s="11"/>
    </row>
    <row r="24" spans="1:8" x14ac:dyDescent="0.35">
      <c r="A24" s="12" t="s">
        <v>38</v>
      </c>
      <c r="B24" s="13">
        <f>'Short Term ETS Cash Flow'!H111</f>
        <v>12236266.321436564</v>
      </c>
      <c r="E24" s="184"/>
    </row>
    <row r="25" spans="1:8" x14ac:dyDescent="0.35">
      <c r="A25" s="12" t="s">
        <v>25</v>
      </c>
      <c r="B25" s="13">
        <f>'Long Term ETS Cash Flow'!M110</f>
        <v>840074.00008375966</v>
      </c>
    </row>
    <row r="26" spans="1:8" x14ac:dyDescent="0.35">
      <c r="A26" s="12" t="s">
        <v>27</v>
      </c>
      <c r="B26" s="13">
        <f>SUM('STS Cash Flow'!F111:K111)</f>
        <v>68520567.679053068</v>
      </c>
    </row>
    <row r="27" spans="1:8" x14ac:dyDescent="0.35">
      <c r="A27" s="12" t="s">
        <v>29</v>
      </c>
      <c r="B27" s="13">
        <f>'Water Conveyance Cash Flow'!J110</f>
        <v>11028494.075273074</v>
      </c>
    </row>
    <row r="28" spans="1:8" x14ac:dyDescent="0.35">
      <c r="A28" s="12" t="s">
        <v>31</v>
      </c>
      <c r="B28" s="13">
        <v>0</v>
      </c>
    </row>
    <row r="29" spans="1:8" x14ac:dyDescent="0.35">
      <c r="A29" s="12" t="s">
        <v>33</v>
      </c>
      <c r="B29" s="13">
        <v>0</v>
      </c>
      <c r="E29" s="184"/>
    </row>
    <row r="30" spans="1:8" x14ac:dyDescent="0.35">
      <c r="A30" s="14" t="s">
        <v>39</v>
      </c>
      <c r="B30" s="15">
        <f>SUM(B24:B29)</f>
        <v>92625402.075846463</v>
      </c>
    </row>
    <row r="31" spans="1:8" x14ac:dyDescent="0.35">
      <c r="A31" s="186" t="s">
        <v>40</v>
      </c>
      <c r="B31" s="187">
        <f>B30*B12</f>
        <v>16209445.363273131</v>
      </c>
    </row>
    <row r="32" spans="1:8" x14ac:dyDescent="0.35">
      <c r="A32" s="18" t="s">
        <v>41</v>
      </c>
      <c r="B32" s="17">
        <f>SUM(B30:B31)</f>
        <v>108834847.43911959</v>
      </c>
      <c r="E32" s="184"/>
    </row>
    <row r="33" spans="1:4" x14ac:dyDescent="0.35">
      <c r="A33" s="9" t="s">
        <v>42</v>
      </c>
      <c r="B33" s="11"/>
      <c r="D33" s="290"/>
    </row>
    <row r="34" spans="1:4" x14ac:dyDescent="0.35">
      <c r="A34" s="12" t="s">
        <v>38</v>
      </c>
      <c r="B34" s="13">
        <f>SUM('Short Term ETS Cash Flow'!E111:F111)</f>
        <v>940653.6</v>
      </c>
    </row>
    <row r="35" spans="1:4" x14ac:dyDescent="0.35">
      <c r="A35" s="12" t="s">
        <v>25</v>
      </c>
      <c r="B35" s="13">
        <f>SUM('Long Term ETS Cash Flow'!D110:I110)</f>
        <v>4966037.8645199966</v>
      </c>
      <c r="D35" s="184"/>
    </row>
    <row r="36" spans="1:4" x14ac:dyDescent="0.35">
      <c r="A36" s="12" t="s">
        <v>27</v>
      </c>
      <c r="B36" s="13">
        <f>SUM('STS Cash Flow'!C111:E111)</f>
        <v>65095852.258346267</v>
      </c>
    </row>
    <row r="37" spans="1:4" x14ac:dyDescent="0.35">
      <c r="A37" s="12" t="s">
        <v>29</v>
      </c>
      <c r="B37" s="13">
        <f>SUM('Water Conveyance Cash Flow'!D110:G110)</f>
        <v>14119679.569049999</v>
      </c>
    </row>
    <row r="38" spans="1:4" x14ac:dyDescent="0.35">
      <c r="A38" s="12" t="s">
        <v>31</v>
      </c>
      <c r="B38" s="13">
        <f>'Sludge Disposal Cash Flow'!H110-'Sludge Disposal Cash Flow'!C110</f>
        <v>7549128.0939931795</v>
      </c>
    </row>
    <row r="39" spans="1:4" x14ac:dyDescent="0.35">
      <c r="A39" s="12" t="s">
        <v>33</v>
      </c>
      <c r="B39" s="13">
        <f>'Salt Disposal Cash Flow'!H110-'Salt Disposal Cash Flow'!C110</f>
        <v>6090453.810140308</v>
      </c>
    </row>
    <row r="40" spans="1:4" x14ac:dyDescent="0.35">
      <c r="A40" s="14" t="s">
        <v>43</v>
      </c>
      <c r="B40" s="15">
        <f>SUM(B34:B39)</f>
        <v>98761805.19604975</v>
      </c>
    </row>
    <row r="41" spans="1:4" x14ac:dyDescent="0.35">
      <c r="A41" s="186" t="s">
        <v>44</v>
      </c>
      <c r="B41" s="187">
        <f>B40*B12</f>
        <v>17283315.909308705</v>
      </c>
    </row>
    <row r="42" spans="1:4" x14ac:dyDescent="0.35">
      <c r="A42" s="18" t="s">
        <v>45</v>
      </c>
      <c r="B42" s="17">
        <f>SUM(B40:B41)</f>
        <v>116045121.10535845</v>
      </c>
    </row>
    <row r="43" spans="1:4" x14ac:dyDescent="0.35">
      <c r="A43" s="9" t="s">
        <v>46</v>
      </c>
      <c r="B43" s="19">
        <f>SUM(B42,B32)</f>
        <v>224879968.54447806</v>
      </c>
    </row>
    <row r="44" spans="1:4" x14ac:dyDescent="0.35">
      <c r="A44" s="18" t="s">
        <v>47</v>
      </c>
      <c r="B44" s="17">
        <f>+B22+B43</f>
        <v>240689794.44488862</v>
      </c>
    </row>
    <row r="46" spans="1:4" x14ac:dyDescent="0.35">
      <c r="A46" s="280"/>
      <c r="B46" s="281"/>
    </row>
    <row r="47" spans="1:4" x14ac:dyDescent="0.35">
      <c r="A47" s="280"/>
      <c r="B47" s="281"/>
    </row>
    <row r="48" spans="1:4" x14ac:dyDescent="0.35">
      <c r="A48" s="280"/>
      <c r="B48" s="281"/>
    </row>
    <row r="49" spans="1:2" x14ac:dyDescent="0.35">
      <c r="A49" s="280"/>
      <c r="B49" s="282"/>
    </row>
  </sheetData>
  <mergeCells count="2">
    <mergeCell ref="A9:B9"/>
    <mergeCell ref="D9:H9"/>
  </mergeCells>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5291-CC7F-418B-AA34-584019235EB0}">
  <sheetPr>
    <tabColor rgb="FF7030A0"/>
  </sheetPr>
  <dimension ref="A3:AD122"/>
  <sheetViews>
    <sheetView view="pageBreakPreview" zoomScaleNormal="100" zoomScaleSheetLayoutView="100" workbookViewId="0">
      <pane xSplit="1" ySplit="10" topLeftCell="B11" activePane="bottomRight" state="frozen"/>
      <selection pane="topRight" activeCell="B1" sqref="B1"/>
      <selection pane="bottomLeft" activeCell="A11" sqref="A11"/>
      <selection pane="bottomRight" activeCell="A3" sqref="A3"/>
    </sheetView>
  </sheetViews>
  <sheetFormatPr defaultColWidth="9.1796875" defaultRowHeight="12.5" x14ac:dyDescent="0.25"/>
  <cols>
    <col min="1" max="1" width="6.1796875" style="94" customWidth="1"/>
    <col min="2" max="2" width="13.54296875" style="94" customWidth="1"/>
    <col min="3" max="3" width="14" style="94" customWidth="1"/>
    <col min="4" max="4" width="13.453125" style="94" customWidth="1"/>
    <col min="5" max="5" width="13.54296875" style="94" customWidth="1"/>
    <col min="6" max="6" width="14" style="94" customWidth="1"/>
    <col min="7" max="8" width="13.453125" style="94" customWidth="1"/>
    <col min="9" max="9" width="12.81640625" style="94" bestFit="1" customWidth="1"/>
    <col min="10" max="13" width="13.453125" style="94" customWidth="1"/>
    <col min="14" max="14" width="13.26953125" style="94" customWidth="1"/>
    <col min="15" max="15" width="13.453125" style="94" customWidth="1"/>
    <col min="16" max="16" width="13" style="94" customWidth="1"/>
    <col min="17" max="17" width="13.26953125" style="94" customWidth="1"/>
    <col min="18" max="18" width="1.7265625" style="94" customWidth="1"/>
    <col min="19" max="19" width="13.1796875" style="94" customWidth="1"/>
    <col min="20" max="20" width="11.453125" style="94" customWidth="1"/>
    <col min="21" max="21" width="14.26953125" style="94" customWidth="1"/>
    <col min="22" max="24" width="15.26953125" style="94" customWidth="1"/>
    <col min="25" max="25" width="13.7265625" style="94" customWidth="1"/>
    <col min="26" max="26" width="13.453125" style="94" bestFit="1" customWidth="1"/>
    <col min="27" max="16384" width="9.1796875" style="94"/>
  </cols>
  <sheetData>
    <row r="3" spans="1:30" ht="25.5" customHeight="1" x14ac:dyDescent="0.35">
      <c r="A3" s="3"/>
      <c r="B3" s="3"/>
      <c r="C3" s="3"/>
      <c r="E3" s="286"/>
      <c r="F3" s="3"/>
      <c r="G3" s="3"/>
      <c r="H3" s="3"/>
      <c r="I3" s="3"/>
      <c r="J3" s="3"/>
      <c r="K3" s="3"/>
      <c r="L3" s="3"/>
      <c r="M3" s="3"/>
      <c r="O3" s="98"/>
      <c r="S3" s="520" t="s">
        <v>10</v>
      </c>
      <c r="T3" s="521"/>
      <c r="U3" s="522"/>
      <c r="V3" s="233" t="s">
        <v>11</v>
      </c>
      <c r="AC3" s="119"/>
      <c r="AD3" s="112"/>
    </row>
    <row r="4" spans="1:30" ht="15" customHeight="1" x14ac:dyDescent="0.35">
      <c r="A4" s="455" t="s">
        <v>1</v>
      </c>
      <c r="C4" s="125">
        <f>'2019 CCP Summary'!B4</f>
        <v>43536</v>
      </c>
      <c r="F4" s="125"/>
      <c r="G4" s="125"/>
      <c r="H4" s="4"/>
      <c r="I4" s="4"/>
      <c r="J4" s="4"/>
      <c r="K4" s="4"/>
      <c r="L4" s="4"/>
      <c r="M4" s="4"/>
      <c r="O4" s="5"/>
      <c r="S4" s="535" t="s">
        <v>48</v>
      </c>
      <c r="T4" s="536"/>
      <c r="U4" s="537"/>
      <c r="V4" s="234">
        <v>0.3</v>
      </c>
      <c r="AC4" s="5"/>
      <c r="AD4" s="24"/>
    </row>
    <row r="5" spans="1:30" ht="14.5" x14ac:dyDescent="0.35">
      <c r="A5" s="456" t="s">
        <v>2</v>
      </c>
      <c r="C5" s="6" t="s">
        <v>3</v>
      </c>
      <c r="F5" s="6"/>
      <c r="G5" s="6"/>
      <c r="H5" s="7"/>
      <c r="I5" s="7"/>
      <c r="J5" s="7"/>
      <c r="K5" s="7"/>
      <c r="L5" s="7"/>
      <c r="M5" s="7"/>
      <c r="O5" s="5"/>
      <c r="S5" s="533" t="s">
        <v>49</v>
      </c>
      <c r="T5" s="533"/>
      <c r="U5" s="533"/>
      <c r="V5" s="234">
        <v>0.17499999999999999</v>
      </c>
      <c r="W5" s="200"/>
      <c r="X5" s="200"/>
      <c r="AC5" s="5"/>
      <c r="AD5" s="24"/>
    </row>
    <row r="6" spans="1:30" ht="29.25" customHeight="1" x14ac:dyDescent="0.35">
      <c r="A6" s="456" t="s">
        <v>4</v>
      </c>
      <c r="C6" s="6" t="s">
        <v>50</v>
      </c>
      <c r="F6" s="6"/>
      <c r="G6" s="6"/>
      <c r="H6" s="8"/>
      <c r="I6" s="8"/>
      <c r="J6" s="8"/>
      <c r="K6" s="8"/>
      <c r="L6" s="8"/>
      <c r="M6" s="8"/>
      <c r="O6" s="8"/>
      <c r="S6" s="534" t="s">
        <v>51</v>
      </c>
      <c r="T6" s="534"/>
      <c r="U6" s="534"/>
      <c r="V6" s="234">
        <v>0.17499999999999999</v>
      </c>
      <c r="W6" s="201"/>
      <c r="X6" s="201"/>
      <c r="AC6" s="5"/>
      <c r="AD6" s="24"/>
    </row>
    <row r="7" spans="1:30" ht="13" x14ac:dyDescent="0.3">
      <c r="A7" s="455" t="s">
        <v>6</v>
      </c>
      <c r="C7" s="6" t="s">
        <v>7</v>
      </c>
      <c r="F7" s="6"/>
      <c r="G7" s="6"/>
      <c r="H7" s="8"/>
      <c r="I7" s="8"/>
      <c r="J7" s="8"/>
      <c r="K7" s="8"/>
      <c r="L7" s="8"/>
      <c r="M7" s="8"/>
      <c r="O7" s="8"/>
      <c r="W7" s="201"/>
      <c r="X7" s="201"/>
      <c r="AC7" s="538"/>
      <c r="AD7" s="538"/>
    </row>
    <row r="8" spans="1:30" ht="13.5" thickBot="1" x14ac:dyDescent="0.35">
      <c r="A8" s="110"/>
      <c r="B8" s="523"/>
      <c r="C8" s="523"/>
      <c r="D8" s="523"/>
      <c r="E8" s="523"/>
      <c r="F8" s="523"/>
      <c r="G8" s="523"/>
      <c r="H8" s="523"/>
      <c r="I8" s="523"/>
      <c r="J8" s="523"/>
      <c r="K8" s="523"/>
      <c r="L8" s="523"/>
      <c r="M8" s="523"/>
      <c r="N8" s="523"/>
      <c r="O8" s="523"/>
      <c r="P8" s="523"/>
      <c r="Q8" s="523"/>
      <c r="R8" s="453"/>
      <c r="S8" s="453"/>
      <c r="T8" s="453"/>
      <c r="U8" s="453"/>
      <c r="V8" s="453"/>
      <c r="W8" s="453"/>
      <c r="X8" s="453"/>
      <c r="Y8" s="453"/>
    </row>
    <row r="9" spans="1:30" ht="15.75" customHeight="1" thickBot="1" x14ac:dyDescent="0.35">
      <c r="A9" s="539" t="s">
        <v>52</v>
      </c>
      <c r="B9" s="543" t="s">
        <v>38</v>
      </c>
      <c r="C9" s="531"/>
      <c r="D9" s="532"/>
      <c r="E9" s="527" t="s">
        <v>25</v>
      </c>
      <c r="F9" s="528"/>
      <c r="G9" s="529"/>
      <c r="H9" s="530" t="s">
        <v>53</v>
      </c>
      <c r="I9" s="531"/>
      <c r="J9" s="532"/>
      <c r="K9" s="530" t="s">
        <v>54</v>
      </c>
      <c r="L9" s="531"/>
      <c r="M9" s="532"/>
      <c r="N9" s="530" t="s">
        <v>55</v>
      </c>
      <c r="O9" s="532"/>
      <c r="P9" s="541" t="s">
        <v>56</v>
      </c>
      <c r="Q9" s="542"/>
      <c r="R9" s="207"/>
      <c r="S9" s="524" t="s">
        <v>57</v>
      </c>
      <c r="T9" s="525"/>
      <c r="U9" s="525"/>
      <c r="V9" s="525"/>
      <c r="W9" s="525"/>
      <c r="X9" s="525"/>
      <c r="Y9" s="526"/>
    </row>
    <row r="10" spans="1:30" ht="79.5" customHeight="1" x14ac:dyDescent="0.3">
      <c r="A10" s="540"/>
      <c r="B10" s="215" t="s">
        <v>58</v>
      </c>
      <c r="C10" s="216" t="s">
        <v>59</v>
      </c>
      <c r="D10" s="217" t="s">
        <v>60</v>
      </c>
      <c r="E10" s="215" t="s">
        <v>58</v>
      </c>
      <c r="F10" s="216" t="s">
        <v>59</v>
      </c>
      <c r="G10" s="217" t="s">
        <v>60</v>
      </c>
      <c r="H10" s="215" t="s">
        <v>58</v>
      </c>
      <c r="I10" s="216" t="s">
        <v>61</v>
      </c>
      <c r="J10" s="217" t="s">
        <v>62</v>
      </c>
      <c r="K10" s="215" t="s">
        <v>58</v>
      </c>
      <c r="L10" s="216" t="s">
        <v>59</v>
      </c>
      <c r="M10" s="217" t="s">
        <v>62</v>
      </c>
      <c r="N10" s="215" t="s">
        <v>58</v>
      </c>
      <c r="O10" s="217" t="s">
        <v>62</v>
      </c>
      <c r="P10" s="215" t="s">
        <v>58</v>
      </c>
      <c r="Q10" s="217" t="s">
        <v>62</v>
      </c>
      <c r="R10" s="208"/>
      <c r="S10" s="218" t="s">
        <v>63</v>
      </c>
      <c r="T10" s="219" t="s">
        <v>64</v>
      </c>
      <c r="U10" s="220" t="s">
        <v>65</v>
      </c>
      <c r="V10" s="219" t="s">
        <v>66</v>
      </c>
      <c r="W10" s="221" t="s">
        <v>67</v>
      </c>
      <c r="X10" s="219" t="s">
        <v>68</v>
      </c>
      <c r="Y10" s="215" t="s">
        <v>16</v>
      </c>
      <c r="AA10" s="188"/>
    </row>
    <row r="11" spans="1:30" ht="13" x14ac:dyDescent="0.3">
      <c r="A11" s="193">
        <v>0</v>
      </c>
      <c r="B11" s="351">
        <f>'Short Term ETS Cash Flow'!C10</f>
        <v>1908800</v>
      </c>
      <c r="C11" s="189">
        <f>'Short Term ETS Cash Flow'!H10</f>
        <v>0</v>
      </c>
      <c r="D11" s="192">
        <f>SUM('Short Term ETS Cash Flow'!D10:F10)</f>
        <v>0</v>
      </c>
      <c r="E11" s="191">
        <f>'Long Term ETS Cash Flow'!C10</f>
        <v>0</v>
      </c>
      <c r="F11" s="189">
        <v>0</v>
      </c>
      <c r="G11" s="192">
        <v>0</v>
      </c>
      <c r="H11" s="195">
        <v>0</v>
      </c>
      <c r="I11" s="121">
        <v>0</v>
      </c>
      <c r="J11" s="196">
        <v>0</v>
      </c>
      <c r="K11" s="195">
        <v>0</v>
      </c>
      <c r="L11" s="121">
        <v>0</v>
      </c>
      <c r="M11" s="196">
        <v>0</v>
      </c>
      <c r="N11" s="195">
        <v>0</v>
      </c>
      <c r="O11" s="196">
        <v>0</v>
      </c>
      <c r="P11" s="195">
        <v>0</v>
      </c>
      <c r="Q11" s="197">
        <v>0</v>
      </c>
      <c r="R11" s="209"/>
      <c r="S11" s="211">
        <f>SUM(B11,E11,H11,K11,N11,P11)</f>
        <v>1908800</v>
      </c>
      <c r="T11" s="212">
        <f t="shared" ref="T11" si="0">S11*$V$4</f>
        <v>572640</v>
      </c>
      <c r="U11" s="202">
        <f>SUM(C11,F11,I11,L11)</f>
        <v>0</v>
      </c>
      <c r="V11" s="196">
        <f t="shared" ref="V11" si="1">U11*$V$5</f>
        <v>0</v>
      </c>
      <c r="W11" s="195">
        <f>SUM(D11,G11,J11,M11,O11,Q11)</f>
        <v>0</v>
      </c>
      <c r="X11" s="206">
        <f>W11*$V$6</f>
        <v>0</v>
      </c>
      <c r="Y11" s="205">
        <f>SUM(S11:X11)</f>
        <v>2481440</v>
      </c>
    </row>
    <row r="12" spans="1:30" ht="13" x14ac:dyDescent="0.3">
      <c r="A12" s="193">
        <v>1</v>
      </c>
      <c r="B12" s="222">
        <f>'Short Term ETS Cash Flow'!C11</f>
        <v>0</v>
      </c>
      <c r="C12" s="189">
        <f>'Short Term ETS Cash Flow'!H11</f>
        <v>2721414.6382412813</v>
      </c>
      <c r="D12" s="192">
        <f>SUM('Short Term ETS Cash Flow'!D11:F11)</f>
        <v>156775.6</v>
      </c>
      <c r="E12" s="191">
        <f>'Long Term ETS Cash Flow'!C10</f>
        <v>0</v>
      </c>
      <c r="F12" s="189">
        <f>SUM('Long Term ETS Cash Flow'!M10)</f>
        <v>0</v>
      </c>
      <c r="G12" s="192">
        <f>SUM('Long Term ETS Cash Flow'!D10:J10)</f>
        <v>0</v>
      </c>
      <c r="H12" s="195">
        <f>'STS Cash Flow'!B11</f>
        <v>0</v>
      </c>
      <c r="I12" s="121">
        <f>SUM('STS Cash Flow'!F11:K11)</f>
        <v>12896</v>
      </c>
      <c r="J12" s="121">
        <f>SUM('STS Cash Flow'!C11:E11)</f>
        <v>0</v>
      </c>
      <c r="K12" s="195">
        <f>'Water Conveyance Cash Flow'!C10</f>
        <v>0</v>
      </c>
      <c r="L12" s="121">
        <f>SUM('Water Conveyance Cash Flow'!J10)</f>
        <v>0</v>
      </c>
      <c r="M12" s="196">
        <f>SUM('Water Conveyance Cash Flow'!D10:H10)</f>
        <v>0</v>
      </c>
      <c r="N12" s="195">
        <f>'Sludge Disposal Cash Flow'!C10</f>
        <v>0</v>
      </c>
      <c r="O12" s="196">
        <f>'Sludge Disposal Cash Flow'!H10-'Sludge Disposal Cash Flow'!C10</f>
        <v>0</v>
      </c>
      <c r="P12" s="195">
        <f>'Salt Disposal Cash Flow'!C10</f>
        <v>0</v>
      </c>
      <c r="Q12" s="197">
        <f>'Salt Disposal Cash Flow'!H10-'Salt Disposal Cash Flow'!C10</f>
        <v>0</v>
      </c>
      <c r="R12" s="209"/>
      <c r="S12" s="211">
        <f t="shared" ref="S12:S75" si="2">SUM(B12,E12,H12,K12,N12,P12)</f>
        <v>0</v>
      </c>
      <c r="T12" s="212">
        <f t="shared" ref="T12:T75" si="3">S12*$V$4</f>
        <v>0</v>
      </c>
      <c r="U12" s="202">
        <f t="shared" ref="U12:U75" si="4">SUM(C12,F12,I12,L12)</f>
        <v>2734310.6382412813</v>
      </c>
      <c r="V12" s="196">
        <f>U12*$V$5</f>
        <v>478504.36169222416</v>
      </c>
      <c r="W12" s="195">
        <f t="shared" ref="W12:W75" si="5">SUM(D12,G12,J12,M12,O12,Q12)</f>
        <v>156775.6</v>
      </c>
      <c r="X12" s="206">
        <f t="shared" ref="X12:X75" si="6">W12*$V$6</f>
        <v>27435.73</v>
      </c>
      <c r="Y12" s="205">
        <f t="shared" ref="Y12:Y75" si="7">SUM(S12:X12)</f>
        <v>3397026.3299335055</v>
      </c>
    </row>
    <row r="13" spans="1:30" ht="13" x14ac:dyDescent="0.3">
      <c r="A13" s="193">
        <v>2</v>
      </c>
      <c r="B13" s="222">
        <f>'Short Term ETS Cash Flow'!C12</f>
        <v>0</v>
      </c>
      <c r="C13" s="189">
        <f>'Short Term ETS Cash Flow'!H12</f>
        <v>2862639.4825436138</v>
      </c>
      <c r="D13" s="192">
        <f>SUM('Short Term ETS Cash Flow'!D12:F12)</f>
        <v>156775.6</v>
      </c>
      <c r="E13" s="191">
        <f>'Long Term ETS Cash Flow'!C11</f>
        <v>0</v>
      </c>
      <c r="F13" s="189">
        <f>SUM('Long Term ETS Cash Flow'!M11)</f>
        <v>0</v>
      </c>
      <c r="G13" s="192">
        <f>SUM('Long Term ETS Cash Flow'!D11:J11)</f>
        <v>0</v>
      </c>
      <c r="H13" s="195">
        <f>'STS Cash Flow'!B12</f>
        <v>0</v>
      </c>
      <c r="I13" s="121">
        <f>SUM('STS Cash Flow'!F12:K12)</f>
        <v>12896</v>
      </c>
      <c r="J13" s="121">
        <f>SUM('STS Cash Flow'!C12:E12)</f>
        <v>0</v>
      </c>
      <c r="K13" s="195">
        <f>'Water Conveyance Cash Flow'!C11</f>
        <v>0</v>
      </c>
      <c r="L13" s="121">
        <f>SUM('Water Conveyance Cash Flow'!J11)</f>
        <v>0</v>
      </c>
      <c r="M13" s="196">
        <f>SUM('Water Conveyance Cash Flow'!D11:H11)</f>
        <v>0</v>
      </c>
      <c r="N13" s="195">
        <f>'Sludge Disposal Cash Flow'!C11</f>
        <v>0</v>
      </c>
      <c r="O13" s="196">
        <f>'Sludge Disposal Cash Flow'!H11-'Sludge Disposal Cash Flow'!C11</f>
        <v>0</v>
      </c>
      <c r="P13" s="195">
        <f>'Salt Disposal Cash Flow'!C11</f>
        <v>0</v>
      </c>
      <c r="Q13" s="197">
        <f>'Salt Disposal Cash Flow'!H11-'Salt Disposal Cash Flow'!C11</f>
        <v>0</v>
      </c>
      <c r="R13" s="209"/>
      <c r="S13" s="211">
        <f t="shared" si="2"/>
        <v>0</v>
      </c>
      <c r="T13" s="212">
        <f t="shared" si="3"/>
        <v>0</v>
      </c>
      <c r="U13" s="202">
        <f t="shared" si="4"/>
        <v>2875535.4825436138</v>
      </c>
      <c r="V13" s="196">
        <f t="shared" ref="V13:V75" si="8">U13*$V$5</f>
        <v>503218.70944513235</v>
      </c>
      <c r="W13" s="195">
        <f t="shared" si="5"/>
        <v>156775.6</v>
      </c>
      <c r="X13" s="206">
        <f t="shared" si="6"/>
        <v>27435.73</v>
      </c>
      <c r="Y13" s="205">
        <f t="shared" si="7"/>
        <v>3562965.5219887462</v>
      </c>
    </row>
    <row r="14" spans="1:30" ht="13" x14ac:dyDescent="0.3">
      <c r="A14" s="193">
        <v>3</v>
      </c>
      <c r="B14" s="222">
        <f>'Short Term ETS Cash Flow'!C13</f>
        <v>0</v>
      </c>
      <c r="C14" s="189">
        <f>'Short Term ETS Cash Flow'!H13</f>
        <v>2380132.8471240466</v>
      </c>
      <c r="D14" s="192">
        <f>SUM('Short Term ETS Cash Flow'!D13:F13)</f>
        <v>156775.6</v>
      </c>
      <c r="E14" s="191">
        <f>'Long Term ETS Cash Flow'!C12</f>
        <v>0</v>
      </c>
      <c r="F14" s="189">
        <f>SUM('Long Term ETS Cash Flow'!M12)</f>
        <v>0</v>
      </c>
      <c r="G14" s="192">
        <f>SUM('Long Term ETS Cash Flow'!D12:J12)</f>
        <v>0</v>
      </c>
      <c r="H14" s="195">
        <f>'STS Cash Flow'!B13</f>
        <v>0</v>
      </c>
      <c r="I14" s="121">
        <f>SUM('STS Cash Flow'!F13:K13)</f>
        <v>12896</v>
      </c>
      <c r="J14" s="121">
        <f>SUM('STS Cash Flow'!C13:E13)</f>
        <v>0</v>
      </c>
      <c r="K14" s="195">
        <f>'Water Conveyance Cash Flow'!C12</f>
        <v>0</v>
      </c>
      <c r="L14" s="121">
        <f>SUM('Water Conveyance Cash Flow'!J12)</f>
        <v>0</v>
      </c>
      <c r="M14" s="196">
        <f>SUM('Water Conveyance Cash Flow'!D12:H12)</f>
        <v>0</v>
      </c>
      <c r="N14" s="195">
        <f>'Sludge Disposal Cash Flow'!C12</f>
        <v>0</v>
      </c>
      <c r="O14" s="196">
        <f>'Sludge Disposal Cash Flow'!H12-'Sludge Disposal Cash Flow'!C12</f>
        <v>0</v>
      </c>
      <c r="P14" s="195">
        <f>'Salt Disposal Cash Flow'!C12</f>
        <v>0</v>
      </c>
      <c r="Q14" s="197">
        <f>'Salt Disposal Cash Flow'!H12-'Salt Disposal Cash Flow'!C12</f>
        <v>0</v>
      </c>
      <c r="R14" s="209"/>
      <c r="S14" s="211">
        <f t="shared" si="2"/>
        <v>0</v>
      </c>
      <c r="T14" s="212">
        <f t="shared" si="3"/>
        <v>0</v>
      </c>
      <c r="U14" s="202">
        <f t="shared" si="4"/>
        <v>2393028.8471240466</v>
      </c>
      <c r="V14" s="196">
        <f t="shared" si="8"/>
        <v>418780.04824670812</v>
      </c>
      <c r="W14" s="195">
        <f t="shared" si="5"/>
        <v>156775.6</v>
      </c>
      <c r="X14" s="206">
        <f t="shared" si="6"/>
        <v>27435.73</v>
      </c>
      <c r="Y14" s="205">
        <f t="shared" si="7"/>
        <v>2996020.225370755</v>
      </c>
    </row>
    <row r="15" spans="1:30" ht="13" x14ac:dyDescent="0.3">
      <c r="A15" s="193">
        <v>4</v>
      </c>
      <c r="B15" s="222">
        <f>'Short Term ETS Cash Flow'!C14</f>
        <v>0</v>
      </c>
      <c r="C15" s="189">
        <f>'Short Term ETS Cash Flow'!H14</f>
        <v>1900348.616333676</v>
      </c>
      <c r="D15" s="192">
        <f>SUM('Short Term ETS Cash Flow'!D14:F14)</f>
        <v>156775.6</v>
      </c>
      <c r="E15" s="191">
        <f>'Long Term ETS Cash Flow'!C13</f>
        <v>0</v>
      </c>
      <c r="F15" s="189">
        <f>SUM('Long Term ETS Cash Flow'!M13)</f>
        <v>0</v>
      </c>
      <c r="G15" s="192">
        <f>SUM('Long Term ETS Cash Flow'!D13:J13)</f>
        <v>0</v>
      </c>
      <c r="H15" s="195">
        <f>'STS Cash Flow'!B14</f>
        <v>0</v>
      </c>
      <c r="I15" s="121">
        <f>SUM('STS Cash Flow'!F14:K14)</f>
        <v>12896</v>
      </c>
      <c r="J15" s="121">
        <f>SUM('STS Cash Flow'!C14:E14)</f>
        <v>0</v>
      </c>
      <c r="K15" s="195">
        <f>'Water Conveyance Cash Flow'!C13</f>
        <v>0</v>
      </c>
      <c r="L15" s="121">
        <f>SUM('Water Conveyance Cash Flow'!J13)</f>
        <v>0</v>
      </c>
      <c r="M15" s="196">
        <f>SUM('Water Conveyance Cash Flow'!D13:H13)</f>
        <v>0</v>
      </c>
      <c r="N15" s="195">
        <f>'Sludge Disposal Cash Flow'!C13</f>
        <v>0</v>
      </c>
      <c r="O15" s="196">
        <f>'Sludge Disposal Cash Flow'!H13-'Sludge Disposal Cash Flow'!C13</f>
        <v>0</v>
      </c>
      <c r="P15" s="195">
        <f>'Salt Disposal Cash Flow'!C13</f>
        <v>0</v>
      </c>
      <c r="Q15" s="197">
        <f>'Salt Disposal Cash Flow'!H13-'Salt Disposal Cash Flow'!C13</f>
        <v>0</v>
      </c>
      <c r="R15" s="209"/>
      <c r="S15" s="211">
        <f t="shared" si="2"/>
        <v>0</v>
      </c>
      <c r="T15" s="212">
        <f t="shared" si="3"/>
        <v>0</v>
      </c>
      <c r="U15" s="202">
        <f t="shared" si="4"/>
        <v>1913244.616333676</v>
      </c>
      <c r="V15" s="196">
        <f t="shared" si="8"/>
        <v>334817.80785839329</v>
      </c>
      <c r="W15" s="195">
        <f t="shared" si="5"/>
        <v>156775.6</v>
      </c>
      <c r="X15" s="206">
        <f t="shared" si="6"/>
        <v>27435.73</v>
      </c>
      <c r="Y15" s="205">
        <f t="shared" si="7"/>
        <v>2432273.7541920692</v>
      </c>
    </row>
    <row r="16" spans="1:30" ht="13" x14ac:dyDescent="0.3">
      <c r="A16" s="194">
        <v>5</v>
      </c>
      <c r="B16" s="222">
        <f>'Short Term ETS Cash Flow'!C15</f>
        <v>0</v>
      </c>
      <c r="C16" s="189">
        <f>'Short Term ETS Cash Flow'!H15</f>
        <v>1423160.9347677322</v>
      </c>
      <c r="D16" s="192">
        <f>SUM('Short Term ETS Cash Flow'!D15:F15)</f>
        <v>156775.6</v>
      </c>
      <c r="E16" s="191">
        <f>'Long Term ETS Cash Flow'!C14</f>
        <v>0</v>
      </c>
      <c r="F16" s="189">
        <f>SUM('Long Term ETS Cash Flow'!M14)</f>
        <v>0</v>
      </c>
      <c r="G16" s="192">
        <f>SUM('Long Term ETS Cash Flow'!D14:J14)</f>
        <v>0</v>
      </c>
      <c r="H16" s="351">
        <f>'STS Cash Flow'!B15</f>
        <v>7585046.5087773455</v>
      </c>
      <c r="I16" s="121">
        <f>SUM('STS Cash Flow'!F15:K15)</f>
        <v>12896</v>
      </c>
      <c r="J16" s="121">
        <f>SUM('STS Cash Flow'!C15:E15)</f>
        <v>0</v>
      </c>
      <c r="K16" s="195">
        <f>'Water Conveyance Cash Flow'!C14</f>
        <v>0</v>
      </c>
      <c r="L16" s="121">
        <f>SUM('Water Conveyance Cash Flow'!J14)</f>
        <v>0</v>
      </c>
      <c r="M16" s="196">
        <f>SUM('Water Conveyance Cash Flow'!D14:H14)</f>
        <v>0</v>
      </c>
      <c r="N16" s="195">
        <f>'Sludge Disposal Cash Flow'!C14</f>
        <v>0</v>
      </c>
      <c r="O16" s="196">
        <f>'Sludge Disposal Cash Flow'!H14-'Sludge Disposal Cash Flow'!C14</f>
        <v>0</v>
      </c>
      <c r="P16" s="195">
        <f>'Salt Disposal Cash Flow'!C14</f>
        <v>0</v>
      </c>
      <c r="Q16" s="197">
        <f>'Salt Disposal Cash Flow'!H14-'Salt Disposal Cash Flow'!C14</f>
        <v>0</v>
      </c>
      <c r="R16" s="209"/>
      <c r="S16" s="211">
        <f t="shared" si="2"/>
        <v>7585046.5087773455</v>
      </c>
      <c r="T16" s="212">
        <f t="shared" si="3"/>
        <v>2275513.9526332035</v>
      </c>
      <c r="U16" s="202">
        <f t="shared" si="4"/>
        <v>1436056.9347677322</v>
      </c>
      <c r="V16" s="196">
        <f t="shared" si="8"/>
        <v>251309.9635843531</v>
      </c>
      <c r="W16" s="195">
        <f t="shared" si="5"/>
        <v>156775.6</v>
      </c>
      <c r="X16" s="206">
        <f t="shared" si="6"/>
        <v>27435.73</v>
      </c>
      <c r="Y16" s="205">
        <f t="shared" si="7"/>
        <v>11732138.689762633</v>
      </c>
    </row>
    <row r="17" spans="1:25" ht="13" x14ac:dyDescent="0.3">
      <c r="A17" s="193">
        <v>6</v>
      </c>
      <c r="B17" s="222">
        <f>'Short Term ETS Cash Flow'!C16</f>
        <v>0</v>
      </c>
      <c r="C17" s="189">
        <f>'Short Term ETS Cash Flow'!H16</f>
        <v>948569.80242621386</v>
      </c>
      <c r="D17" s="192">
        <f>SUM('Short Term ETS Cash Flow'!D16:F16)</f>
        <v>156775.6</v>
      </c>
      <c r="E17" s="351">
        <f>'Long Term ETS Cash Flow'!C15</f>
        <v>0</v>
      </c>
      <c r="F17" s="189">
        <f>SUM('Long Term ETS Cash Flow'!M15)</f>
        <v>0</v>
      </c>
      <c r="G17" s="192">
        <f>SUM('Long Term ETS Cash Flow'!D15:J15)</f>
        <v>0</v>
      </c>
      <c r="H17" s="195">
        <f>'STS Cash Flow'!B16</f>
        <v>0</v>
      </c>
      <c r="I17" s="121">
        <f>SUM('STS Cash Flow'!F16:K16)</f>
        <v>1765016.9111321138</v>
      </c>
      <c r="J17" s="121">
        <f>SUM('STS Cash Flow'!C16:E16)</f>
        <v>1112925.6827194337</v>
      </c>
      <c r="K17" s="195">
        <f>'Water Conveyance Cash Flow'!C15</f>
        <v>1564227.03</v>
      </c>
      <c r="L17" s="121">
        <f>SUM('Water Conveyance Cash Flow'!J15)</f>
        <v>156050.54516487653</v>
      </c>
      <c r="M17" s="196">
        <f>SUM('Water Conveyance Cash Flow'!D15:H15)</f>
        <v>148628.20599000002</v>
      </c>
      <c r="N17" s="195">
        <f>'Sludge Disposal Cash Flow'!C15</f>
        <v>138682</v>
      </c>
      <c r="O17" s="196">
        <f>'Sludge Disposal Cash Flow'!H15-'Sludge Disposal Cash Flow'!C15</f>
        <v>213756.9738151565</v>
      </c>
      <c r="P17" s="195">
        <f>'Salt Disposal Cash Flow'!C15</f>
        <v>0</v>
      </c>
      <c r="Q17" s="197">
        <f>'Salt Disposal Cash Flow'!H15-'Salt Disposal Cash Flow'!C15</f>
        <v>0</v>
      </c>
      <c r="R17" s="209"/>
      <c r="S17" s="211">
        <f>SUM(B17,E17,H17,K17,N17,P17)</f>
        <v>1702909.03</v>
      </c>
      <c r="T17" s="212">
        <f t="shared" si="3"/>
        <v>510872.70899999997</v>
      </c>
      <c r="U17" s="202">
        <f t="shared" si="4"/>
        <v>2869637.258723204</v>
      </c>
      <c r="V17" s="196">
        <f t="shared" si="8"/>
        <v>502186.52027656068</v>
      </c>
      <c r="W17" s="195">
        <f t="shared" si="5"/>
        <v>1632086.4625245901</v>
      </c>
      <c r="X17" s="206">
        <f t="shared" si="6"/>
        <v>285615.13094180322</v>
      </c>
      <c r="Y17" s="205">
        <f t="shared" si="7"/>
        <v>7503307.1114661582</v>
      </c>
    </row>
    <row r="18" spans="1:25" ht="13" x14ac:dyDescent="0.3">
      <c r="A18" s="193">
        <v>7</v>
      </c>
      <c r="B18" s="222">
        <f>'Short Term ETS Cash Flow'!C17</f>
        <v>0</v>
      </c>
      <c r="C18" s="189">
        <f>'Short Term ETS Cash Flow'!H17</f>
        <v>0</v>
      </c>
      <c r="D18" s="192">
        <f>SUM('Short Term ETS Cash Flow'!D17:F17)</f>
        <v>0</v>
      </c>
      <c r="E18" s="191">
        <f>'Long Term ETS Cash Flow'!C16</f>
        <v>429833</v>
      </c>
      <c r="F18" s="189">
        <f>SUM('Long Term ETS Cash Flow'!M16)</f>
        <v>46133.70477623558</v>
      </c>
      <c r="G18" s="192">
        <f>SUM('Long Term ETS Cash Flow'!D16:J16)</f>
        <v>54997.172999999995</v>
      </c>
      <c r="H18" s="195">
        <f>'STS Cash Flow'!B17</f>
        <v>0</v>
      </c>
      <c r="I18" s="121">
        <f>SUM('STS Cash Flow'!F17:K17)</f>
        <v>1606305.5206772937</v>
      </c>
      <c r="J18" s="121">
        <f>SUM('STS Cash Flow'!C17:E17)</f>
        <v>1112925.6827194337</v>
      </c>
      <c r="K18" s="195">
        <f>'Water Conveyance Cash Flow'!C16</f>
        <v>0</v>
      </c>
      <c r="L18" s="121">
        <f>SUM('Water Conveyance Cash Flow'!J16)</f>
        <v>157284.45507239952</v>
      </c>
      <c r="M18" s="196">
        <f>SUM('Water Conveyance Cash Flow'!D16:H16)</f>
        <v>148628.20599000002</v>
      </c>
      <c r="N18" s="195">
        <f>'Sludge Disposal Cash Flow'!C16</f>
        <v>0</v>
      </c>
      <c r="O18" s="196">
        <f>'Sludge Disposal Cash Flow'!H16-'Sludge Disposal Cash Flow'!C16</f>
        <v>195617.10518893338</v>
      </c>
      <c r="P18" s="195">
        <f>'Salt Disposal Cash Flow'!C16</f>
        <v>534816</v>
      </c>
      <c r="Q18" s="197">
        <f>'Salt Disposal Cash Flow'!H16-'Salt Disposal Cash Flow'!C16</f>
        <v>222003.81672691298</v>
      </c>
      <c r="R18" s="209"/>
      <c r="S18" s="211">
        <f t="shared" si="2"/>
        <v>964649</v>
      </c>
      <c r="T18" s="212">
        <f t="shared" si="3"/>
        <v>289394.7</v>
      </c>
      <c r="U18" s="202">
        <f t="shared" si="4"/>
        <v>1809723.6805259287</v>
      </c>
      <c r="V18" s="196">
        <f t="shared" si="8"/>
        <v>316701.64409203752</v>
      </c>
      <c r="W18" s="195">
        <f t="shared" si="5"/>
        <v>1734171.98362528</v>
      </c>
      <c r="X18" s="206">
        <f t="shared" si="6"/>
        <v>303480.09713442397</v>
      </c>
      <c r="Y18" s="205">
        <f t="shared" si="7"/>
        <v>5418121.1053776704</v>
      </c>
    </row>
    <row r="19" spans="1:25" ht="13" x14ac:dyDescent="0.3">
      <c r="A19" s="193">
        <v>8</v>
      </c>
      <c r="B19" s="222">
        <f>'Short Term ETS Cash Flow'!C18</f>
        <v>0</v>
      </c>
      <c r="C19" s="189">
        <f>'Short Term ETS Cash Flow'!H18</f>
        <v>0</v>
      </c>
      <c r="D19" s="192">
        <f>SUM('Short Term ETS Cash Flow'!D18:F18)</f>
        <v>0</v>
      </c>
      <c r="E19" s="191">
        <f>'Long Term ETS Cash Flow'!C17</f>
        <v>0</v>
      </c>
      <c r="F19" s="189">
        <f>SUM('Long Term ETS Cash Flow'!M17)</f>
        <v>46133.70477623558</v>
      </c>
      <c r="G19" s="192">
        <f>SUM('Long Term ETS Cash Flow'!D17:J17)</f>
        <v>54997.172999999995</v>
      </c>
      <c r="H19" s="195">
        <f>'STS Cash Flow'!B18</f>
        <v>0</v>
      </c>
      <c r="I19" s="121">
        <f>SUM('STS Cash Flow'!F18:K18)</f>
        <v>1614124.2148829363</v>
      </c>
      <c r="J19" s="121">
        <f>SUM('STS Cash Flow'!C18:E18)</f>
        <v>1112925.6827194337</v>
      </c>
      <c r="K19" s="195">
        <f>'Water Conveyance Cash Flow'!C17</f>
        <v>0</v>
      </c>
      <c r="L19" s="121">
        <f>SUM('Water Conveyance Cash Flow'!J17)</f>
        <v>157284.45507239952</v>
      </c>
      <c r="M19" s="196">
        <f>SUM('Water Conveyance Cash Flow'!D17:H17)</f>
        <v>148628.20599000002</v>
      </c>
      <c r="N19" s="195">
        <f>'Sludge Disposal Cash Flow'!C17</f>
        <v>0</v>
      </c>
      <c r="O19" s="196">
        <f>'Sludge Disposal Cash Flow'!H17-'Sludge Disposal Cash Flow'!C17</f>
        <v>195992.87354782809</v>
      </c>
      <c r="P19" s="195">
        <f>'Salt Disposal Cash Flow'!C17</f>
        <v>0</v>
      </c>
      <c r="Q19" s="197">
        <f>'Salt Disposal Cash Flow'!H17-'Salt Disposal Cash Flow'!C17</f>
        <v>222003.81672691295</v>
      </c>
      <c r="R19" s="209"/>
      <c r="S19" s="211">
        <f t="shared" si="2"/>
        <v>0</v>
      </c>
      <c r="T19" s="212">
        <f t="shared" si="3"/>
        <v>0</v>
      </c>
      <c r="U19" s="202">
        <f t="shared" si="4"/>
        <v>1817542.3747315714</v>
      </c>
      <c r="V19" s="196">
        <f t="shared" si="8"/>
        <v>318069.91557802499</v>
      </c>
      <c r="W19" s="195">
        <f t="shared" si="5"/>
        <v>1734547.7519841746</v>
      </c>
      <c r="X19" s="206">
        <f t="shared" si="6"/>
        <v>303545.85659723054</v>
      </c>
      <c r="Y19" s="205">
        <f t="shared" si="7"/>
        <v>4173705.8988910019</v>
      </c>
    </row>
    <row r="20" spans="1:25" ht="13" x14ac:dyDescent="0.3">
      <c r="A20" s="193">
        <v>9</v>
      </c>
      <c r="B20" s="222">
        <f>'Short Term ETS Cash Flow'!C19</f>
        <v>0</v>
      </c>
      <c r="C20" s="189">
        <f>'Short Term ETS Cash Flow'!H19</f>
        <v>0</v>
      </c>
      <c r="D20" s="192">
        <f>SUM('Short Term ETS Cash Flow'!D19:F19)</f>
        <v>0</v>
      </c>
      <c r="E20" s="191">
        <f>'Long Term ETS Cash Flow'!C18</f>
        <v>0</v>
      </c>
      <c r="F20" s="189">
        <f>SUM('Long Term ETS Cash Flow'!M18)</f>
        <v>46133.70477623558</v>
      </c>
      <c r="G20" s="192">
        <f>SUM('Long Term ETS Cash Flow'!D18:J18)</f>
        <v>54997.172999999995</v>
      </c>
      <c r="H20" s="195">
        <f>'STS Cash Flow'!B19</f>
        <v>0</v>
      </c>
      <c r="I20" s="121">
        <f>SUM('STS Cash Flow'!F19:K19)</f>
        <v>1620590.2599604235</v>
      </c>
      <c r="J20" s="121">
        <f>SUM('STS Cash Flow'!C19:E19)</f>
        <v>1112925.6827194337</v>
      </c>
      <c r="K20" s="195">
        <f>'Water Conveyance Cash Flow'!C18</f>
        <v>0</v>
      </c>
      <c r="L20" s="121">
        <f>SUM('Water Conveyance Cash Flow'!J18)</f>
        <v>157284.45507239952</v>
      </c>
      <c r="M20" s="196">
        <f>SUM('Water Conveyance Cash Flow'!D18:H18)</f>
        <v>148628.20599000002</v>
      </c>
      <c r="N20" s="195">
        <f>'Sludge Disposal Cash Flow'!C18</f>
        <v>0</v>
      </c>
      <c r="O20" s="196">
        <f>'Sludge Disposal Cash Flow'!H18-'Sludge Disposal Cash Flow'!C18</f>
        <v>196267.37344708148</v>
      </c>
      <c r="P20" s="195">
        <f>'Salt Disposal Cash Flow'!C18</f>
        <v>0</v>
      </c>
      <c r="Q20" s="197">
        <f>'Salt Disposal Cash Flow'!H18-'Salt Disposal Cash Flow'!C18</f>
        <v>222003.81672691295</v>
      </c>
      <c r="R20" s="209"/>
      <c r="S20" s="211">
        <f t="shared" si="2"/>
        <v>0</v>
      </c>
      <c r="T20" s="212">
        <f t="shared" si="3"/>
        <v>0</v>
      </c>
      <c r="U20" s="202">
        <f>SUM(C20,F20,I20,L20)</f>
        <v>1824008.4198090585</v>
      </c>
      <c r="V20" s="196">
        <f t="shared" si="8"/>
        <v>319201.47346658522</v>
      </c>
      <c r="W20" s="195">
        <f t="shared" si="5"/>
        <v>1734822.2518834281</v>
      </c>
      <c r="X20" s="206">
        <f t="shared" si="6"/>
        <v>303593.89407959988</v>
      </c>
      <c r="Y20" s="205">
        <f t="shared" si="7"/>
        <v>4181626.0392386718</v>
      </c>
    </row>
    <row r="21" spans="1:25" ht="13" x14ac:dyDescent="0.3">
      <c r="A21" s="193">
        <v>10</v>
      </c>
      <c r="B21" s="222">
        <f>'Short Term ETS Cash Flow'!C20</f>
        <v>0</v>
      </c>
      <c r="C21" s="189">
        <f>'Short Term ETS Cash Flow'!H20</f>
        <v>0</v>
      </c>
      <c r="D21" s="192">
        <f>SUM('Short Term ETS Cash Flow'!D20:F20)</f>
        <v>0</v>
      </c>
      <c r="E21" s="191">
        <f>'Long Term ETS Cash Flow'!C19</f>
        <v>0</v>
      </c>
      <c r="F21" s="189">
        <f>SUM('Long Term ETS Cash Flow'!M19)</f>
        <v>46133.70477623558</v>
      </c>
      <c r="G21" s="192">
        <f>SUM('Long Term ETS Cash Flow'!D19:J19)</f>
        <v>54997.172999999995</v>
      </c>
      <c r="H21" s="195">
        <f>'STS Cash Flow'!B20</f>
        <v>0</v>
      </c>
      <c r="I21" s="121">
        <f>SUM('STS Cash Flow'!F20:K20)</f>
        <v>1627078.3144735834</v>
      </c>
      <c r="J21" s="121">
        <f>SUM('STS Cash Flow'!C20:E20)</f>
        <v>1112925.6827194337</v>
      </c>
      <c r="K21" s="195">
        <f>'Water Conveyance Cash Flow'!C19</f>
        <v>0</v>
      </c>
      <c r="L21" s="121">
        <f>SUM('Water Conveyance Cash Flow'!J19)</f>
        <v>157284.45507239952</v>
      </c>
      <c r="M21" s="196">
        <f>SUM('Water Conveyance Cash Flow'!D19:H19)</f>
        <v>148628.20599000002</v>
      </c>
      <c r="N21" s="195">
        <f>'Sludge Disposal Cash Flow'!C19</f>
        <v>0</v>
      </c>
      <c r="O21" s="196">
        <f>'Sludge Disposal Cash Flow'!H19-'Sludge Disposal Cash Flow'!C19</f>
        <v>196432.02926036521</v>
      </c>
      <c r="P21" s="195">
        <f>'Salt Disposal Cash Flow'!C19</f>
        <v>0</v>
      </c>
      <c r="Q21" s="197">
        <f>'Salt Disposal Cash Flow'!H19-'Salt Disposal Cash Flow'!C19</f>
        <v>222003.81672691295</v>
      </c>
      <c r="R21" s="209"/>
      <c r="S21" s="211">
        <f t="shared" si="2"/>
        <v>0</v>
      </c>
      <c r="T21" s="212">
        <f t="shared" si="3"/>
        <v>0</v>
      </c>
      <c r="U21" s="202">
        <f t="shared" si="4"/>
        <v>1830496.4743222184</v>
      </c>
      <c r="V21" s="196">
        <f t="shared" si="8"/>
        <v>320336.88300638821</v>
      </c>
      <c r="W21" s="195">
        <f t="shared" si="5"/>
        <v>1734986.9076967118</v>
      </c>
      <c r="X21" s="206">
        <f t="shared" si="6"/>
        <v>303622.70884692454</v>
      </c>
      <c r="Y21" s="205">
        <f t="shared" si="7"/>
        <v>4189442.973872243</v>
      </c>
    </row>
    <row r="22" spans="1:25" ht="13" x14ac:dyDescent="0.3">
      <c r="A22" s="193">
        <v>11</v>
      </c>
      <c r="B22" s="222">
        <f>'Short Term ETS Cash Flow'!C21</f>
        <v>0</v>
      </c>
      <c r="C22" s="189">
        <f>'Short Term ETS Cash Flow'!H21</f>
        <v>0</v>
      </c>
      <c r="D22" s="192">
        <f>SUM('Short Term ETS Cash Flow'!D21:F21)</f>
        <v>0</v>
      </c>
      <c r="E22" s="191">
        <f>'Long Term ETS Cash Flow'!C20</f>
        <v>0</v>
      </c>
      <c r="F22" s="189">
        <f>SUM('Long Term ETS Cash Flow'!M20)</f>
        <v>46133.70477623558</v>
      </c>
      <c r="G22" s="192">
        <f>SUM('Long Term ETS Cash Flow'!D20:J20)</f>
        <v>54997.172999999995</v>
      </c>
      <c r="H22" s="195">
        <f>'STS Cash Flow'!B21</f>
        <v>0</v>
      </c>
      <c r="I22" s="121">
        <f>SUM('STS Cash Flow'!F21:K21)</f>
        <v>1506109.5257866133</v>
      </c>
      <c r="J22" s="121">
        <f>SUM('STS Cash Flow'!C21:E21)</f>
        <v>1112925.6827194337</v>
      </c>
      <c r="K22" s="195">
        <f>'Water Conveyance Cash Flow'!C20</f>
        <v>0</v>
      </c>
      <c r="L22" s="121">
        <f>SUM('Water Conveyance Cash Flow'!J20)</f>
        <v>157284.45507239952</v>
      </c>
      <c r="M22" s="196">
        <f>SUM('Water Conveyance Cash Flow'!D20:H20)</f>
        <v>148628.20599000002</v>
      </c>
      <c r="N22" s="195">
        <f>'Sludge Disposal Cash Flow'!C20</f>
        <v>0</v>
      </c>
      <c r="O22" s="196">
        <f>'Sludge Disposal Cash Flow'!H20-'Sludge Disposal Cash Flow'!C20</f>
        <v>180595.14968568124</v>
      </c>
      <c r="P22" s="195">
        <f>'Salt Disposal Cash Flow'!C20</f>
        <v>0</v>
      </c>
      <c r="Q22" s="197">
        <f>'Salt Disposal Cash Flow'!H20-'Salt Disposal Cash Flow'!C20</f>
        <v>222003.81672691295</v>
      </c>
      <c r="R22" s="209"/>
      <c r="S22" s="211">
        <f t="shared" si="2"/>
        <v>0</v>
      </c>
      <c r="T22" s="212">
        <f t="shared" si="3"/>
        <v>0</v>
      </c>
      <c r="U22" s="202">
        <f t="shared" si="4"/>
        <v>1709527.6856352484</v>
      </c>
      <c r="V22" s="196">
        <f t="shared" si="8"/>
        <v>299167.34498616843</v>
      </c>
      <c r="W22" s="195">
        <f t="shared" si="5"/>
        <v>1719150.0281220279</v>
      </c>
      <c r="X22" s="206">
        <f t="shared" si="6"/>
        <v>300851.25492135488</v>
      </c>
      <c r="Y22" s="205">
        <f t="shared" si="7"/>
        <v>4028696.3136647996</v>
      </c>
    </row>
    <row r="23" spans="1:25" ht="13" x14ac:dyDescent="0.3">
      <c r="A23" s="193">
        <v>12</v>
      </c>
      <c r="B23" s="222">
        <f>'Short Term ETS Cash Flow'!C22</f>
        <v>0</v>
      </c>
      <c r="C23" s="189">
        <f>'Short Term ETS Cash Flow'!H22</f>
        <v>0</v>
      </c>
      <c r="D23" s="192">
        <f>SUM('Short Term ETS Cash Flow'!D22:F22)</f>
        <v>0</v>
      </c>
      <c r="E23" s="191">
        <f>'Long Term ETS Cash Flow'!C21</f>
        <v>0</v>
      </c>
      <c r="F23" s="189">
        <f>SUM('Long Term ETS Cash Flow'!M21)</f>
        <v>46133.70477623558</v>
      </c>
      <c r="G23" s="192">
        <f>SUM('Long Term ETS Cash Flow'!D21:J21)</f>
        <v>54997.172999999995</v>
      </c>
      <c r="H23" s="195">
        <f>'STS Cash Flow'!B22</f>
        <v>0</v>
      </c>
      <c r="I23" s="121">
        <f>SUM('STS Cash Flow'!F22:K22)</f>
        <v>1402101.3045939237</v>
      </c>
      <c r="J23" s="121">
        <f>SUM('STS Cash Flow'!C22:E22)</f>
        <v>1112925.6827194337</v>
      </c>
      <c r="K23" s="195">
        <f>'Water Conveyance Cash Flow'!C21</f>
        <v>0</v>
      </c>
      <c r="L23" s="121">
        <f>SUM('Water Conveyance Cash Flow'!J21)</f>
        <v>157284.45507239952</v>
      </c>
      <c r="M23" s="196">
        <f>SUM('Water Conveyance Cash Flow'!D21:H21)</f>
        <v>148628.20599000002</v>
      </c>
      <c r="N23" s="195">
        <f>'Sludge Disposal Cash Flow'!C21</f>
        <v>0</v>
      </c>
      <c r="O23" s="196">
        <f>'Sludge Disposal Cash Flow'!H21-'Sludge Disposal Cash Flow'!C21</f>
        <v>166307.85870731188</v>
      </c>
      <c r="P23" s="195">
        <f>'Salt Disposal Cash Flow'!C21</f>
        <v>0</v>
      </c>
      <c r="Q23" s="197">
        <f>'Salt Disposal Cash Flow'!H21-'Salt Disposal Cash Flow'!C21</f>
        <v>222003.81672691295</v>
      </c>
      <c r="R23" s="209"/>
      <c r="S23" s="211">
        <f t="shared" si="2"/>
        <v>0</v>
      </c>
      <c r="T23" s="212">
        <f t="shared" si="3"/>
        <v>0</v>
      </c>
      <c r="U23" s="202">
        <f t="shared" si="4"/>
        <v>1605519.4644425588</v>
      </c>
      <c r="V23" s="196">
        <f t="shared" si="8"/>
        <v>280965.90627744776</v>
      </c>
      <c r="W23" s="195">
        <f t="shared" si="5"/>
        <v>1704862.7371436583</v>
      </c>
      <c r="X23" s="206">
        <f t="shared" si="6"/>
        <v>298350.97900014021</v>
      </c>
      <c r="Y23" s="205">
        <f t="shared" si="7"/>
        <v>3889699.0868638046</v>
      </c>
    </row>
    <row r="24" spans="1:25" ht="13" x14ac:dyDescent="0.3">
      <c r="A24" s="193">
        <v>13</v>
      </c>
      <c r="B24" s="222">
        <f>'Short Term ETS Cash Flow'!C23</f>
        <v>0</v>
      </c>
      <c r="C24" s="189">
        <f>'Short Term ETS Cash Flow'!H23</f>
        <v>0</v>
      </c>
      <c r="D24" s="192">
        <f>SUM('Short Term ETS Cash Flow'!D23:F23)</f>
        <v>0</v>
      </c>
      <c r="E24" s="191">
        <f>'Long Term ETS Cash Flow'!C22</f>
        <v>0</v>
      </c>
      <c r="F24" s="189">
        <f>SUM('Long Term ETS Cash Flow'!M22)</f>
        <v>26320.977300894159</v>
      </c>
      <c r="G24" s="192">
        <f>SUM('Long Term ETS Cash Flow'!D22:J22)</f>
        <v>54997.172999999995</v>
      </c>
      <c r="H24" s="195">
        <f>'STS Cash Flow'!B23</f>
        <v>0</v>
      </c>
      <c r="I24" s="121">
        <f>SUM('STS Cash Flow'!F23:K23)</f>
        <v>1189731.5944102905</v>
      </c>
      <c r="J24" s="121">
        <f>SUM('STS Cash Flow'!C23:E23)</f>
        <v>1112925.6827194337</v>
      </c>
      <c r="K24" s="195">
        <f>'Water Conveyance Cash Flow'!C22</f>
        <v>0</v>
      </c>
      <c r="L24" s="121">
        <f>SUM('Water Conveyance Cash Flow'!J22)</f>
        <v>132525.44455589275</v>
      </c>
      <c r="M24" s="196">
        <f>SUM('Water Conveyance Cash Flow'!D22:H22)</f>
        <v>148628.20599000002</v>
      </c>
      <c r="N24" s="195">
        <f>'Sludge Disposal Cash Flow'!C22</f>
        <v>0</v>
      </c>
      <c r="O24" s="196">
        <f>'Sludge Disposal Cash Flow'!H22-'Sludge Disposal Cash Flow'!C22</f>
        <v>142016.74348399695</v>
      </c>
      <c r="P24" s="195">
        <f>'Salt Disposal Cash Flow'!C22</f>
        <v>0</v>
      </c>
      <c r="Q24" s="197">
        <f>'Salt Disposal Cash Flow'!H22-'Salt Disposal Cash Flow'!C22</f>
        <v>211886.37824185585</v>
      </c>
      <c r="R24" s="209"/>
      <c r="S24" s="211">
        <f t="shared" si="2"/>
        <v>0</v>
      </c>
      <c r="T24" s="212">
        <f t="shared" si="3"/>
        <v>0</v>
      </c>
      <c r="U24" s="202">
        <f t="shared" si="4"/>
        <v>1348578.0162670775</v>
      </c>
      <c r="V24" s="196">
        <f t="shared" si="8"/>
        <v>236001.15284673855</v>
      </c>
      <c r="W24" s="195">
        <f t="shared" si="5"/>
        <v>1670454.1834352864</v>
      </c>
      <c r="X24" s="206">
        <f t="shared" si="6"/>
        <v>292329.48210117512</v>
      </c>
      <c r="Y24" s="205">
        <f t="shared" si="7"/>
        <v>3547362.8346502772</v>
      </c>
    </row>
    <row r="25" spans="1:25" ht="13" x14ac:dyDescent="0.3">
      <c r="A25" s="193">
        <v>14</v>
      </c>
      <c r="B25" s="222">
        <f>'Short Term ETS Cash Flow'!C24</f>
        <v>0</v>
      </c>
      <c r="C25" s="189">
        <f>'Short Term ETS Cash Flow'!H24</f>
        <v>0</v>
      </c>
      <c r="D25" s="192">
        <f>SUM('Short Term ETS Cash Flow'!D24:F24)</f>
        <v>0</v>
      </c>
      <c r="E25" s="191">
        <f>'Long Term ETS Cash Flow'!C23</f>
        <v>0</v>
      </c>
      <c r="F25" s="189">
        <f>SUM('Long Term ETS Cash Flow'!M23)</f>
        <v>26088.229763381045</v>
      </c>
      <c r="G25" s="192">
        <f>SUM('Long Term ETS Cash Flow'!D23:J23)</f>
        <v>54997.172999999995</v>
      </c>
      <c r="H25" s="195">
        <f>'STS Cash Flow'!B24</f>
        <v>0</v>
      </c>
      <c r="I25" s="121">
        <f>SUM('STS Cash Flow'!F24:K24)</f>
        <v>1088373.4296869501</v>
      </c>
      <c r="J25" s="121">
        <f>SUM('STS Cash Flow'!C24:E24)</f>
        <v>1112925.6827194337</v>
      </c>
      <c r="K25" s="195">
        <f>'Water Conveyance Cash Flow'!C23</f>
        <v>0</v>
      </c>
      <c r="L25" s="121">
        <f>SUM('Water Conveyance Cash Flow'!J23)</f>
        <v>132525.44455589275</v>
      </c>
      <c r="M25" s="196">
        <f>SUM('Water Conveyance Cash Flow'!D23:H23)</f>
        <v>148628.20599000002</v>
      </c>
      <c r="N25" s="195">
        <f>'Sludge Disposal Cash Flow'!C23</f>
        <v>0</v>
      </c>
      <c r="O25" s="196">
        <f>'Sludge Disposal Cash Flow'!H23-'Sludge Disposal Cash Flow'!C23</f>
        <v>128125.45662360745</v>
      </c>
      <c r="P25" s="195">
        <f>'Salt Disposal Cash Flow'!C23</f>
        <v>0</v>
      </c>
      <c r="Q25" s="197">
        <f>'Salt Disposal Cash Flow'!H23-'Salt Disposal Cash Flow'!C23</f>
        <v>202515.55395433007</v>
      </c>
      <c r="R25" s="209"/>
      <c r="S25" s="211">
        <f t="shared" si="2"/>
        <v>0</v>
      </c>
      <c r="T25" s="212">
        <f t="shared" si="3"/>
        <v>0</v>
      </c>
      <c r="U25" s="202">
        <f t="shared" si="4"/>
        <v>1246987.1040062238</v>
      </c>
      <c r="V25" s="196">
        <f t="shared" si="8"/>
        <v>218222.74320108915</v>
      </c>
      <c r="W25" s="195">
        <f t="shared" si="5"/>
        <v>1647192.0722873711</v>
      </c>
      <c r="X25" s="206">
        <f t="shared" si="6"/>
        <v>288258.61265028996</v>
      </c>
      <c r="Y25" s="205">
        <f t="shared" si="7"/>
        <v>3400660.532144974</v>
      </c>
    </row>
    <row r="26" spans="1:25" ht="13" x14ac:dyDescent="0.3">
      <c r="A26" s="193">
        <v>15</v>
      </c>
      <c r="B26" s="222">
        <f>'Short Term ETS Cash Flow'!C25</f>
        <v>0</v>
      </c>
      <c r="C26" s="189">
        <f>'Short Term ETS Cash Flow'!H25</f>
        <v>0</v>
      </c>
      <c r="D26" s="192">
        <f>SUM('Short Term ETS Cash Flow'!D25:F25)</f>
        <v>0</v>
      </c>
      <c r="E26" s="191">
        <f>'Long Term ETS Cash Flow'!C24</f>
        <v>0</v>
      </c>
      <c r="F26" s="189">
        <f>SUM('Long Term ETS Cash Flow'!M24)</f>
        <v>25855.482225867931</v>
      </c>
      <c r="G26" s="192">
        <f>SUM('Long Term ETS Cash Flow'!D24:J24)</f>
        <v>54997.172999999995</v>
      </c>
      <c r="H26" s="195">
        <f>'STS Cash Flow'!B25</f>
        <v>0</v>
      </c>
      <c r="I26" s="121">
        <f>SUM('STS Cash Flow'!F25:K25)</f>
        <v>967998.05838968977</v>
      </c>
      <c r="J26" s="121">
        <f>SUM('STS Cash Flow'!C25:E25)</f>
        <v>1112925.6827194337</v>
      </c>
      <c r="K26" s="195">
        <f>'Water Conveyance Cash Flow'!C24</f>
        <v>0</v>
      </c>
      <c r="L26" s="121">
        <f>SUM('Water Conveyance Cash Flow'!J24)</f>
        <v>132525.44455589275</v>
      </c>
      <c r="M26" s="196">
        <f>SUM('Water Conveyance Cash Flow'!D24:H24)</f>
        <v>148628.20599000002</v>
      </c>
      <c r="N26" s="195">
        <f>'Sludge Disposal Cash Flow'!C24</f>
        <v>0</v>
      </c>
      <c r="O26" s="196">
        <f>'Sludge Disposal Cash Flow'!H24-'Sludge Disposal Cash Flow'!C24</f>
        <v>110718.79766458269</v>
      </c>
      <c r="P26" s="195">
        <f>'Salt Disposal Cash Flow'!C24</f>
        <v>0</v>
      </c>
      <c r="Q26" s="197">
        <f>'Salt Disposal Cash Flow'!H24-'Salt Disposal Cash Flow'!C24</f>
        <v>193144.72794950314</v>
      </c>
      <c r="R26" s="209"/>
      <c r="S26" s="211">
        <f t="shared" si="2"/>
        <v>0</v>
      </c>
      <c r="T26" s="212">
        <f t="shared" si="3"/>
        <v>0</v>
      </c>
      <c r="U26" s="202">
        <f t="shared" si="4"/>
        <v>1126378.9851714505</v>
      </c>
      <c r="V26" s="196">
        <f t="shared" si="8"/>
        <v>197116.32240500383</v>
      </c>
      <c r="W26" s="195">
        <f t="shared" si="5"/>
        <v>1620414.5873235194</v>
      </c>
      <c r="X26" s="206">
        <f t="shared" si="6"/>
        <v>283572.55278161587</v>
      </c>
      <c r="Y26" s="205">
        <f t="shared" si="7"/>
        <v>3227482.4476815895</v>
      </c>
    </row>
    <row r="27" spans="1:25" ht="13" x14ac:dyDescent="0.3">
      <c r="A27" s="193">
        <v>16</v>
      </c>
      <c r="B27" s="222">
        <f>'Short Term ETS Cash Flow'!C26</f>
        <v>0</v>
      </c>
      <c r="C27" s="189">
        <f>'Short Term ETS Cash Flow'!H26</f>
        <v>0</v>
      </c>
      <c r="D27" s="192">
        <f>SUM('Short Term ETS Cash Flow'!D26:F26)</f>
        <v>0</v>
      </c>
      <c r="E27" s="191">
        <f>'Long Term ETS Cash Flow'!C25</f>
        <v>0</v>
      </c>
      <c r="F27" s="189">
        <f>SUM('Long Term ETS Cash Flow'!M25)</f>
        <v>25622.734688354816</v>
      </c>
      <c r="G27" s="192">
        <f>SUM('Long Term ETS Cash Flow'!D25:J25)</f>
        <v>54997.172999999995</v>
      </c>
      <c r="H27" s="195">
        <f>'STS Cash Flow'!B26</f>
        <v>0</v>
      </c>
      <c r="I27" s="121">
        <f>SUM('STS Cash Flow'!F26:K26)</f>
        <v>944829.4242766872</v>
      </c>
      <c r="J27" s="121">
        <f>SUM('STS Cash Flow'!C26:E26)</f>
        <v>634901.12271943374</v>
      </c>
      <c r="K27" s="195">
        <f>'Water Conveyance Cash Flow'!C25</f>
        <v>0</v>
      </c>
      <c r="L27" s="121">
        <f>SUM('Water Conveyance Cash Flow'!J25)</f>
        <v>132525.44455589275</v>
      </c>
      <c r="M27" s="196">
        <f>SUM('Water Conveyance Cash Flow'!D25:H25)</f>
        <v>148628.20599000002</v>
      </c>
      <c r="N27" s="195">
        <f>'Sludge Disposal Cash Flow'!C25</f>
        <v>0</v>
      </c>
      <c r="O27" s="196">
        <f>'Sludge Disposal Cash Flow'!H25-'Sludge Disposal Cash Flow'!C25</f>
        <v>107564.15024663832</v>
      </c>
      <c r="P27" s="195">
        <f>'Salt Disposal Cash Flow'!C25</f>
        <v>0</v>
      </c>
      <c r="Q27" s="197">
        <f>'Salt Disposal Cash Flow'!H25-'Salt Disposal Cash Flow'!C25</f>
        <v>183773.8896984843</v>
      </c>
      <c r="R27" s="209"/>
      <c r="S27" s="211">
        <f t="shared" si="2"/>
        <v>0</v>
      </c>
      <c r="T27" s="212">
        <f t="shared" si="3"/>
        <v>0</v>
      </c>
      <c r="U27" s="202">
        <f t="shared" si="4"/>
        <v>1102977.6035209347</v>
      </c>
      <c r="V27" s="196">
        <f t="shared" si="8"/>
        <v>193021.08061616356</v>
      </c>
      <c r="W27" s="195">
        <f t="shared" si="5"/>
        <v>1129864.5416545563</v>
      </c>
      <c r="X27" s="206">
        <f t="shared" si="6"/>
        <v>197726.29478954733</v>
      </c>
      <c r="Y27" s="205">
        <f t="shared" si="7"/>
        <v>2623589.5205812017</v>
      </c>
    </row>
    <row r="28" spans="1:25" ht="13" x14ac:dyDescent="0.3">
      <c r="A28" s="193">
        <v>17</v>
      </c>
      <c r="B28" s="222">
        <f>'Short Term ETS Cash Flow'!C27</f>
        <v>0</v>
      </c>
      <c r="C28" s="189">
        <f>'Short Term ETS Cash Flow'!H27</f>
        <v>0</v>
      </c>
      <c r="D28" s="192">
        <f>SUM('Short Term ETS Cash Flow'!D27:F27)</f>
        <v>0</v>
      </c>
      <c r="E28" s="191">
        <f>'Long Term ETS Cash Flow'!C26</f>
        <v>0</v>
      </c>
      <c r="F28" s="189">
        <f>SUM('Long Term ETS Cash Flow'!M26)</f>
        <v>25389.987150841702</v>
      </c>
      <c r="G28" s="192">
        <f>SUM('Long Term ETS Cash Flow'!D26:J26)</f>
        <v>54997.172999999995</v>
      </c>
      <c r="H28" s="195">
        <f>'STS Cash Flow'!B27</f>
        <v>0</v>
      </c>
      <c r="I28" s="121">
        <f>SUM('STS Cash Flow'!F27:K27)</f>
        <v>922036.65536422969</v>
      </c>
      <c r="J28" s="121">
        <f>SUM('STS Cash Flow'!C27:E27)</f>
        <v>634901.12271943374</v>
      </c>
      <c r="K28" s="195">
        <f>'Water Conveyance Cash Flow'!C26</f>
        <v>0</v>
      </c>
      <c r="L28" s="121">
        <f>SUM('Water Conveyance Cash Flow'!J26)</f>
        <v>132525.44455589275</v>
      </c>
      <c r="M28" s="196">
        <f>SUM('Water Conveyance Cash Flow'!D26:H26)</f>
        <v>148628.20599000002</v>
      </c>
      <c r="N28" s="195">
        <f>'Sludge Disposal Cash Flow'!C26</f>
        <v>0</v>
      </c>
      <c r="O28" s="196">
        <f>'Sludge Disposal Cash Flow'!H26-'Sludge Disposal Cash Flow'!C26</f>
        <v>104483.85396915812</v>
      </c>
      <c r="P28" s="195">
        <f>'Salt Disposal Cash Flow'!C26</f>
        <v>0</v>
      </c>
      <c r="Q28" s="197">
        <f>'Salt Disposal Cash Flow'!H26-'Salt Disposal Cash Flow'!C26</f>
        <v>174403.05919140362</v>
      </c>
      <c r="R28" s="209"/>
      <c r="S28" s="211">
        <f t="shared" si="2"/>
        <v>0</v>
      </c>
      <c r="T28" s="212">
        <f t="shared" si="3"/>
        <v>0</v>
      </c>
      <c r="U28" s="202">
        <f t="shared" si="4"/>
        <v>1079952.0870709643</v>
      </c>
      <c r="V28" s="196">
        <f t="shared" si="8"/>
        <v>188991.61523741874</v>
      </c>
      <c r="W28" s="195">
        <f t="shared" si="5"/>
        <v>1117413.4148699956</v>
      </c>
      <c r="X28" s="206">
        <f t="shared" si="6"/>
        <v>195547.34760224921</v>
      </c>
      <c r="Y28" s="205">
        <f t="shared" si="7"/>
        <v>2581904.4647806277</v>
      </c>
    </row>
    <row r="29" spans="1:25" ht="13" x14ac:dyDescent="0.3">
      <c r="A29" s="193">
        <v>18</v>
      </c>
      <c r="B29" s="222">
        <f>'Short Term ETS Cash Flow'!C28</f>
        <v>0</v>
      </c>
      <c r="C29" s="189">
        <f>'Short Term ETS Cash Flow'!H28</f>
        <v>0</v>
      </c>
      <c r="D29" s="192">
        <f>SUM('Short Term ETS Cash Flow'!D28:F28)</f>
        <v>0</v>
      </c>
      <c r="E29" s="191">
        <f>'Long Term ETS Cash Flow'!C27</f>
        <v>0</v>
      </c>
      <c r="F29" s="189">
        <f>SUM('Long Term ETS Cash Flow'!M27)</f>
        <v>24587.448144193877</v>
      </c>
      <c r="G29" s="192">
        <f>SUM('Long Term ETS Cash Flow'!D27:J27)</f>
        <v>54997.172999999995</v>
      </c>
      <c r="H29" s="195">
        <f>'STS Cash Flow'!B28</f>
        <v>0</v>
      </c>
      <c r="I29" s="121">
        <f>SUM('STS Cash Flow'!F28:K28)</f>
        <v>899613.89807200432</v>
      </c>
      <c r="J29" s="121">
        <f>SUM('STS Cash Flow'!C28:E28)</f>
        <v>634901.12271943374</v>
      </c>
      <c r="K29" s="195">
        <f>'Water Conveyance Cash Flow'!C27</f>
        <v>0</v>
      </c>
      <c r="L29" s="121">
        <f>SUM('Water Conveyance Cash Flow'!J27)</f>
        <v>132525.44455589275</v>
      </c>
      <c r="M29" s="196">
        <f>SUM('Water Conveyance Cash Flow'!D27:H27)</f>
        <v>148628.20599000002</v>
      </c>
      <c r="N29" s="195">
        <f>'Sludge Disposal Cash Flow'!C27</f>
        <v>0</v>
      </c>
      <c r="O29" s="196">
        <f>'Sludge Disposal Cash Flow'!H27-'Sludge Disposal Cash Flow'!C27</f>
        <v>101475.33426449588</v>
      </c>
      <c r="P29" s="195">
        <f>'Salt Disposal Cash Flow'!C27</f>
        <v>0</v>
      </c>
      <c r="Q29" s="197">
        <f>'Salt Disposal Cash Flow'!H27-'Salt Disposal Cash Flow'!C27</f>
        <v>165032.23534073896</v>
      </c>
      <c r="R29" s="209"/>
      <c r="S29" s="211">
        <f t="shared" si="2"/>
        <v>0</v>
      </c>
      <c r="T29" s="212">
        <f t="shared" si="3"/>
        <v>0</v>
      </c>
      <c r="U29" s="202">
        <f t="shared" si="4"/>
        <v>1056726.7907720909</v>
      </c>
      <c r="V29" s="196">
        <f t="shared" si="8"/>
        <v>184927.18838511591</v>
      </c>
      <c r="W29" s="195">
        <f t="shared" si="5"/>
        <v>1105034.0713146685</v>
      </c>
      <c r="X29" s="206">
        <f t="shared" si="6"/>
        <v>193380.96248006698</v>
      </c>
      <c r="Y29" s="205">
        <f t="shared" si="7"/>
        <v>2540069.0129519422</v>
      </c>
    </row>
    <row r="30" spans="1:25" ht="13" x14ac:dyDescent="0.3">
      <c r="A30" s="193">
        <v>19</v>
      </c>
      <c r="B30" s="222">
        <f>'Short Term ETS Cash Flow'!C29</f>
        <v>0</v>
      </c>
      <c r="C30" s="189">
        <f>'Short Term ETS Cash Flow'!H29</f>
        <v>0</v>
      </c>
      <c r="D30" s="192">
        <f>SUM('Short Term ETS Cash Flow'!D29:F29)</f>
        <v>0</v>
      </c>
      <c r="E30" s="191">
        <f>'Long Term ETS Cash Flow'!C28</f>
        <v>0</v>
      </c>
      <c r="F30" s="189">
        <f>SUM('Long Term ETS Cash Flow'!M28)</f>
        <v>23215.117668411331</v>
      </c>
      <c r="G30" s="192">
        <f>SUM('Long Term ETS Cash Flow'!D28:J28)</f>
        <v>54997.172999999995</v>
      </c>
      <c r="H30" s="195">
        <f>'STS Cash Flow'!B29</f>
        <v>0</v>
      </c>
      <c r="I30" s="121">
        <f>SUM('STS Cash Flow'!F29:K29)</f>
        <v>877555.08725251234</v>
      </c>
      <c r="J30" s="121">
        <f>SUM('STS Cash Flow'!C29:E29)</f>
        <v>634901.12271943374</v>
      </c>
      <c r="K30" s="195">
        <f>'Water Conveyance Cash Flow'!C28</f>
        <v>0</v>
      </c>
      <c r="L30" s="121">
        <f>SUM('Water Conveyance Cash Flow'!J28)</f>
        <v>132525.44455589275</v>
      </c>
      <c r="M30" s="196">
        <f>SUM('Water Conveyance Cash Flow'!D28:H28)</f>
        <v>148628.20599000002</v>
      </c>
      <c r="N30" s="195">
        <f>'Sludge Disposal Cash Flow'!C28</f>
        <v>0</v>
      </c>
      <c r="O30" s="196">
        <f>'Sludge Disposal Cash Flow'!H28-'Sludge Disposal Cash Flow'!C28</f>
        <v>98536.12233141328</v>
      </c>
      <c r="P30" s="195">
        <f>'Salt Disposal Cash Flow'!C28</f>
        <v>0</v>
      </c>
      <c r="Q30" s="197">
        <f>'Salt Disposal Cash Flow'!H28-'Salt Disposal Cash Flow'!C28</f>
        <v>155661.4003406566</v>
      </c>
      <c r="R30" s="209"/>
      <c r="S30" s="211">
        <f t="shared" si="2"/>
        <v>0</v>
      </c>
      <c r="T30" s="212">
        <f t="shared" si="3"/>
        <v>0</v>
      </c>
      <c r="U30" s="202">
        <f t="shared" si="4"/>
        <v>1033295.6494768164</v>
      </c>
      <c r="V30" s="196">
        <f t="shared" si="8"/>
        <v>180826.73865844286</v>
      </c>
      <c r="W30" s="195">
        <f t="shared" si="5"/>
        <v>1092724.0243815037</v>
      </c>
      <c r="X30" s="206">
        <f t="shared" si="6"/>
        <v>191226.70426676315</v>
      </c>
      <c r="Y30" s="205">
        <f t="shared" si="7"/>
        <v>2498073.1167835263</v>
      </c>
    </row>
    <row r="31" spans="1:25" ht="13" x14ac:dyDescent="0.3">
      <c r="A31" s="193">
        <v>20</v>
      </c>
      <c r="B31" s="222">
        <f>'Short Term ETS Cash Flow'!C30</f>
        <v>0</v>
      </c>
      <c r="C31" s="189">
        <f>'Short Term ETS Cash Flow'!H30</f>
        <v>0</v>
      </c>
      <c r="D31" s="192">
        <f>SUM('Short Term ETS Cash Flow'!D30:F30)</f>
        <v>0</v>
      </c>
      <c r="E31" s="191">
        <f>'Long Term ETS Cash Flow'!C29</f>
        <v>0</v>
      </c>
      <c r="F31" s="189">
        <f>SUM('Long Term ETS Cash Flow'!M29)</f>
        <v>21747.821947772998</v>
      </c>
      <c r="G31" s="192">
        <f>SUM('Long Term ETS Cash Flow'!D29:J29)</f>
        <v>54997.172999999995</v>
      </c>
      <c r="H31" s="195">
        <f>'STS Cash Flow'!B30</f>
        <v>0</v>
      </c>
      <c r="I31" s="121">
        <f>SUM('STS Cash Flow'!F30:K30)</f>
        <v>855854.87825204665</v>
      </c>
      <c r="J31" s="121">
        <f>SUM('STS Cash Flow'!C30:E30)</f>
        <v>634901.12271943374</v>
      </c>
      <c r="K31" s="195">
        <f>'Water Conveyance Cash Flow'!C29</f>
        <v>0</v>
      </c>
      <c r="L31" s="121">
        <f>SUM('Water Conveyance Cash Flow'!J29)</f>
        <v>132525.44455589275</v>
      </c>
      <c r="M31" s="196">
        <f>SUM('Water Conveyance Cash Flow'!D29:H29)</f>
        <v>148628.20599000002</v>
      </c>
      <c r="N31" s="195">
        <f>'Sludge Disposal Cash Flow'!C29</f>
        <v>0</v>
      </c>
      <c r="O31" s="196">
        <f>'Sludge Disposal Cash Flow'!H29-'Sludge Disposal Cash Flow'!C29</f>
        <v>95663.890963447309</v>
      </c>
      <c r="P31" s="195">
        <f>'Salt Disposal Cash Flow'!C29</f>
        <v>0</v>
      </c>
      <c r="Q31" s="197">
        <f>'Salt Disposal Cash Flow'!H29-'Salt Disposal Cash Flow'!C29</f>
        <v>146290.56775657155</v>
      </c>
      <c r="R31" s="209"/>
      <c r="S31" s="211">
        <f t="shared" si="2"/>
        <v>0</v>
      </c>
      <c r="T31" s="212">
        <f t="shared" si="3"/>
        <v>0</v>
      </c>
      <c r="U31" s="202">
        <f t="shared" si="4"/>
        <v>1010128.1447557124</v>
      </c>
      <c r="V31" s="196">
        <f t="shared" si="8"/>
        <v>176772.42533224967</v>
      </c>
      <c r="W31" s="195">
        <f t="shared" si="5"/>
        <v>1080480.9604294526</v>
      </c>
      <c r="X31" s="206">
        <f t="shared" si="6"/>
        <v>189084.16807515419</v>
      </c>
      <c r="Y31" s="205">
        <f t="shared" si="7"/>
        <v>2456465.6985925687</v>
      </c>
    </row>
    <row r="32" spans="1:25" ht="13" x14ac:dyDescent="0.3">
      <c r="A32" s="193">
        <v>21</v>
      </c>
      <c r="B32" s="222">
        <f>'Short Term ETS Cash Flow'!C31</f>
        <v>0</v>
      </c>
      <c r="C32" s="189">
        <f>'Short Term ETS Cash Flow'!H31</f>
        <v>0</v>
      </c>
      <c r="D32" s="192">
        <f>SUM('Short Term ETS Cash Flow'!D31:F31)</f>
        <v>0</v>
      </c>
      <c r="E32" s="191">
        <f>'Long Term ETS Cash Flow'!C30</f>
        <v>0</v>
      </c>
      <c r="F32" s="189">
        <f>SUM('Long Term ETS Cash Flow'!M30)</f>
        <v>20280.526227134666</v>
      </c>
      <c r="G32" s="192">
        <f>SUM('Long Term ETS Cash Flow'!D30:J30)</f>
        <v>54997.172999999995</v>
      </c>
      <c r="H32" s="195">
        <f>'STS Cash Flow'!B31</f>
        <v>0</v>
      </c>
      <c r="I32" s="121">
        <f>SUM('STS Cash Flow'!F31:K31)</f>
        <v>834507.9003870911</v>
      </c>
      <c r="J32" s="121">
        <f>SUM('STS Cash Flow'!C31:E31)</f>
        <v>634901.12271943374</v>
      </c>
      <c r="K32" s="195">
        <f>'Water Conveyance Cash Flow'!C30</f>
        <v>0</v>
      </c>
      <c r="L32" s="121">
        <f>SUM('Water Conveyance Cash Flow'!J30)</f>
        <v>132525.44455589275</v>
      </c>
      <c r="M32" s="196">
        <f>SUM('Water Conveyance Cash Flow'!D30:H30)</f>
        <v>148628.20599000002</v>
      </c>
      <c r="N32" s="195">
        <f>'Sludge Disposal Cash Flow'!C30</f>
        <v>0</v>
      </c>
      <c r="O32" s="196">
        <f>'Sludge Disposal Cash Flow'!H30-'Sludge Disposal Cash Flow'!C30</f>
        <v>92856.416014228002</v>
      </c>
      <c r="P32" s="195">
        <f>'Salt Disposal Cash Flow'!C30</f>
        <v>0</v>
      </c>
      <c r="Q32" s="197">
        <f>'Salt Disposal Cash Flow'!H30-'Salt Disposal Cash Flow'!C30</f>
        <v>136919.73443279022</v>
      </c>
      <c r="R32" s="209"/>
      <c r="S32" s="211">
        <f t="shared" si="2"/>
        <v>0</v>
      </c>
      <c r="T32" s="212">
        <f t="shared" si="3"/>
        <v>0</v>
      </c>
      <c r="U32" s="202">
        <f t="shared" si="4"/>
        <v>987313.87117011845</v>
      </c>
      <c r="V32" s="196">
        <f t="shared" si="8"/>
        <v>172779.92745477072</v>
      </c>
      <c r="W32" s="195">
        <f t="shared" si="5"/>
        <v>1068302.6521564519</v>
      </c>
      <c r="X32" s="206">
        <f t="shared" si="6"/>
        <v>186952.96412737909</v>
      </c>
      <c r="Y32" s="205">
        <f t="shared" si="7"/>
        <v>2415349.4149087202</v>
      </c>
    </row>
    <row r="33" spans="1:25" ht="13" x14ac:dyDescent="0.3">
      <c r="A33" s="193">
        <v>22</v>
      </c>
      <c r="B33" s="222">
        <f>'Short Term ETS Cash Flow'!C32</f>
        <v>0</v>
      </c>
      <c r="C33" s="189">
        <f>'Short Term ETS Cash Flow'!H32</f>
        <v>0</v>
      </c>
      <c r="D33" s="192">
        <f>SUM('Short Term ETS Cash Flow'!D32:F32)</f>
        <v>0</v>
      </c>
      <c r="E33" s="191">
        <f>'Long Term ETS Cash Flow'!C31</f>
        <v>0</v>
      </c>
      <c r="F33" s="189">
        <f>SUM('Long Term ETS Cash Flow'!M31)</f>
        <v>18908.195751352119</v>
      </c>
      <c r="G33" s="192">
        <f>SUM('Long Term ETS Cash Flow'!D31:J31)</f>
        <v>54997.172999999995</v>
      </c>
      <c r="H33" s="195">
        <f>'STS Cash Flow'!B32</f>
        <v>0</v>
      </c>
      <c r="I33" s="121">
        <f>SUM('STS Cash Flow'!F32:K32)</f>
        <v>813715.45199326833</v>
      </c>
      <c r="J33" s="121">
        <f>SUM('STS Cash Flow'!C32:E32)</f>
        <v>634901.12271943374</v>
      </c>
      <c r="K33" s="195">
        <f>'Water Conveyance Cash Flow'!C31</f>
        <v>0</v>
      </c>
      <c r="L33" s="121">
        <f>SUM('Water Conveyance Cash Flow'!J31)</f>
        <v>132525.44455589275</v>
      </c>
      <c r="M33" s="196">
        <f>SUM('Water Conveyance Cash Flow'!D31:H31)</f>
        <v>148628.20599000002</v>
      </c>
      <c r="N33" s="195">
        <f>'Sludge Disposal Cash Flow'!C31</f>
        <v>0</v>
      </c>
      <c r="O33" s="196">
        <f>'Sludge Disposal Cash Flow'!H31-'Sludge Disposal Cash Flow'!C31</f>
        <v>90167.724669053641</v>
      </c>
      <c r="P33" s="195">
        <f>'Salt Disposal Cash Flow'!C31</f>
        <v>0</v>
      </c>
      <c r="Q33" s="197">
        <f>'Salt Disposal Cash Flow'!H31-'Salt Disposal Cash Flow'!C31</f>
        <v>127548.90784855405</v>
      </c>
      <c r="R33" s="209"/>
      <c r="S33" s="211">
        <f t="shared" si="2"/>
        <v>0</v>
      </c>
      <c r="T33" s="212">
        <f t="shared" si="3"/>
        <v>0</v>
      </c>
      <c r="U33" s="202">
        <f t="shared" si="4"/>
        <v>965149.09230051318</v>
      </c>
      <c r="V33" s="196">
        <f t="shared" si="8"/>
        <v>168901.0911525898</v>
      </c>
      <c r="W33" s="195">
        <f t="shared" si="5"/>
        <v>1056243.1342270414</v>
      </c>
      <c r="X33" s="206">
        <f t="shared" si="6"/>
        <v>184842.54848973223</v>
      </c>
      <c r="Y33" s="205">
        <f t="shared" si="7"/>
        <v>2375135.8661698769</v>
      </c>
    </row>
    <row r="34" spans="1:25" ht="13" x14ac:dyDescent="0.3">
      <c r="A34" s="193">
        <v>23</v>
      </c>
      <c r="B34" s="222">
        <f>'Short Term ETS Cash Flow'!C33</f>
        <v>0</v>
      </c>
      <c r="C34" s="189">
        <f>'Short Term ETS Cash Flow'!H33</f>
        <v>0</v>
      </c>
      <c r="D34" s="192">
        <f>SUM('Short Term ETS Cash Flow'!D33:F33)</f>
        <v>0</v>
      </c>
      <c r="E34" s="191">
        <f>'Long Term ETS Cash Flow'!C32</f>
        <v>0</v>
      </c>
      <c r="F34" s="189">
        <f>SUM('Long Term ETS Cash Flow'!M32)</f>
        <v>17440.900030713783</v>
      </c>
      <c r="G34" s="192">
        <f>SUM('Long Term ETS Cash Flow'!D32:J32)</f>
        <v>54997.172999999995</v>
      </c>
      <c r="H34" s="195">
        <f>'STS Cash Flow'!B33</f>
        <v>0</v>
      </c>
      <c r="I34" s="121">
        <f>SUM('STS Cash Flow'!F33:K33)</f>
        <v>797797.94540115399</v>
      </c>
      <c r="J34" s="121">
        <f>SUM('STS Cash Flow'!C33:E33)</f>
        <v>634901.12271943374</v>
      </c>
      <c r="K34" s="195">
        <f>'Water Conveyance Cash Flow'!C32</f>
        <v>0</v>
      </c>
      <c r="L34" s="121">
        <f>SUM('Water Conveyance Cash Flow'!J32)</f>
        <v>132525.44455589275</v>
      </c>
      <c r="M34" s="196">
        <f>SUM('Water Conveyance Cash Flow'!D32:H32)</f>
        <v>148628.20599000002</v>
      </c>
      <c r="N34" s="195">
        <f>'Sludge Disposal Cash Flow'!C32</f>
        <v>0</v>
      </c>
      <c r="O34" s="196">
        <f>'Sludge Disposal Cash Flow'!H32-'Sludge Disposal Cash Flow'!C32</f>
        <v>88216.2565894125</v>
      </c>
      <c r="P34" s="195">
        <f>'Salt Disposal Cash Flow'!C32</f>
        <v>0</v>
      </c>
      <c r="Q34" s="197">
        <f>'Salt Disposal Cash Flow'!H32-'Salt Disposal Cash Flow'!C32</f>
        <v>118178.0816633745</v>
      </c>
      <c r="R34" s="209"/>
      <c r="S34" s="211">
        <f t="shared" si="2"/>
        <v>0</v>
      </c>
      <c r="T34" s="212">
        <f t="shared" si="3"/>
        <v>0</v>
      </c>
      <c r="U34" s="202">
        <f t="shared" si="4"/>
        <v>947764.28998776048</v>
      </c>
      <c r="V34" s="196">
        <f t="shared" si="8"/>
        <v>165858.75074785808</v>
      </c>
      <c r="W34" s="195">
        <f t="shared" si="5"/>
        <v>1044920.8399622208</v>
      </c>
      <c r="X34" s="206">
        <f t="shared" si="6"/>
        <v>182861.14699338863</v>
      </c>
      <c r="Y34" s="205">
        <f t="shared" si="7"/>
        <v>2341405.0276912278</v>
      </c>
    </row>
    <row r="35" spans="1:25" ht="13" x14ac:dyDescent="0.3">
      <c r="A35" s="193">
        <v>24</v>
      </c>
      <c r="B35" s="222">
        <f>'Short Term ETS Cash Flow'!C34</f>
        <v>0</v>
      </c>
      <c r="C35" s="189">
        <f>'Short Term ETS Cash Flow'!H34</f>
        <v>0</v>
      </c>
      <c r="D35" s="192">
        <f>SUM('Short Term ETS Cash Flow'!D34:F34)</f>
        <v>0</v>
      </c>
      <c r="E35" s="191">
        <f>'Long Term ETS Cash Flow'!C33</f>
        <v>0</v>
      </c>
      <c r="F35" s="189">
        <f>SUM('Long Term ETS Cash Flow'!M33)</f>
        <v>15973.604310075454</v>
      </c>
      <c r="G35" s="192">
        <f>SUM('Long Term ETS Cash Flow'!D33:J33)</f>
        <v>54997.172999999995</v>
      </c>
      <c r="H35" s="195">
        <f>'STS Cash Flow'!B34</f>
        <v>0</v>
      </c>
      <c r="I35" s="121">
        <f>SUM('STS Cash Flow'!F34:K34)</f>
        <v>781893.59869224473</v>
      </c>
      <c r="J35" s="121">
        <f>SUM('STS Cash Flow'!C34:E34)</f>
        <v>634901.12271943374</v>
      </c>
      <c r="K35" s="195">
        <f>'Water Conveyance Cash Flow'!C33</f>
        <v>0</v>
      </c>
      <c r="L35" s="121">
        <f>SUM('Water Conveyance Cash Flow'!J33)</f>
        <v>132525.44455589275</v>
      </c>
      <c r="M35" s="196">
        <f>SUM('Water Conveyance Cash Flow'!D33:H33)</f>
        <v>148628.20599000002</v>
      </c>
      <c r="N35" s="195">
        <f>'Sludge Disposal Cash Flow'!C33</f>
        <v>0</v>
      </c>
      <c r="O35" s="196">
        <f>'Sludge Disposal Cash Flow'!H33-'Sludge Disposal Cash Flow'!C33</f>
        <v>86277.068061417987</v>
      </c>
      <c r="P35" s="195">
        <f>'Salt Disposal Cash Flow'!C33</f>
        <v>0</v>
      </c>
      <c r="Q35" s="197">
        <f>'Salt Disposal Cash Flow'!H33-'Salt Disposal Cash Flow'!C33</f>
        <v>108807.24939155862</v>
      </c>
      <c r="R35" s="209"/>
      <c r="S35" s="211">
        <f t="shared" si="2"/>
        <v>0</v>
      </c>
      <c r="T35" s="212">
        <f t="shared" si="3"/>
        <v>0</v>
      </c>
      <c r="U35" s="202">
        <f t="shared" si="4"/>
        <v>930392.64755821286</v>
      </c>
      <c r="V35" s="196">
        <f t="shared" si="8"/>
        <v>162818.71332268725</v>
      </c>
      <c r="W35" s="195">
        <f t="shared" si="5"/>
        <v>1033610.8191624103</v>
      </c>
      <c r="X35" s="206">
        <f t="shared" si="6"/>
        <v>180881.89335342179</v>
      </c>
      <c r="Y35" s="205">
        <f t="shared" si="7"/>
        <v>2307704.0733967321</v>
      </c>
    </row>
    <row r="36" spans="1:25" ht="13" x14ac:dyDescent="0.3">
      <c r="A36" s="193">
        <v>25</v>
      </c>
      <c r="B36" s="222">
        <f>'Short Term ETS Cash Flow'!C35</f>
        <v>0</v>
      </c>
      <c r="C36" s="189">
        <f>'Short Term ETS Cash Flow'!H35</f>
        <v>0</v>
      </c>
      <c r="D36" s="192">
        <f>SUM('Short Term ETS Cash Flow'!D35:F35)</f>
        <v>0</v>
      </c>
      <c r="E36" s="191">
        <f>'Long Term ETS Cash Flow'!C34</f>
        <v>0</v>
      </c>
      <c r="F36" s="189">
        <f>SUM('Long Term ETS Cash Flow'!M34)</f>
        <v>14601.27383429291</v>
      </c>
      <c r="G36" s="192">
        <f>SUM('Long Term ETS Cash Flow'!D34:J34)</f>
        <v>54997.172999999995</v>
      </c>
      <c r="H36" s="195">
        <f>'STS Cash Flow'!B35</f>
        <v>0</v>
      </c>
      <c r="I36" s="121">
        <f>SUM('STS Cash Flow'!F35:K35)</f>
        <v>757752.40066488262</v>
      </c>
      <c r="J36" s="121">
        <f>SUM('STS Cash Flow'!C35:E35)</f>
        <v>634901.12271943374</v>
      </c>
      <c r="K36" s="195">
        <f>'Water Conveyance Cash Flow'!C34</f>
        <v>0</v>
      </c>
      <c r="L36" s="121">
        <f>SUM('Water Conveyance Cash Flow'!J34)</f>
        <v>132525.44455589275</v>
      </c>
      <c r="M36" s="196">
        <f>SUM('Water Conveyance Cash Flow'!D34:H34)</f>
        <v>148628.20599000002</v>
      </c>
      <c r="N36" s="195">
        <f>'Sludge Disposal Cash Flow'!C34</f>
        <v>0</v>
      </c>
      <c r="O36" s="196">
        <f>'Sludge Disposal Cash Flow'!H34-'Sludge Disposal Cash Flow'!C34</f>
        <v>83041.061144405598</v>
      </c>
      <c r="P36" s="195">
        <f>'Salt Disposal Cash Flow'!C34</f>
        <v>0</v>
      </c>
      <c r="Q36" s="197">
        <f>'Salt Disposal Cash Flow'!H34-'Salt Disposal Cash Flow'!C34</f>
        <v>99436.415680650491</v>
      </c>
      <c r="R36" s="209"/>
      <c r="S36" s="211">
        <f t="shared" si="2"/>
        <v>0</v>
      </c>
      <c r="T36" s="212">
        <f t="shared" si="3"/>
        <v>0</v>
      </c>
      <c r="U36" s="202">
        <f t="shared" si="4"/>
        <v>904879.11905506824</v>
      </c>
      <c r="V36" s="196">
        <f t="shared" si="8"/>
        <v>158353.84583463694</v>
      </c>
      <c r="W36" s="195">
        <f t="shared" si="5"/>
        <v>1021003.9785344899</v>
      </c>
      <c r="X36" s="206">
        <f t="shared" si="6"/>
        <v>178675.69624353573</v>
      </c>
      <c r="Y36" s="205">
        <f t="shared" si="7"/>
        <v>2262912.6396677308</v>
      </c>
    </row>
    <row r="37" spans="1:25" ht="13" x14ac:dyDescent="0.3">
      <c r="A37" s="193">
        <v>26</v>
      </c>
      <c r="B37" s="222">
        <f>'Short Term ETS Cash Flow'!C36</f>
        <v>0</v>
      </c>
      <c r="C37" s="189">
        <f>'Short Term ETS Cash Flow'!H36</f>
        <v>0</v>
      </c>
      <c r="D37" s="192">
        <f>SUM('Short Term ETS Cash Flow'!D36:F36)</f>
        <v>0</v>
      </c>
      <c r="E37" s="191">
        <f>'Long Term ETS Cash Flow'!C35</f>
        <v>0</v>
      </c>
      <c r="F37" s="189">
        <f>SUM('Long Term ETS Cash Flow'!M35)</f>
        <v>13133.978113654575</v>
      </c>
      <c r="G37" s="192">
        <f>SUM('Long Term ETS Cash Flow'!D35:J35)</f>
        <v>54997.172999999995</v>
      </c>
      <c r="H37" s="195">
        <f>'STS Cash Flow'!B36</f>
        <v>0</v>
      </c>
      <c r="I37" s="121">
        <f>SUM('STS Cash Flow'!F36:K36)</f>
        <v>740928.02463228884</v>
      </c>
      <c r="J37" s="121">
        <f>SUM('STS Cash Flow'!C36:E36)</f>
        <v>634901.12271943374</v>
      </c>
      <c r="K37" s="195">
        <f>'Water Conveyance Cash Flow'!C35</f>
        <v>0</v>
      </c>
      <c r="L37" s="121">
        <f>SUM('Water Conveyance Cash Flow'!J35)</f>
        <v>132525.44455589275</v>
      </c>
      <c r="M37" s="196">
        <f>SUM('Water Conveyance Cash Flow'!D35:H35)</f>
        <v>148628.20599000002</v>
      </c>
      <c r="N37" s="195">
        <f>'Sludge Disposal Cash Flow'!C35</f>
        <v>0</v>
      </c>
      <c r="O37" s="196">
        <f>'Sludge Disposal Cash Flow'!H35-'Sludge Disposal Cash Flow'!C35</f>
        <v>80978.596043525889</v>
      </c>
      <c r="P37" s="195">
        <f>'Salt Disposal Cash Flow'!C35</f>
        <v>0</v>
      </c>
      <c r="Q37" s="197">
        <f>'Salt Disposal Cash Flow'!H35-'Salt Disposal Cash Flow'!C35</f>
        <v>90065.585015647492</v>
      </c>
      <c r="R37" s="209"/>
      <c r="S37" s="211">
        <f t="shared" si="2"/>
        <v>0</v>
      </c>
      <c r="T37" s="212">
        <f t="shared" si="3"/>
        <v>0</v>
      </c>
      <c r="U37" s="202">
        <f t="shared" si="4"/>
        <v>886587.4473018361</v>
      </c>
      <c r="V37" s="196">
        <f t="shared" si="8"/>
        <v>155152.80327782131</v>
      </c>
      <c r="W37" s="195">
        <f t="shared" si="5"/>
        <v>1009570.682768607</v>
      </c>
      <c r="X37" s="206">
        <f t="shared" si="6"/>
        <v>176674.86948450623</v>
      </c>
      <c r="Y37" s="205">
        <f t="shared" si="7"/>
        <v>2227985.8028327706</v>
      </c>
    </row>
    <row r="38" spans="1:25" ht="13" x14ac:dyDescent="0.3">
      <c r="A38" s="193">
        <v>27</v>
      </c>
      <c r="B38" s="222">
        <f>'Short Term ETS Cash Flow'!C37</f>
        <v>0</v>
      </c>
      <c r="C38" s="189">
        <f>'Short Term ETS Cash Flow'!H37</f>
        <v>0</v>
      </c>
      <c r="D38" s="192">
        <f>SUM('Short Term ETS Cash Flow'!D37:F37)</f>
        <v>0</v>
      </c>
      <c r="E38" s="191">
        <f>'Long Term ETS Cash Flow'!C36</f>
        <v>0</v>
      </c>
      <c r="F38" s="189">
        <f>SUM('Long Term ETS Cash Flow'!M36)</f>
        <v>11761.647637872029</v>
      </c>
      <c r="G38" s="192">
        <f>SUM('Long Term ETS Cash Flow'!D36:J36)</f>
        <v>52244.518979999993</v>
      </c>
      <c r="H38" s="195">
        <f>'STS Cash Flow'!B37</f>
        <v>0</v>
      </c>
      <c r="I38" s="121">
        <f>SUM('STS Cash Flow'!F37:K37)</f>
        <v>724352.88365875045</v>
      </c>
      <c r="J38" s="121">
        <f>SUM('STS Cash Flow'!C37:E37)</f>
        <v>634901.12271943374</v>
      </c>
      <c r="K38" s="195">
        <f>'Water Conveyance Cash Flow'!C36</f>
        <v>0</v>
      </c>
      <c r="L38" s="121">
        <f>SUM('Water Conveyance Cash Flow'!J36)</f>
        <v>132525.44455589275</v>
      </c>
      <c r="M38" s="196">
        <f>SUM('Water Conveyance Cash Flow'!D36:H36)</f>
        <v>148628.20599000002</v>
      </c>
      <c r="N38" s="195">
        <f>'Sludge Disposal Cash Flow'!C36</f>
        <v>0</v>
      </c>
      <c r="O38" s="196">
        <f>'Sludge Disposal Cash Flow'!H36-'Sludge Disposal Cash Flow'!C36</f>
        <v>78941.676446419922</v>
      </c>
      <c r="P38" s="195">
        <f>'Salt Disposal Cash Flow'!C36</f>
        <v>0</v>
      </c>
      <c r="Q38" s="197">
        <f>'Salt Disposal Cash Flow'!H36-'Salt Disposal Cash Flow'!C36</f>
        <v>80694.754862856469</v>
      </c>
      <c r="R38" s="209"/>
      <c r="S38" s="211">
        <f t="shared" si="2"/>
        <v>0</v>
      </c>
      <c r="T38" s="212">
        <f t="shared" si="3"/>
        <v>0</v>
      </c>
      <c r="U38" s="202">
        <f t="shared" si="4"/>
        <v>868639.9758525152</v>
      </c>
      <c r="V38" s="196">
        <f t="shared" si="8"/>
        <v>152011.99577419015</v>
      </c>
      <c r="W38" s="195">
        <f t="shared" si="5"/>
        <v>995410.27899871022</v>
      </c>
      <c r="X38" s="206">
        <f t="shared" si="6"/>
        <v>174196.79882477428</v>
      </c>
      <c r="Y38" s="205">
        <f t="shared" si="7"/>
        <v>2190259.0494501898</v>
      </c>
    </row>
    <row r="39" spans="1:25" ht="13" x14ac:dyDescent="0.3">
      <c r="A39" s="193">
        <v>28</v>
      </c>
      <c r="B39" s="222">
        <f>'Short Term ETS Cash Flow'!C38</f>
        <v>0</v>
      </c>
      <c r="C39" s="189">
        <f>'Short Term ETS Cash Flow'!H38</f>
        <v>0</v>
      </c>
      <c r="D39" s="192">
        <f>SUM('Short Term ETS Cash Flow'!D38:F38)</f>
        <v>0</v>
      </c>
      <c r="E39" s="191">
        <f>'Long Term ETS Cash Flow'!C37</f>
        <v>0</v>
      </c>
      <c r="F39" s="189">
        <f>SUM('Long Term ETS Cash Flow'!M37)</f>
        <v>10294.351917233696</v>
      </c>
      <c r="G39" s="192">
        <f>SUM('Long Term ETS Cash Flow'!D37:J37)</f>
        <v>52244.518979999993</v>
      </c>
      <c r="H39" s="195">
        <f>'STS Cash Flow'!B38</f>
        <v>0</v>
      </c>
      <c r="I39" s="121">
        <f>SUM('STS Cash Flow'!F38:K38)</f>
        <v>708023.86743541807</v>
      </c>
      <c r="J39" s="121">
        <f>SUM('STS Cash Flow'!C38:E38)</f>
        <v>634901.12271943374</v>
      </c>
      <c r="K39" s="195">
        <f>'Water Conveyance Cash Flow'!C37</f>
        <v>0</v>
      </c>
      <c r="L39" s="121">
        <f>SUM('Water Conveyance Cash Flow'!J37)</f>
        <v>132525.44455589275</v>
      </c>
      <c r="M39" s="196">
        <f>SUM('Water Conveyance Cash Flow'!D37:H37)</f>
        <v>148628.20599000002</v>
      </c>
      <c r="N39" s="195">
        <f>'Sludge Disposal Cash Flow'!C37</f>
        <v>0</v>
      </c>
      <c r="O39" s="196">
        <f>'Sludge Disposal Cash Flow'!H37-'Sludge Disposal Cash Flow'!C37</f>
        <v>76930.261433420936</v>
      </c>
      <c r="P39" s="195">
        <f>'Salt Disposal Cash Flow'!C37</f>
        <v>0</v>
      </c>
      <c r="Q39" s="197">
        <f>'Salt Disposal Cash Flow'!H37-'Salt Disposal Cash Flow'!C37</f>
        <v>71323.926799774461</v>
      </c>
      <c r="R39" s="209"/>
      <c r="S39" s="211">
        <f t="shared" si="2"/>
        <v>0</v>
      </c>
      <c r="T39" s="212">
        <f t="shared" si="3"/>
        <v>0</v>
      </c>
      <c r="U39" s="202">
        <f t="shared" si="4"/>
        <v>850843.66390854446</v>
      </c>
      <c r="V39" s="196">
        <f t="shared" si="8"/>
        <v>148897.64118399526</v>
      </c>
      <c r="W39" s="195">
        <f t="shared" si="5"/>
        <v>984028.03592262929</v>
      </c>
      <c r="X39" s="206">
        <f t="shared" si="6"/>
        <v>172204.90628646011</v>
      </c>
      <c r="Y39" s="205">
        <f t="shared" si="7"/>
        <v>2155974.2473016288</v>
      </c>
    </row>
    <row r="40" spans="1:25" ht="13" x14ac:dyDescent="0.3">
      <c r="A40" s="193">
        <v>29</v>
      </c>
      <c r="B40" s="222">
        <f>'Short Term ETS Cash Flow'!C39</f>
        <v>0</v>
      </c>
      <c r="C40" s="189">
        <f>'Short Term ETS Cash Flow'!H39</f>
        <v>0</v>
      </c>
      <c r="D40" s="192">
        <f>SUM('Short Term ETS Cash Flow'!D39:F39)</f>
        <v>0</v>
      </c>
      <c r="E40" s="191">
        <f>'Long Term ETS Cash Flow'!C38</f>
        <v>0</v>
      </c>
      <c r="F40" s="189">
        <f>SUM('Long Term ETS Cash Flow'!M38)</f>
        <v>8922.0214414511502</v>
      </c>
      <c r="G40" s="192">
        <f>SUM('Long Term ETS Cash Flow'!D38:J38)</f>
        <v>52244.518979999993</v>
      </c>
      <c r="H40" s="195">
        <f>'STS Cash Flow'!B39</f>
        <v>0</v>
      </c>
      <c r="I40" s="121">
        <f>SUM('STS Cash Flow'!F39:K39)</f>
        <v>691942.1091585391</v>
      </c>
      <c r="J40" s="121">
        <f>SUM('STS Cash Flow'!C39:E39)</f>
        <v>634901.12271943374</v>
      </c>
      <c r="K40" s="195">
        <f>'Water Conveyance Cash Flow'!C38</f>
        <v>0</v>
      </c>
      <c r="L40" s="121">
        <f>SUM('Water Conveyance Cash Flow'!J38)</f>
        <v>132525.44455589275</v>
      </c>
      <c r="M40" s="196">
        <f>SUM('Water Conveyance Cash Flow'!D38:H38)</f>
        <v>148628.20599000002</v>
      </c>
      <c r="N40" s="195">
        <f>'Sludge Disposal Cash Flow'!C38</f>
        <v>0</v>
      </c>
      <c r="O40" s="196">
        <f>'Sludge Disposal Cash Flow'!H38-'Sludge Disposal Cash Flow'!C38</f>
        <v>74944.390197176675</v>
      </c>
      <c r="P40" s="195">
        <f>'Salt Disposal Cash Flow'!C38</f>
        <v>0</v>
      </c>
      <c r="Q40" s="197">
        <f>'Salt Disposal Cash Flow'!H38-'Salt Disposal Cash Flow'!C38</f>
        <v>61953.096080773837</v>
      </c>
      <c r="R40" s="209"/>
      <c r="S40" s="211">
        <f t="shared" si="2"/>
        <v>0</v>
      </c>
      <c r="T40" s="212">
        <f t="shared" si="3"/>
        <v>0</v>
      </c>
      <c r="U40" s="202">
        <f t="shared" si="4"/>
        <v>833389.57515588298</v>
      </c>
      <c r="V40" s="196">
        <f t="shared" si="8"/>
        <v>145843.17565227952</v>
      </c>
      <c r="W40" s="195">
        <f t="shared" si="5"/>
        <v>972671.33396738442</v>
      </c>
      <c r="X40" s="206">
        <f t="shared" si="6"/>
        <v>170217.48344429227</v>
      </c>
      <c r="Y40" s="205">
        <f t="shared" si="7"/>
        <v>2122121.5682198391</v>
      </c>
    </row>
    <row r="41" spans="1:25" ht="13" x14ac:dyDescent="0.3">
      <c r="A41" s="193">
        <v>30</v>
      </c>
      <c r="B41" s="222">
        <f>'Short Term ETS Cash Flow'!C40</f>
        <v>0</v>
      </c>
      <c r="C41" s="189">
        <f>'Short Term ETS Cash Flow'!H40</f>
        <v>0</v>
      </c>
      <c r="D41" s="192">
        <f>SUM('Short Term ETS Cash Flow'!D40:F40)</f>
        <v>0</v>
      </c>
      <c r="E41" s="191">
        <f>'Long Term ETS Cash Flow'!C39</f>
        <v>0</v>
      </c>
      <c r="F41" s="189">
        <f>SUM('Long Term ETS Cash Flow'!M39)</f>
        <v>7454.7257208128194</v>
      </c>
      <c r="G41" s="192">
        <f>SUM('Long Term ETS Cash Flow'!D39:J39)</f>
        <v>52244.518979999993</v>
      </c>
      <c r="H41" s="195">
        <f>'STS Cash Flow'!B40</f>
        <v>0</v>
      </c>
      <c r="I41" s="121">
        <f>SUM('STS Cash Flow'!F40:K40)</f>
        <v>676105.93093168619</v>
      </c>
      <c r="J41" s="121">
        <f>SUM('STS Cash Flow'!C40:E40)</f>
        <v>634901.12271943374</v>
      </c>
      <c r="K41" s="195">
        <f>'Water Conveyance Cash Flow'!C39</f>
        <v>0</v>
      </c>
      <c r="L41" s="121">
        <f>SUM('Water Conveyance Cash Flow'!J39)</f>
        <v>132525.44455589275</v>
      </c>
      <c r="M41" s="196">
        <f>SUM('Water Conveyance Cash Flow'!D39:H39)</f>
        <v>148628.20599000002</v>
      </c>
      <c r="N41" s="195">
        <f>'Sludge Disposal Cash Flow'!C39</f>
        <v>0</v>
      </c>
      <c r="O41" s="196">
        <f>'Sludge Disposal Cash Flow'!H39-'Sludge Disposal Cash Flow'!C39</f>
        <v>72984.049756227032</v>
      </c>
      <c r="P41" s="195">
        <f>'Salt Disposal Cash Flow'!C39</f>
        <v>0</v>
      </c>
      <c r="Q41" s="197">
        <f>'Salt Disposal Cash Flow'!H39-'Salt Disposal Cash Flow'!C39</f>
        <v>52582.265530720113</v>
      </c>
      <c r="R41" s="209"/>
      <c r="S41" s="211">
        <f t="shared" si="2"/>
        <v>0</v>
      </c>
      <c r="T41" s="212">
        <f t="shared" si="3"/>
        <v>0</v>
      </c>
      <c r="U41" s="202">
        <f t="shared" si="4"/>
        <v>816086.10120839172</v>
      </c>
      <c r="V41" s="196">
        <f t="shared" si="8"/>
        <v>142815.06771146855</v>
      </c>
      <c r="W41" s="195">
        <f t="shared" si="5"/>
        <v>961340.16297638102</v>
      </c>
      <c r="X41" s="206">
        <f t="shared" si="6"/>
        <v>168234.52852086668</v>
      </c>
      <c r="Y41" s="205">
        <f t="shared" si="7"/>
        <v>2088475.8604171081</v>
      </c>
    </row>
    <row r="42" spans="1:25" ht="13" x14ac:dyDescent="0.3">
      <c r="A42" s="193">
        <v>31</v>
      </c>
      <c r="B42" s="222">
        <f>'Short Term ETS Cash Flow'!C41</f>
        <v>0</v>
      </c>
      <c r="C42" s="189">
        <f>'Short Term ETS Cash Flow'!H41</f>
        <v>0</v>
      </c>
      <c r="D42" s="192">
        <f>SUM('Short Term ETS Cash Flow'!D41:F41)</f>
        <v>0</v>
      </c>
      <c r="E42" s="191">
        <f>'Long Term ETS Cash Flow'!C40</f>
        <v>0</v>
      </c>
      <c r="F42" s="189">
        <f>SUM('Long Term ETS Cash Flow'!M40)</f>
        <v>6082.3952450302722</v>
      </c>
      <c r="G42" s="192">
        <f>SUM('Long Term ETS Cash Flow'!D40:J40)</f>
        <v>52244.518979999993</v>
      </c>
      <c r="H42" s="195">
        <f>'STS Cash Flow'!B41</f>
        <v>0</v>
      </c>
      <c r="I42" s="121">
        <f>SUM('STS Cash Flow'!F41:K41)</f>
        <v>660514.38410416828</v>
      </c>
      <c r="J42" s="121">
        <f>SUM('STS Cash Flow'!C41:E41)</f>
        <v>634901.12271943374</v>
      </c>
      <c r="K42" s="195">
        <f>'Water Conveyance Cash Flow'!C40</f>
        <v>0</v>
      </c>
      <c r="L42" s="121">
        <f>SUM('Water Conveyance Cash Flow'!J40)</f>
        <v>132525.44455589275</v>
      </c>
      <c r="M42" s="196">
        <f>SUM('Water Conveyance Cash Flow'!D40:H40)</f>
        <v>148628.20599000002</v>
      </c>
      <c r="N42" s="195">
        <f>'Sludge Disposal Cash Flow'!C40</f>
        <v>0</v>
      </c>
      <c r="O42" s="196">
        <f>'Sludge Disposal Cash Flow'!H40-'Sludge Disposal Cash Flow'!C40</f>
        <v>71049.242030618814</v>
      </c>
      <c r="P42" s="195">
        <f>'Salt Disposal Cash Flow'!C40</f>
        <v>0</v>
      </c>
      <c r="Q42" s="197">
        <f>'Salt Disposal Cash Flow'!H40-'Salt Disposal Cash Flow'!C40</f>
        <v>43211.435548271525</v>
      </c>
      <c r="R42" s="209"/>
      <c r="S42" s="211">
        <f t="shared" si="2"/>
        <v>0</v>
      </c>
      <c r="T42" s="212">
        <f t="shared" si="3"/>
        <v>0</v>
      </c>
      <c r="U42" s="202">
        <f t="shared" si="4"/>
        <v>799122.22390509129</v>
      </c>
      <c r="V42" s="196">
        <f t="shared" si="8"/>
        <v>139846.38918339097</v>
      </c>
      <c r="W42" s="195">
        <f t="shared" si="5"/>
        <v>950034.52526832419</v>
      </c>
      <c r="X42" s="206">
        <f t="shared" si="6"/>
        <v>166256.04192195673</v>
      </c>
      <c r="Y42" s="205">
        <f t="shared" si="7"/>
        <v>2055259.1802787632</v>
      </c>
    </row>
    <row r="43" spans="1:25" ht="13" x14ac:dyDescent="0.3">
      <c r="A43" s="193">
        <v>32</v>
      </c>
      <c r="B43" s="222">
        <f>'Short Term ETS Cash Flow'!C42</f>
        <v>0</v>
      </c>
      <c r="C43" s="189">
        <f>'Short Term ETS Cash Flow'!H42</f>
        <v>0</v>
      </c>
      <c r="D43" s="192">
        <f>SUM('Short Term ETS Cash Flow'!D42:F42)</f>
        <v>0</v>
      </c>
      <c r="E43" s="191">
        <f>'Long Term ETS Cash Flow'!C41</f>
        <v>0</v>
      </c>
      <c r="F43" s="189">
        <f>SUM('Long Term ETS Cash Flow'!M41)</f>
        <v>4615.0995243919397</v>
      </c>
      <c r="G43" s="192">
        <f>SUM('Long Term ETS Cash Flow'!D41:J41)</f>
        <v>52244.518979999993</v>
      </c>
      <c r="H43" s="195">
        <f>'STS Cash Flow'!B42</f>
        <v>0</v>
      </c>
      <c r="I43" s="121">
        <f>SUM('STS Cash Flow'!F42:K42)</f>
        <v>645167.02918414655</v>
      </c>
      <c r="J43" s="121">
        <f>SUM('STS Cash Flow'!C42:E42)</f>
        <v>634901.12271943374</v>
      </c>
      <c r="K43" s="195">
        <f>'Water Conveyance Cash Flow'!C41</f>
        <v>0</v>
      </c>
      <c r="L43" s="121">
        <f>SUM('Water Conveyance Cash Flow'!J41)</f>
        <v>132525.44455589275</v>
      </c>
      <c r="M43" s="196">
        <f>SUM('Water Conveyance Cash Flow'!D41:H41)</f>
        <v>148628.20599000002</v>
      </c>
      <c r="N43" s="195">
        <f>'Sludge Disposal Cash Flow'!C41</f>
        <v>0</v>
      </c>
      <c r="O43" s="196">
        <f>'Sludge Disposal Cash Flow'!H41-'Sludge Disposal Cash Flow'!C41</f>
        <v>69139.975945767233</v>
      </c>
      <c r="P43" s="195">
        <f>'Salt Disposal Cash Flow'!C41</f>
        <v>0</v>
      </c>
      <c r="Q43" s="197">
        <f>'Salt Disposal Cash Flow'!H41-'Salt Disposal Cash Flow'!C41</f>
        <v>33840.60354275829</v>
      </c>
      <c r="R43" s="209"/>
      <c r="S43" s="211">
        <f t="shared" si="2"/>
        <v>0</v>
      </c>
      <c r="T43" s="212">
        <f t="shared" si="3"/>
        <v>0</v>
      </c>
      <c r="U43" s="202">
        <f t="shared" si="4"/>
        <v>782307.57326443121</v>
      </c>
      <c r="V43" s="196">
        <f t="shared" si="8"/>
        <v>136903.82532127545</v>
      </c>
      <c r="W43" s="195">
        <f t="shared" si="5"/>
        <v>938754.42717795935</v>
      </c>
      <c r="X43" s="206">
        <f t="shared" si="6"/>
        <v>164282.02475614287</v>
      </c>
      <c r="Y43" s="205">
        <f t="shared" si="7"/>
        <v>2022247.8505198089</v>
      </c>
    </row>
    <row r="44" spans="1:25" ht="13" x14ac:dyDescent="0.3">
      <c r="A44" s="193">
        <v>33</v>
      </c>
      <c r="B44" s="222">
        <f>'Short Term ETS Cash Flow'!C43</f>
        <v>0</v>
      </c>
      <c r="C44" s="189">
        <f>'Short Term ETS Cash Flow'!H43</f>
        <v>0</v>
      </c>
      <c r="D44" s="192">
        <f>SUM('Short Term ETS Cash Flow'!D43:F43)</f>
        <v>0</v>
      </c>
      <c r="E44" s="191">
        <f>'Long Term ETS Cash Flow'!C42</f>
        <v>0</v>
      </c>
      <c r="F44" s="189">
        <f>SUM('Long Term ETS Cash Flow'!M42)</f>
        <v>3161.4007762149072</v>
      </c>
      <c r="G44" s="192">
        <f>SUM('Long Term ETS Cash Flow'!D42:J42)</f>
        <v>52244.518979999993</v>
      </c>
      <c r="H44" s="195">
        <f>'STS Cash Flow'!B43</f>
        <v>0</v>
      </c>
      <c r="I44" s="121">
        <f>SUM('STS Cash Flow'!F43:K43)</f>
        <v>631635.12250349566</v>
      </c>
      <c r="J44" s="121">
        <f>SUM('STS Cash Flow'!C43:E43)</f>
        <v>634901.12271943374</v>
      </c>
      <c r="K44" s="195">
        <f>'Water Conveyance Cash Flow'!C42</f>
        <v>0</v>
      </c>
      <c r="L44" s="121">
        <f>SUM('Water Conveyance Cash Flow'!J42)</f>
        <v>107032.76336111664</v>
      </c>
      <c r="M44" s="196">
        <f>SUM('Water Conveyance Cash Flow'!D42:H42)</f>
        <v>148628.20599000002</v>
      </c>
      <c r="N44" s="195">
        <f>'Sludge Disposal Cash Flow'!C42</f>
        <v>0</v>
      </c>
      <c r="O44" s="196">
        <f>'Sludge Disposal Cash Flow'!H42-'Sludge Disposal Cash Flow'!C42</f>
        <v>68449.495889966376</v>
      </c>
      <c r="P44" s="195">
        <f>'Salt Disposal Cash Flow'!C42</f>
        <v>0</v>
      </c>
      <c r="Q44" s="197">
        <f>'Salt Disposal Cash Flow'!H42-'Salt Disposal Cash Flow'!C42</f>
        <v>33840.60354275829</v>
      </c>
      <c r="R44" s="209"/>
      <c r="S44" s="211">
        <f t="shared" si="2"/>
        <v>0</v>
      </c>
      <c r="T44" s="212">
        <f t="shared" si="3"/>
        <v>0</v>
      </c>
      <c r="U44" s="202">
        <f t="shared" si="4"/>
        <v>741829.28664082719</v>
      </c>
      <c r="V44" s="196">
        <f t="shared" si="8"/>
        <v>129820.12516214474</v>
      </c>
      <c r="W44" s="195">
        <f t="shared" si="5"/>
        <v>938063.94712215848</v>
      </c>
      <c r="X44" s="206">
        <f t="shared" si="6"/>
        <v>164161.19074637772</v>
      </c>
      <c r="Y44" s="205">
        <f t="shared" si="7"/>
        <v>1973874.5496715081</v>
      </c>
    </row>
    <row r="45" spans="1:25" ht="13" x14ac:dyDescent="0.3">
      <c r="A45" s="193">
        <v>34</v>
      </c>
      <c r="B45" s="222">
        <f>'Short Term ETS Cash Flow'!C44</f>
        <v>0</v>
      </c>
      <c r="C45" s="189">
        <f>'Short Term ETS Cash Flow'!H44</f>
        <v>0</v>
      </c>
      <c r="D45" s="192">
        <f>SUM('Short Term ETS Cash Flow'!D44:F44)</f>
        <v>0</v>
      </c>
      <c r="E45" s="191">
        <f>'Long Term ETS Cash Flow'!C43</f>
        <v>0</v>
      </c>
      <c r="F45" s="189">
        <f>SUM('Long Term ETS Cash Flow'!M43)</f>
        <v>3161.4007762149072</v>
      </c>
      <c r="G45" s="192">
        <f>SUM('Long Term ETS Cash Flow'!D43:J43)</f>
        <v>52244.518979999993</v>
      </c>
      <c r="H45" s="195">
        <f>'STS Cash Flow'!B44</f>
        <v>0</v>
      </c>
      <c r="I45" s="121">
        <f>SUM('STS Cash Flow'!F44:K44)</f>
        <v>626795.9295648149</v>
      </c>
      <c r="J45" s="121">
        <f>SUM('STS Cash Flow'!C44:E44)</f>
        <v>634901.12271943374</v>
      </c>
      <c r="K45" s="195">
        <f>'Water Conveyance Cash Flow'!C43</f>
        <v>0</v>
      </c>
      <c r="L45" s="121">
        <f>SUM('Water Conveyance Cash Flow'!J43)</f>
        <v>107032.76336111664</v>
      </c>
      <c r="M45" s="196">
        <f>SUM('Water Conveyance Cash Flow'!D43:H43)</f>
        <v>148628.20599000002</v>
      </c>
      <c r="N45" s="195">
        <f>'Sludge Disposal Cash Flow'!C43</f>
        <v>0</v>
      </c>
      <c r="O45" s="196">
        <f>'Sludge Disposal Cash Flow'!H43-'Sludge Disposal Cash Flow'!C43</f>
        <v>67777.725463437775</v>
      </c>
      <c r="P45" s="195">
        <f>'Salt Disposal Cash Flow'!C43</f>
        <v>0</v>
      </c>
      <c r="Q45" s="197">
        <f>'Salt Disposal Cash Flow'!H43-'Salt Disposal Cash Flow'!C43</f>
        <v>33840.60354275829</v>
      </c>
      <c r="R45" s="209"/>
      <c r="S45" s="211">
        <f t="shared" si="2"/>
        <v>0</v>
      </c>
      <c r="T45" s="212">
        <f t="shared" si="3"/>
        <v>0</v>
      </c>
      <c r="U45" s="202">
        <f t="shared" si="4"/>
        <v>736990.09370214643</v>
      </c>
      <c r="V45" s="196">
        <f t="shared" si="8"/>
        <v>128973.26639787562</v>
      </c>
      <c r="W45" s="195">
        <f t="shared" si="5"/>
        <v>937392.17669562984</v>
      </c>
      <c r="X45" s="206">
        <f t="shared" si="6"/>
        <v>164043.63092173522</v>
      </c>
      <c r="Y45" s="205">
        <f t="shared" si="7"/>
        <v>1967399.1677173872</v>
      </c>
    </row>
    <row r="46" spans="1:25" ht="13" x14ac:dyDescent="0.3">
      <c r="A46" s="193">
        <v>35</v>
      </c>
      <c r="B46" s="222">
        <f>'Short Term ETS Cash Flow'!C45</f>
        <v>0</v>
      </c>
      <c r="C46" s="189">
        <f>'Short Term ETS Cash Flow'!H45</f>
        <v>0</v>
      </c>
      <c r="D46" s="192">
        <f>SUM('Short Term ETS Cash Flow'!D45:F45)</f>
        <v>0</v>
      </c>
      <c r="E46" s="191">
        <f>'Long Term ETS Cash Flow'!C44</f>
        <v>0</v>
      </c>
      <c r="F46" s="189">
        <f>SUM('Long Term ETS Cash Flow'!M44)</f>
        <v>3161.4007762149072</v>
      </c>
      <c r="G46" s="192">
        <f>SUM('Long Term ETS Cash Flow'!D44:J44)</f>
        <v>52244.518979999993</v>
      </c>
      <c r="H46" s="195">
        <f>'STS Cash Flow'!B45</f>
        <v>0</v>
      </c>
      <c r="I46" s="121">
        <f>SUM('STS Cash Flow'!F45:K45)</f>
        <v>621815.58527615201</v>
      </c>
      <c r="J46" s="121">
        <f>SUM('STS Cash Flow'!C45:E45)</f>
        <v>634901.12271943374</v>
      </c>
      <c r="K46" s="195">
        <f>'Water Conveyance Cash Flow'!C44</f>
        <v>0</v>
      </c>
      <c r="L46" s="121">
        <f>SUM('Water Conveyance Cash Flow'!J44)</f>
        <v>107032.76336111664</v>
      </c>
      <c r="M46" s="196">
        <f>SUM('Water Conveyance Cash Flow'!D44:H44)</f>
        <v>148628.20599000002</v>
      </c>
      <c r="N46" s="195">
        <f>'Sludge Disposal Cash Flow'!C44</f>
        <v>0</v>
      </c>
      <c r="O46" s="196">
        <f>'Sludge Disposal Cash Flow'!H44-'Sludge Disposal Cash Flow'!C44</f>
        <v>67096.602526930103</v>
      </c>
      <c r="P46" s="195">
        <f>'Salt Disposal Cash Flow'!C44</f>
        <v>0</v>
      </c>
      <c r="Q46" s="197">
        <f>'Salt Disposal Cash Flow'!H44-'Salt Disposal Cash Flow'!C44</f>
        <v>33840.60354275829</v>
      </c>
      <c r="R46" s="209"/>
      <c r="S46" s="211">
        <f t="shared" si="2"/>
        <v>0</v>
      </c>
      <c r="T46" s="212">
        <f t="shared" si="3"/>
        <v>0</v>
      </c>
      <c r="U46" s="202">
        <f t="shared" si="4"/>
        <v>732009.74941348354</v>
      </c>
      <c r="V46" s="196">
        <f t="shared" si="8"/>
        <v>128101.70614735961</v>
      </c>
      <c r="W46" s="195">
        <f t="shared" si="5"/>
        <v>936711.05375912215</v>
      </c>
      <c r="X46" s="206">
        <f t="shared" si="6"/>
        <v>163924.43440784636</v>
      </c>
      <c r="Y46" s="205">
        <f t="shared" si="7"/>
        <v>1960746.9437278116</v>
      </c>
    </row>
    <row r="47" spans="1:25" ht="13" x14ac:dyDescent="0.3">
      <c r="A47" s="193">
        <v>36</v>
      </c>
      <c r="B47" s="222">
        <f>'Short Term ETS Cash Flow'!C46</f>
        <v>0</v>
      </c>
      <c r="C47" s="189">
        <f>'Short Term ETS Cash Flow'!H46</f>
        <v>0</v>
      </c>
      <c r="D47" s="192">
        <f>SUM('Short Term ETS Cash Flow'!D46:F46)</f>
        <v>0</v>
      </c>
      <c r="E47" s="191">
        <f>'Long Term ETS Cash Flow'!C45</f>
        <v>0</v>
      </c>
      <c r="F47" s="189">
        <f>SUM('Long Term ETS Cash Flow'!M45)</f>
        <v>3161.4007762149072</v>
      </c>
      <c r="G47" s="192">
        <f>SUM('Long Term ETS Cash Flow'!D45:J45)</f>
        <v>52244.518979999993</v>
      </c>
      <c r="H47" s="195">
        <f>'STS Cash Flow'!B46</f>
        <v>0</v>
      </c>
      <c r="I47" s="121">
        <f>SUM('STS Cash Flow'!F46:K46)</f>
        <v>616842.81078409823</v>
      </c>
      <c r="J47" s="121">
        <f>SUM('STS Cash Flow'!C46:E46)</f>
        <v>634901.12271943374</v>
      </c>
      <c r="K47" s="195">
        <f>'Water Conveyance Cash Flow'!C45</f>
        <v>0</v>
      </c>
      <c r="L47" s="121">
        <f>SUM('Water Conveyance Cash Flow'!J45)</f>
        <v>107032.76336111664</v>
      </c>
      <c r="M47" s="196">
        <f>SUM('Water Conveyance Cash Flow'!D45:H45)</f>
        <v>148628.20599000002</v>
      </c>
      <c r="N47" s="195">
        <f>'Sludge Disposal Cash Flow'!C45</f>
        <v>0</v>
      </c>
      <c r="O47" s="196">
        <f>'Sludge Disposal Cash Flow'!H45-'Sludge Disposal Cash Flow'!C45</f>
        <v>66415.486848976172</v>
      </c>
      <c r="P47" s="195">
        <f>'Salt Disposal Cash Flow'!C45</f>
        <v>0</v>
      </c>
      <c r="Q47" s="197">
        <f>'Salt Disposal Cash Flow'!H45-'Salt Disposal Cash Flow'!C45</f>
        <v>33840.60354275829</v>
      </c>
      <c r="R47" s="209"/>
      <c r="S47" s="211">
        <f t="shared" si="2"/>
        <v>0</v>
      </c>
      <c r="T47" s="212">
        <f t="shared" si="3"/>
        <v>0</v>
      </c>
      <c r="U47" s="202">
        <f t="shared" si="4"/>
        <v>727036.97492142976</v>
      </c>
      <c r="V47" s="196">
        <f t="shared" si="8"/>
        <v>127231.4706112502</v>
      </c>
      <c r="W47" s="195">
        <f t="shared" si="5"/>
        <v>936029.93808116822</v>
      </c>
      <c r="X47" s="206">
        <f t="shared" si="6"/>
        <v>163805.23916420442</v>
      </c>
      <c r="Y47" s="205">
        <f t="shared" si="7"/>
        <v>1954103.6227780525</v>
      </c>
    </row>
    <row r="48" spans="1:25" ht="13" x14ac:dyDescent="0.3">
      <c r="A48" s="193">
        <v>37</v>
      </c>
      <c r="B48" s="222">
        <f>'Short Term ETS Cash Flow'!C47</f>
        <v>0</v>
      </c>
      <c r="C48" s="189">
        <f>'Short Term ETS Cash Flow'!H47</f>
        <v>0</v>
      </c>
      <c r="D48" s="192">
        <f>SUM('Short Term ETS Cash Flow'!D47:F47)</f>
        <v>0</v>
      </c>
      <c r="E48" s="191">
        <f>'Long Term ETS Cash Flow'!C46</f>
        <v>0</v>
      </c>
      <c r="F48" s="189">
        <f>SUM('Long Term ETS Cash Flow'!M46)</f>
        <v>3161.4007762149072</v>
      </c>
      <c r="G48" s="192">
        <f>SUM('Long Term ETS Cash Flow'!D46:J46)</f>
        <v>52244.518979999993</v>
      </c>
      <c r="H48" s="195">
        <f>'STS Cash Flow'!B47</f>
        <v>0</v>
      </c>
      <c r="I48" s="121">
        <f>SUM('STS Cash Flow'!F47:K47)</f>
        <v>611876.53667111322</v>
      </c>
      <c r="J48" s="121">
        <f>SUM('STS Cash Flow'!C47:E47)</f>
        <v>634901.12271943374</v>
      </c>
      <c r="K48" s="195">
        <f>'Water Conveyance Cash Flow'!C46</f>
        <v>0</v>
      </c>
      <c r="L48" s="121">
        <f>SUM('Water Conveyance Cash Flow'!J46)</f>
        <v>107032.76336111664</v>
      </c>
      <c r="M48" s="196">
        <f>SUM('Water Conveyance Cash Flow'!D46:H46)</f>
        <v>148628.20599000002</v>
      </c>
      <c r="N48" s="195">
        <f>'Sludge Disposal Cash Flow'!C46</f>
        <v>0</v>
      </c>
      <c r="O48" s="196">
        <f>'Sludge Disposal Cash Flow'!H46-'Sludge Disposal Cash Flow'!C46</f>
        <v>65734.35902412892</v>
      </c>
      <c r="P48" s="195">
        <f>'Salt Disposal Cash Flow'!C46</f>
        <v>0</v>
      </c>
      <c r="Q48" s="197">
        <f>'Salt Disposal Cash Flow'!H46-'Salt Disposal Cash Flow'!C46</f>
        <v>33840.60354275829</v>
      </c>
      <c r="R48" s="209"/>
      <c r="S48" s="211">
        <f t="shared" si="2"/>
        <v>0</v>
      </c>
      <c r="T48" s="212">
        <f t="shared" si="3"/>
        <v>0</v>
      </c>
      <c r="U48" s="202">
        <f t="shared" si="4"/>
        <v>722070.70080844476</v>
      </c>
      <c r="V48" s="196">
        <f t="shared" si="8"/>
        <v>126362.37264147782</v>
      </c>
      <c r="W48" s="195">
        <f t="shared" si="5"/>
        <v>935348.81025632098</v>
      </c>
      <c r="X48" s="206">
        <f t="shared" si="6"/>
        <v>163686.04179485617</v>
      </c>
      <c r="Y48" s="205">
        <f t="shared" si="7"/>
        <v>1947467.9255010998</v>
      </c>
    </row>
    <row r="49" spans="1:25" ht="13" x14ac:dyDescent="0.3">
      <c r="A49" s="193">
        <v>38</v>
      </c>
      <c r="B49" s="222">
        <f>'Short Term ETS Cash Flow'!C48</f>
        <v>0</v>
      </c>
      <c r="C49" s="189">
        <f>'Short Term ETS Cash Flow'!H48</f>
        <v>0</v>
      </c>
      <c r="D49" s="192">
        <f>SUM('Short Term ETS Cash Flow'!D48:F48)</f>
        <v>0</v>
      </c>
      <c r="E49" s="191">
        <f>'Long Term ETS Cash Flow'!C47</f>
        <v>0</v>
      </c>
      <c r="F49" s="189">
        <f>SUM('Long Term ETS Cash Flow'!M47)</f>
        <v>3161.4007762149072</v>
      </c>
      <c r="G49" s="192">
        <f>SUM('Long Term ETS Cash Flow'!D47:J47)</f>
        <v>52244.518979999993</v>
      </c>
      <c r="H49" s="195">
        <f>'STS Cash Flow'!B48</f>
        <v>0</v>
      </c>
      <c r="I49" s="121">
        <f>SUM('STS Cash Flow'!F48:K48)</f>
        <v>606916.79212495743</v>
      </c>
      <c r="J49" s="121">
        <f>SUM('STS Cash Flow'!C48:E48)</f>
        <v>634901.12271943374</v>
      </c>
      <c r="K49" s="195">
        <f>'Water Conveyance Cash Flow'!C47</f>
        <v>0</v>
      </c>
      <c r="L49" s="121">
        <f>SUM('Water Conveyance Cash Flow'!J47)</f>
        <v>107032.76336111664</v>
      </c>
      <c r="M49" s="196">
        <f>SUM('Water Conveyance Cash Flow'!D47:H47)</f>
        <v>148628.20599000002</v>
      </c>
      <c r="N49" s="195">
        <f>'Sludge Disposal Cash Flow'!C47</f>
        <v>0</v>
      </c>
      <c r="O49" s="196">
        <f>'Sludge Disposal Cash Flow'!H47-'Sludge Disposal Cash Flow'!C47</f>
        <v>65053.219531122231</v>
      </c>
      <c r="P49" s="195">
        <f>'Salt Disposal Cash Flow'!C47</f>
        <v>0</v>
      </c>
      <c r="Q49" s="197">
        <f>'Salt Disposal Cash Flow'!H47-'Salt Disposal Cash Flow'!C47</f>
        <v>33840.60354275829</v>
      </c>
      <c r="R49" s="209"/>
      <c r="S49" s="211">
        <f t="shared" si="2"/>
        <v>0</v>
      </c>
      <c r="T49" s="212">
        <f t="shared" si="3"/>
        <v>0</v>
      </c>
      <c r="U49" s="202">
        <f t="shared" si="4"/>
        <v>717110.95626228896</v>
      </c>
      <c r="V49" s="196">
        <f t="shared" si="8"/>
        <v>125494.41734590055</v>
      </c>
      <c r="W49" s="195">
        <f t="shared" si="5"/>
        <v>934667.67076331435</v>
      </c>
      <c r="X49" s="206">
        <f t="shared" si="6"/>
        <v>163566.84238357999</v>
      </c>
      <c r="Y49" s="205">
        <f t="shared" si="7"/>
        <v>1940839.8867550839</v>
      </c>
    </row>
    <row r="50" spans="1:25" ht="13" x14ac:dyDescent="0.3">
      <c r="A50" s="193">
        <v>39</v>
      </c>
      <c r="B50" s="222">
        <f>'Short Term ETS Cash Flow'!C49</f>
        <v>0</v>
      </c>
      <c r="C50" s="189">
        <f>'Short Term ETS Cash Flow'!H49</f>
        <v>0</v>
      </c>
      <c r="D50" s="192">
        <f>SUM('Short Term ETS Cash Flow'!D49:F49)</f>
        <v>0</v>
      </c>
      <c r="E50" s="191">
        <f>'Long Term ETS Cash Flow'!C48</f>
        <v>0</v>
      </c>
      <c r="F50" s="189">
        <f>SUM('Long Term ETS Cash Flow'!M48)</f>
        <v>3161.4007762149072</v>
      </c>
      <c r="G50" s="192">
        <f>SUM('Long Term ETS Cash Flow'!D48:J48)</f>
        <v>52244.518979999993</v>
      </c>
      <c r="H50" s="195">
        <f>'STS Cash Flow'!B49</f>
        <v>0</v>
      </c>
      <c r="I50" s="121">
        <f>SUM('STS Cash Flow'!F49:K49)</f>
        <v>601964.61988292646</v>
      </c>
      <c r="J50" s="121">
        <f>SUM('STS Cash Flow'!C49:E49)</f>
        <v>634901.12271943374</v>
      </c>
      <c r="K50" s="195">
        <f>'Water Conveyance Cash Flow'!C48</f>
        <v>0</v>
      </c>
      <c r="L50" s="121">
        <f>SUM('Water Conveyance Cash Flow'!J48)</f>
        <v>107032.76336111664</v>
      </c>
      <c r="M50" s="196">
        <f>SUM('Water Conveyance Cash Flow'!D48:H48)</f>
        <v>148628.20599000002</v>
      </c>
      <c r="N50" s="195">
        <f>'Sludge Disposal Cash Flow'!C48</f>
        <v>0</v>
      </c>
      <c r="O50" s="196">
        <f>'Sludge Disposal Cash Flow'!H48-'Sludge Disposal Cash Flow'!C48</f>
        <v>64372.0873903705</v>
      </c>
      <c r="P50" s="195">
        <f>'Salt Disposal Cash Flow'!C48</f>
        <v>0</v>
      </c>
      <c r="Q50" s="197">
        <f>'Salt Disposal Cash Flow'!H48-'Salt Disposal Cash Flow'!C48</f>
        <v>33840.60354275829</v>
      </c>
      <c r="R50" s="209"/>
      <c r="S50" s="211">
        <f t="shared" si="2"/>
        <v>0</v>
      </c>
      <c r="T50" s="212">
        <f t="shared" si="3"/>
        <v>0</v>
      </c>
      <c r="U50" s="202">
        <f t="shared" si="4"/>
        <v>712158.784020258</v>
      </c>
      <c r="V50" s="196">
        <f t="shared" si="8"/>
        <v>124627.78720354514</v>
      </c>
      <c r="W50" s="195">
        <f t="shared" si="5"/>
        <v>933986.53862256266</v>
      </c>
      <c r="X50" s="206">
        <f t="shared" si="6"/>
        <v>163447.64425894845</v>
      </c>
      <c r="Y50" s="205">
        <f t="shared" si="7"/>
        <v>1934220.7541053141</v>
      </c>
    </row>
    <row r="51" spans="1:25" ht="13" x14ac:dyDescent="0.3">
      <c r="A51" s="193">
        <v>40</v>
      </c>
      <c r="B51" s="222">
        <f>'Short Term ETS Cash Flow'!C50</f>
        <v>0</v>
      </c>
      <c r="C51" s="189">
        <f>'Short Term ETS Cash Flow'!H50</f>
        <v>0</v>
      </c>
      <c r="D51" s="192">
        <f>SUM('Short Term ETS Cash Flow'!D50:F50)</f>
        <v>0</v>
      </c>
      <c r="E51" s="191">
        <f>'Long Term ETS Cash Flow'!C49</f>
        <v>0</v>
      </c>
      <c r="F51" s="189">
        <f>SUM('Long Term ETS Cash Flow'!M49)</f>
        <v>3161.4007762149072</v>
      </c>
      <c r="G51" s="192">
        <f>SUM('Long Term ETS Cash Flow'!D49:J49)</f>
        <v>52244.518979999993</v>
      </c>
      <c r="H51" s="195">
        <f>'STS Cash Flow'!B50</f>
        <v>0</v>
      </c>
      <c r="I51" s="121">
        <f>SUM('STS Cash Flow'!F50:K50)</f>
        <v>597019.99538444111</v>
      </c>
      <c r="J51" s="121">
        <f>SUM('STS Cash Flow'!C50:E50)</f>
        <v>634901.12271943374</v>
      </c>
      <c r="K51" s="195">
        <f>'Water Conveyance Cash Flow'!C49</f>
        <v>0</v>
      </c>
      <c r="L51" s="121">
        <f>SUM('Water Conveyance Cash Flow'!J49)</f>
        <v>107032.76336111664</v>
      </c>
      <c r="M51" s="196">
        <f>SUM('Water Conveyance Cash Flow'!D49:H49)</f>
        <v>148628.20599000002</v>
      </c>
      <c r="N51" s="195">
        <f>'Sludge Disposal Cash Flow'!C49</f>
        <v>0</v>
      </c>
      <c r="O51" s="196">
        <f>'Sludge Disposal Cash Flow'!H49-'Sludge Disposal Cash Flow'!C49</f>
        <v>63690.962105877668</v>
      </c>
      <c r="P51" s="195">
        <f>'Salt Disposal Cash Flow'!C49</f>
        <v>0</v>
      </c>
      <c r="Q51" s="197">
        <f>'Salt Disposal Cash Flow'!H49-'Salt Disposal Cash Flow'!C49</f>
        <v>33840.60354275829</v>
      </c>
      <c r="R51" s="209"/>
      <c r="S51" s="211">
        <f t="shared" si="2"/>
        <v>0</v>
      </c>
      <c r="T51" s="212">
        <f t="shared" si="3"/>
        <v>0</v>
      </c>
      <c r="U51" s="202">
        <f t="shared" si="4"/>
        <v>707214.15952177264</v>
      </c>
      <c r="V51" s="196">
        <f t="shared" si="8"/>
        <v>123762.47791631021</v>
      </c>
      <c r="W51" s="195">
        <f t="shared" si="5"/>
        <v>933305.4133380698</v>
      </c>
      <c r="X51" s="206">
        <f t="shared" si="6"/>
        <v>163328.44733416219</v>
      </c>
      <c r="Y51" s="205">
        <f t="shared" si="7"/>
        <v>1927610.4981103148</v>
      </c>
    </row>
    <row r="52" spans="1:25" ht="13" x14ac:dyDescent="0.3">
      <c r="A52" s="193">
        <v>41</v>
      </c>
      <c r="B52" s="222">
        <f>'Short Term ETS Cash Flow'!C51</f>
        <v>0</v>
      </c>
      <c r="C52" s="189">
        <f>'Short Term ETS Cash Flow'!H51</f>
        <v>0</v>
      </c>
      <c r="D52" s="192">
        <f>SUM('Short Term ETS Cash Flow'!D51:F51)</f>
        <v>0</v>
      </c>
      <c r="E52" s="191">
        <f>'Long Term ETS Cash Flow'!C50</f>
        <v>0</v>
      </c>
      <c r="F52" s="189">
        <f>SUM('Long Term ETS Cash Flow'!M50)</f>
        <v>3161.4007762149072</v>
      </c>
      <c r="G52" s="192">
        <f>SUM('Long Term ETS Cash Flow'!D50:J50)</f>
        <v>52244.518979999993</v>
      </c>
      <c r="H52" s="195">
        <f>'STS Cash Flow'!B51</f>
        <v>0</v>
      </c>
      <c r="I52" s="121">
        <f>SUM('STS Cash Flow'!F51:K51)</f>
        <v>597019.99538444111</v>
      </c>
      <c r="J52" s="121">
        <f>SUM('STS Cash Flow'!C51:E51)</f>
        <v>634901.12271943374</v>
      </c>
      <c r="K52" s="195">
        <f>'Water Conveyance Cash Flow'!C50</f>
        <v>0</v>
      </c>
      <c r="L52" s="121">
        <f>SUM('Water Conveyance Cash Flow'!J50)</f>
        <v>107032.76336111664</v>
      </c>
      <c r="M52" s="196">
        <f>SUM('Water Conveyance Cash Flow'!D50:H50)</f>
        <v>148628.20599000002</v>
      </c>
      <c r="N52" s="195">
        <f>'Sludge Disposal Cash Flow'!C50</f>
        <v>0</v>
      </c>
      <c r="O52" s="196">
        <f>'Sludge Disposal Cash Flow'!H50-'Sludge Disposal Cash Flow'!C50</f>
        <v>63690.962105877668</v>
      </c>
      <c r="P52" s="195">
        <f>'Salt Disposal Cash Flow'!C50</f>
        <v>0</v>
      </c>
      <c r="Q52" s="197">
        <f>'Salt Disposal Cash Flow'!H50-'Salt Disposal Cash Flow'!C50</f>
        <v>33840.60354275829</v>
      </c>
      <c r="R52" s="209"/>
      <c r="S52" s="211">
        <f t="shared" si="2"/>
        <v>0</v>
      </c>
      <c r="T52" s="212">
        <f t="shared" si="3"/>
        <v>0</v>
      </c>
      <c r="U52" s="202">
        <f t="shared" si="4"/>
        <v>707214.15952177264</v>
      </c>
      <c r="V52" s="196">
        <f t="shared" si="8"/>
        <v>123762.47791631021</v>
      </c>
      <c r="W52" s="195">
        <f t="shared" si="5"/>
        <v>933305.4133380698</v>
      </c>
      <c r="X52" s="206">
        <f t="shared" si="6"/>
        <v>163328.44733416219</v>
      </c>
      <c r="Y52" s="205">
        <f t="shared" si="7"/>
        <v>1927610.4981103148</v>
      </c>
    </row>
    <row r="53" spans="1:25" ht="13" x14ac:dyDescent="0.3">
      <c r="A53" s="193">
        <v>42</v>
      </c>
      <c r="B53" s="222">
        <f>'Short Term ETS Cash Flow'!C52</f>
        <v>0</v>
      </c>
      <c r="C53" s="189">
        <f>'Short Term ETS Cash Flow'!H52</f>
        <v>0</v>
      </c>
      <c r="D53" s="192">
        <f>SUM('Short Term ETS Cash Flow'!D52:F52)</f>
        <v>0</v>
      </c>
      <c r="E53" s="191">
        <f>'Long Term ETS Cash Flow'!C51</f>
        <v>0</v>
      </c>
      <c r="F53" s="189">
        <f>SUM('Long Term ETS Cash Flow'!M51)</f>
        <v>3161.4007762149072</v>
      </c>
      <c r="G53" s="192">
        <f>SUM('Long Term ETS Cash Flow'!D51:J51)</f>
        <v>52244.518979999993</v>
      </c>
      <c r="H53" s="195">
        <f>'STS Cash Flow'!B52</f>
        <v>0</v>
      </c>
      <c r="I53" s="121">
        <f>SUM('STS Cash Flow'!F52:K52)</f>
        <v>597019.99538444111</v>
      </c>
      <c r="J53" s="121">
        <f>SUM('STS Cash Flow'!C52:E52)</f>
        <v>634901.12271943374</v>
      </c>
      <c r="K53" s="195">
        <f>'Water Conveyance Cash Flow'!C51</f>
        <v>0</v>
      </c>
      <c r="L53" s="121">
        <f>SUM('Water Conveyance Cash Flow'!J51)</f>
        <v>107032.76336111664</v>
      </c>
      <c r="M53" s="196">
        <f>SUM('Water Conveyance Cash Flow'!D51:H51)</f>
        <v>148628.20599000002</v>
      </c>
      <c r="N53" s="195">
        <f>'Sludge Disposal Cash Flow'!C51</f>
        <v>0</v>
      </c>
      <c r="O53" s="196">
        <f>'Sludge Disposal Cash Flow'!H51-'Sludge Disposal Cash Flow'!C51</f>
        <v>63690.962105877668</v>
      </c>
      <c r="P53" s="195">
        <f>'Salt Disposal Cash Flow'!C51</f>
        <v>0</v>
      </c>
      <c r="Q53" s="197">
        <f>'Salt Disposal Cash Flow'!H51-'Salt Disposal Cash Flow'!C51</f>
        <v>33840.60354275829</v>
      </c>
      <c r="R53" s="209"/>
      <c r="S53" s="211">
        <f t="shared" si="2"/>
        <v>0</v>
      </c>
      <c r="T53" s="212">
        <f t="shared" si="3"/>
        <v>0</v>
      </c>
      <c r="U53" s="202">
        <f t="shared" si="4"/>
        <v>707214.15952177264</v>
      </c>
      <c r="V53" s="196">
        <f t="shared" si="8"/>
        <v>123762.47791631021</v>
      </c>
      <c r="W53" s="195">
        <f t="shared" si="5"/>
        <v>933305.4133380698</v>
      </c>
      <c r="X53" s="206">
        <f t="shared" si="6"/>
        <v>163328.44733416219</v>
      </c>
      <c r="Y53" s="205">
        <f t="shared" si="7"/>
        <v>1927610.4981103148</v>
      </c>
    </row>
    <row r="54" spans="1:25" ht="13" x14ac:dyDescent="0.3">
      <c r="A54" s="193">
        <v>43</v>
      </c>
      <c r="B54" s="222">
        <f>'Short Term ETS Cash Flow'!C53</f>
        <v>0</v>
      </c>
      <c r="C54" s="189">
        <f>'Short Term ETS Cash Flow'!H53</f>
        <v>0</v>
      </c>
      <c r="D54" s="192">
        <f>SUM('Short Term ETS Cash Flow'!D53:F53)</f>
        <v>0</v>
      </c>
      <c r="E54" s="191">
        <f>'Long Term ETS Cash Flow'!C52</f>
        <v>0</v>
      </c>
      <c r="F54" s="189">
        <f>SUM('Long Term ETS Cash Flow'!M52)</f>
        <v>3161.4007762149072</v>
      </c>
      <c r="G54" s="192">
        <f>SUM('Long Term ETS Cash Flow'!D52:J52)</f>
        <v>52244.518979999993</v>
      </c>
      <c r="H54" s="195">
        <f>'STS Cash Flow'!B53</f>
        <v>0</v>
      </c>
      <c r="I54" s="121">
        <f>SUM('STS Cash Flow'!F53:K53)</f>
        <v>597019.99538444111</v>
      </c>
      <c r="J54" s="121">
        <f>SUM('STS Cash Flow'!C53:E53)</f>
        <v>634901.12271943374</v>
      </c>
      <c r="K54" s="195">
        <f>'Water Conveyance Cash Flow'!C52</f>
        <v>0</v>
      </c>
      <c r="L54" s="121">
        <f>SUM('Water Conveyance Cash Flow'!J52)</f>
        <v>107032.76336111664</v>
      </c>
      <c r="M54" s="196">
        <f>SUM('Water Conveyance Cash Flow'!D52:H52)</f>
        <v>148628.20599000002</v>
      </c>
      <c r="N54" s="195">
        <f>'Sludge Disposal Cash Flow'!C52</f>
        <v>0</v>
      </c>
      <c r="O54" s="196">
        <f>'Sludge Disposal Cash Flow'!H52-'Sludge Disposal Cash Flow'!C52</f>
        <v>63690.962105877668</v>
      </c>
      <c r="P54" s="195">
        <f>'Salt Disposal Cash Flow'!C52</f>
        <v>0</v>
      </c>
      <c r="Q54" s="197">
        <f>'Salt Disposal Cash Flow'!H52-'Salt Disposal Cash Flow'!C52</f>
        <v>33840.60354275829</v>
      </c>
      <c r="R54" s="209"/>
      <c r="S54" s="211">
        <f t="shared" si="2"/>
        <v>0</v>
      </c>
      <c r="T54" s="212">
        <f t="shared" si="3"/>
        <v>0</v>
      </c>
      <c r="U54" s="202">
        <f t="shared" si="4"/>
        <v>707214.15952177264</v>
      </c>
      <c r="V54" s="196">
        <f t="shared" si="8"/>
        <v>123762.47791631021</v>
      </c>
      <c r="W54" s="195">
        <f t="shared" si="5"/>
        <v>933305.4133380698</v>
      </c>
      <c r="X54" s="206">
        <f t="shared" si="6"/>
        <v>163328.44733416219</v>
      </c>
      <c r="Y54" s="205">
        <f t="shared" si="7"/>
        <v>1927610.4981103148</v>
      </c>
    </row>
    <row r="55" spans="1:25" ht="13" x14ac:dyDescent="0.3">
      <c r="A55" s="193">
        <v>44</v>
      </c>
      <c r="B55" s="222">
        <f>'Short Term ETS Cash Flow'!C54</f>
        <v>0</v>
      </c>
      <c r="C55" s="189">
        <f>'Short Term ETS Cash Flow'!H54</f>
        <v>0</v>
      </c>
      <c r="D55" s="192">
        <f>SUM('Short Term ETS Cash Flow'!D54:F54)</f>
        <v>0</v>
      </c>
      <c r="E55" s="191">
        <f>'Long Term ETS Cash Flow'!C53</f>
        <v>0</v>
      </c>
      <c r="F55" s="189">
        <f>SUM('Long Term ETS Cash Flow'!M53)</f>
        <v>3161.4007762149072</v>
      </c>
      <c r="G55" s="192">
        <f>SUM('Long Term ETS Cash Flow'!D53:J53)</f>
        <v>52244.518979999993</v>
      </c>
      <c r="H55" s="195">
        <f>'STS Cash Flow'!B54</f>
        <v>0</v>
      </c>
      <c r="I55" s="121">
        <f>SUM('STS Cash Flow'!F54:K54)</f>
        <v>597019.99538444111</v>
      </c>
      <c r="J55" s="121">
        <f>SUM('STS Cash Flow'!C54:E54)</f>
        <v>634901.12271943374</v>
      </c>
      <c r="K55" s="195">
        <f>'Water Conveyance Cash Flow'!C53</f>
        <v>0</v>
      </c>
      <c r="L55" s="121">
        <f>SUM('Water Conveyance Cash Flow'!J53)</f>
        <v>107032.76336111664</v>
      </c>
      <c r="M55" s="196">
        <f>SUM('Water Conveyance Cash Flow'!D53:H53)</f>
        <v>148628.20599000002</v>
      </c>
      <c r="N55" s="195">
        <f>'Sludge Disposal Cash Flow'!C53</f>
        <v>0</v>
      </c>
      <c r="O55" s="196">
        <f>'Sludge Disposal Cash Flow'!H53-'Sludge Disposal Cash Flow'!C53</f>
        <v>63690.962105877668</v>
      </c>
      <c r="P55" s="195">
        <f>'Salt Disposal Cash Flow'!C53</f>
        <v>0</v>
      </c>
      <c r="Q55" s="197">
        <f>'Salt Disposal Cash Flow'!H53-'Salt Disposal Cash Flow'!C53</f>
        <v>33840.60354275829</v>
      </c>
      <c r="R55" s="209"/>
      <c r="S55" s="211">
        <f t="shared" si="2"/>
        <v>0</v>
      </c>
      <c r="T55" s="212">
        <f t="shared" si="3"/>
        <v>0</v>
      </c>
      <c r="U55" s="202">
        <f t="shared" si="4"/>
        <v>707214.15952177264</v>
      </c>
      <c r="V55" s="196">
        <f t="shared" si="8"/>
        <v>123762.47791631021</v>
      </c>
      <c r="W55" s="195">
        <f t="shared" si="5"/>
        <v>933305.4133380698</v>
      </c>
      <c r="X55" s="206">
        <f t="shared" si="6"/>
        <v>163328.44733416219</v>
      </c>
      <c r="Y55" s="205">
        <f t="shared" si="7"/>
        <v>1927610.4981103148</v>
      </c>
    </row>
    <row r="56" spans="1:25" ht="13" x14ac:dyDescent="0.3">
      <c r="A56" s="193">
        <v>45</v>
      </c>
      <c r="B56" s="222">
        <f>'Short Term ETS Cash Flow'!C55</f>
        <v>0</v>
      </c>
      <c r="C56" s="189">
        <f>'Short Term ETS Cash Flow'!H55</f>
        <v>0</v>
      </c>
      <c r="D56" s="192">
        <f>SUM('Short Term ETS Cash Flow'!D55:F55)</f>
        <v>0</v>
      </c>
      <c r="E56" s="191">
        <f>'Long Term ETS Cash Flow'!C54</f>
        <v>0</v>
      </c>
      <c r="F56" s="189">
        <f>SUM('Long Term ETS Cash Flow'!M54)</f>
        <v>3161.4007762149072</v>
      </c>
      <c r="G56" s="192">
        <f>SUM('Long Term ETS Cash Flow'!D54:J54)</f>
        <v>52244.518979999993</v>
      </c>
      <c r="H56" s="195">
        <f>'STS Cash Flow'!B55</f>
        <v>0</v>
      </c>
      <c r="I56" s="121">
        <f>SUM('STS Cash Flow'!F55:K55)</f>
        <v>597019.99538444111</v>
      </c>
      <c r="J56" s="121">
        <f>SUM('STS Cash Flow'!C55:E55)</f>
        <v>634901.12271943374</v>
      </c>
      <c r="K56" s="195">
        <f>'Water Conveyance Cash Flow'!C54</f>
        <v>0</v>
      </c>
      <c r="L56" s="121">
        <f>SUM('Water Conveyance Cash Flow'!J54)</f>
        <v>107032.76336111664</v>
      </c>
      <c r="M56" s="196">
        <f>SUM('Water Conveyance Cash Flow'!D54:H54)</f>
        <v>148628.20599000002</v>
      </c>
      <c r="N56" s="195">
        <f>'Sludge Disposal Cash Flow'!C54</f>
        <v>0</v>
      </c>
      <c r="O56" s="196">
        <f>'Sludge Disposal Cash Flow'!H54-'Sludge Disposal Cash Flow'!C54</f>
        <v>63690.962105877668</v>
      </c>
      <c r="P56" s="195">
        <f>'Salt Disposal Cash Flow'!C54</f>
        <v>0</v>
      </c>
      <c r="Q56" s="197">
        <f>'Salt Disposal Cash Flow'!H54-'Salt Disposal Cash Flow'!C54</f>
        <v>33840.60354275829</v>
      </c>
      <c r="R56" s="209"/>
      <c r="S56" s="211">
        <f t="shared" si="2"/>
        <v>0</v>
      </c>
      <c r="T56" s="212">
        <f t="shared" si="3"/>
        <v>0</v>
      </c>
      <c r="U56" s="202">
        <f t="shared" si="4"/>
        <v>707214.15952177264</v>
      </c>
      <c r="V56" s="196">
        <f t="shared" si="8"/>
        <v>123762.47791631021</v>
      </c>
      <c r="W56" s="195">
        <f t="shared" si="5"/>
        <v>933305.4133380698</v>
      </c>
      <c r="X56" s="206">
        <f t="shared" si="6"/>
        <v>163328.44733416219</v>
      </c>
      <c r="Y56" s="205">
        <f t="shared" si="7"/>
        <v>1927610.4981103148</v>
      </c>
    </row>
    <row r="57" spans="1:25" ht="13" x14ac:dyDescent="0.3">
      <c r="A57" s="193">
        <v>46</v>
      </c>
      <c r="B57" s="222">
        <f>'Short Term ETS Cash Flow'!C56</f>
        <v>0</v>
      </c>
      <c r="C57" s="189">
        <f>'Short Term ETS Cash Flow'!H56</f>
        <v>0</v>
      </c>
      <c r="D57" s="192">
        <f>SUM('Short Term ETS Cash Flow'!D56:F56)</f>
        <v>0</v>
      </c>
      <c r="E57" s="191">
        <f>'Long Term ETS Cash Flow'!C55</f>
        <v>0</v>
      </c>
      <c r="F57" s="189">
        <f>SUM('Long Term ETS Cash Flow'!M55)</f>
        <v>3161.4007762149072</v>
      </c>
      <c r="G57" s="192">
        <f>SUM('Long Term ETS Cash Flow'!D55:J55)</f>
        <v>52244.518979999993</v>
      </c>
      <c r="H57" s="195">
        <f>'STS Cash Flow'!B56</f>
        <v>0</v>
      </c>
      <c r="I57" s="121">
        <f>SUM('STS Cash Flow'!F56:K56)</f>
        <v>597019.99538444111</v>
      </c>
      <c r="J57" s="121">
        <f>SUM('STS Cash Flow'!C56:E56)</f>
        <v>634901.12271943374</v>
      </c>
      <c r="K57" s="195">
        <f>'Water Conveyance Cash Flow'!C55</f>
        <v>0</v>
      </c>
      <c r="L57" s="121">
        <f>SUM('Water Conveyance Cash Flow'!J55)</f>
        <v>107032.76336111664</v>
      </c>
      <c r="M57" s="196">
        <f>SUM('Water Conveyance Cash Flow'!D55:H55)</f>
        <v>148628.20599000002</v>
      </c>
      <c r="N57" s="195">
        <f>'Sludge Disposal Cash Flow'!C55</f>
        <v>0</v>
      </c>
      <c r="O57" s="196">
        <f>'Sludge Disposal Cash Flow'!H55-'Sludge Disposal Cash Flow'!C55</f>
        <v>63690.962105877668</v>
      </c>
      <c r="P57" s="195">
        <f>'Salt Disposal Cash Flow'!C55</f>
        <v>0</v>
      </c>
      <c r="Q57" s="197">
        <f>'Salt Disposal Cash Flow'!H55-'Salt Disposal Cash Flow'!C55</f>
        <v>33840.60354275829</v>
      </c>
      <c r="R57" s="209"/>
      <c r="S57" s="211">
        <f t="shared" si="2"/>
        <v>0</v>
      </c>
      <c r="T57" s="212">
        <f t="shared" si="3"/>
        <v>0</v>
      </c>
      <c r="U57" s="202">
        <f t="shared" si="4"/>
        <v>707214.15952177264</v>
      </c>
      <c r="V57" s="196">
        <f t="shared" si="8"/>
        <v>123762.47791631021</v>
      </c>
      <c r="W57" s="195">
        <f t="shared" si="5"/>
        <v>933305.4133380698</v>
      </c>
      <c r="X57" s="206">
        <f t="shared" si="6"/>
        <v>163328.44733416219</v>
      </c>
      <c r="Y57" s="205">
        <f t="shared" si="7"/>
        <v>1927610.4981103148</v>
      </c>
    </row>
    <row r="58" spans="1:25" ht="13" x14ac:dyDescent="0.3">
      <c r="A58" s="193">
        <v>47</v>
      </c>
      <c r="B58" s="222">
        <f>'Short Term ETS Cash Flow'!C57</f>
        <v>0</v>
      </c>
      <c r="C58" s="189">
        <f>'Short Term ETS Cash Flow'!H57</f>
        <v>0</v>
      </c>
      <c r="D58" s="192">
        <f>SUM('Short Term ETS Cash Flow'!D57:F57)</f>
        <v>0</v>
      </c>
      <c r="E58" s="191">
        <f>'Long Term ETS Cash Flow'!C56</f>
        <v>0</v>
      </c>
      <c r="F58" s="189">
        <f>SUM('Long Term ETS Cash Flow'!M56)</f>
        <v>3161.4007762149072</v>
      </c>
      <c r="G58" s="192">
        <f>SUM('Long Term ETS Cash Flow'!D56:J56)</f>
        <v>52244.518979999993</v>
      </c>
      <c r="H58" s="195">
        <f>'STS Cash Flow'!B57</f>
        <v>0</v>
      </c>
      <c r="I58" s="121">
        <f>SUM('STS Cash Flow'!F57:K57)</f>
        <v>597019.99538444111</v>
      </c>
      <c r="J58" s="121">
        <f>SUM('STS Cash Flow'!C57:E57)</f>
        <v>634901.12271943374</v>
      </c>
      <c r="K58" s="195">
        <f>'Water Conveyance Cash Flow'!C56</f>
        <v>0</v>
      </c>
      <c r="L58" s="121">
        <f>SUM('Water Conveyance Cash Flow'!J56)</f>
        <v>107032.76336111664</v>
      </c>
      <c r="M58" s="196">
        <f>SUM('Water Conveyance Cash Flow'!D56:H56)</f>
        <v>148628.20599000002</v>
      </c>
      <c r="N58" s="195">
        <f>'Sludge Disposal Cash Flow'!C56</f>
        <v>0</v>
      </c>
      <c r="O58" s="196">
        <f>'Sludge Disposal Cash Flow'!H56-'Sludge Disposal Cash Flow'!C56</f>
        <v>63690.962105877668</v>
      </c>
      <c r="P58" s="195">
        <f>'Salt Disposal Cash Flow'!C56</f>
        <v>0</v>
      </c>
      <c r="Q58" s="197">
        <f>'Salt Disposal Cash Flow'!H56-'Salt Disposal Cash Flow'!C56</f>
        <v>33840.60354275829</v>
      </c>
      <c r="R58" s="209"/>
      <c r="S58" s="211">
        <f t="shared" si="2"/>
        <v>0</v>
      </c>
      <c r="T58" s="212">
        <f t="shared" si="3"/>
        <v>0</v>
      </c>
      <c r="U58" s="202">
        <f t="shared" si="4"/>
        <v>707214.15952177264</v>
      </c>
      <c r="V58" s="196">
        <f t="shared" si="8"/>
        <v>123762.47791631021</v>
      </c>
      <c r="W58" s="195">
        <f t="shared" si="5"/>
        <v>933305.4133380698</v>
      </c>
      <c r="X58" s="206">
        <f t="shared" si="6"/>
        <v>163328.44733416219</v>
      </c>
      <c r="Y58" s="205">
        <f t="shared" si="7"/>
        <v>1927610.4981103148</v>
      </c>
    </row>
    <row r="59" spans="1:25" ht="13" x14ac:dyDescent="0.3">
      <c r="A59" s="193">
        <v>48</v>
      </c>
      <c r="B59" s="222">
        <f>'Short Term ETS Cash Flow'!C58</f>
        <v>0</v>
      </c>
      <c r="C59" s="189">
        <f>'Short Term ETS Cash Flow'!H58</f>
        <v>0</v>
      </c>
      <c r="D59" s="192">
        <f>SUM('Short Term ETS Cash Flow'!D58:F58)</f>
        <v>0</v>
      </c>
      <c r="E59" s="191">
        <f>'Long Term ETS Cash Flow'!C57</f>
        <v>0</v>
      </c>
      <c r="F59" s="189">
        <f>SUM('Long Term ETS Cash Flow'!M57)</f>
        <v>3161.4007762149072</v>
      </c>
      <c r="G59" s="192">
        <f>SUM('Long Term ETS Cash Flow'!D57:J57)</f>
        <v>52244.518979999993</v>
      </c>
      <c r="H59" s="195">
        <f>'STS Cash Flow'!B58</f>
        <v>0</v>
      </c>
      <c r="I59" s="121">
        <f>SUM('STS Cash Flow'!F58:K58)</f>
        <v>597019.99538444111</v>
      </c>
      <c r="J59" s="121">
        <f>SUM('STS Cash Flow'!C58:E58)</f>
        <v>634901.12271943374</v>
      </c>
      <c r="K59" s="195">
        <f>'Water Conveyance Cash Flow'!C57</f>
        <v>0</v>
      </c>
      <c r="L59" s="121">
        <f>SUM('Water Conveyance Cash Flow'!J57)</f>
        <v>107032.76336111664</v>
      </c>
      <c r="M59" s="196">
        <f>SUM('Water Conveyance Cash Flow'!D57:H57)</f>
        <v>148628.20599000002</v>
      </c>
      <c r="N59" s="195">
        <f>'Sludge Disposal Cash Flow'!C57</f>
        <v>0</v>
      </c>
      <c r="O59" s="196">
        <f>'Sludge Disposal Cash Flow'!H57-'Sludge Disposal Cash Flow'!C57</f>
        <v>63690.962105877668</v>
      </c>
      <c r="P59" s="195">
        <f>'Salt Disposal Cash Flow'!C57</f>
        <v>0</v>
      </c>
      <c r="Q59" s="197">
        <f>'Salt Disposal Cash Flow'!H57-'Salt Disposal Cash Flow'!C57</f>
        <v>33840.60354275829</v>
      </c>
      <c r="R59" s="209"/>
      <c r="S59" s="211">
        <f t="shared" si="2"/>
        <v>0</v>
      </c>
      <c r="T59" s="212">
        <f t="shared" si="3"/>
        <v>0</v>
      </c>
      <c r="U59" s="202">
        <f t="shared" si="4"/>
        <v>707214.15952177264</v>
      </c>
      <c r="V59" s="196">
        <f t="shared" si="8"/>
        <v>123762.47791631021</v>
      </c>
      <c r="W59" s="195">
        <f t="shared" si="5"/>
        <v>933305.4133380698</v>
      </c>
      <c r="X59" s="206">
        <f t="shared" si="6"/>
        <v>163328.44733416219</v>
      </c>
      <c r="Y59" s="205">
        <f t="shared" si="7"/>
        <v>1927610.4981103148</v>
      </c>
    </row>
    <row r="60" spans="1:25" ht="13" x14ac:dyDescent="0.3">
      <c r="A60" s="193">
        <v>49</v>
      </c>
      <c r="B60" s="222">
        <f>'Short Term ETS Cash Flow'!C59</f>
        <v>0</v>
      </c>
      <c r="C60" s="189">
        <f>'Short Term ETS Cash Flow'!H59</f>
        <v>0</v>
      </c>
      <c r="D60" s="192">
        <f>SUM('Short Term ETS Cash Flow'!D59:F59)</f>
        <v>0</v>
      </c>
      <c r="E60" s="191">
        <f>'Long Term ETS Cash Flow'!C58</f>
        <v>0</v>
      </c>
      <c r="F60" s="189">
        <f>SUM('Long Term ETS Cash Flow'!M58)</f>
        <v>3161.4007762149072</v>
      </c>
      <c r="G60" s="192">
        <f>SUM('Long Term ETS Cash Flow'!D58:J58)</f>
        <v>52244.518979999993</v>
      </c>
      <c r="H60" s="195">
        <f>'STS Cash Flow'!B59</f>
        <v>0</v>
      </c>
      <c r="I60" s="121">
        <f>SUM('STS Cash Flow'!F59:K59)</f>
        <v>597019.99538444111</v>
      </c>
      <c r="J60" s="121">
        <f>SUM('STS Cash Flow'!C59:E59)</f>
        <v>634901.12271943374</v>
      </c>
      <c r="K60" s="195">
        <f>'Water Conveyance Cash Flow'!C58</f>
        <v>0</v>
      </c>
      <c r="L60" s="121">
        <f>SUM('Water Conveyance Cash Flow'!J58)</f>
        <v>107032.76336111664</v>
      </c>
      <c r="M60" s="196">
        <f>SUM('Water Conveyance Cash Flow'!D58:H58)</f>
        <v>148628.20599000002</v>
      </c>
      <c r="N60" s="195">
        <f>'Sludge Disposal Cash Flow'!C58</f>
        <v>0</v>
      </c>
      <c r="O60" s="196">
        <f>'Sludge Disposal Cash Flow'!H58-'Sludge Disposal Cash Flow'!C58</f>
        <v>63690.962105877668</v>
      </c>
      <c r="P60" s="195">
        <f>'Salt Disposal Cash Flow'!C58</f>
        <v>0</v>
      </c>
      <c r="Q60" s="197">
        <f>'Salt Disposal Cash Flow'!H58-'Salt Disposal Cash Flow'!C58</f>
        <v>33840.60354275829</v>
      </c>
      <c r="R60" s="209"/>
      <c r="S60" s="211">
        <f t="shared" si="2"/>
        <v>0</v>
      </c>
      <c r="T60" s="212">
        <f t="shared" si="3"/>
        <v>0</v>
      </c>
      <c r="U60" s="202">
        <f t="shared" si="4"/>
        <v>707214.15952177264</v>
      </c>
      <c r="V60" s="196">
        <f t="shared" si="8"/>
        <v>123762.47791631021</v>
      </c>
      <c r="W60" s="195">
        <f t="shared" si="5"/>
        <v>933305.4133380698</v>
      </c>
      <c r="X60" s="206">
        <f t="shared" si="6"/>
        <v>163328.44733416219</v>
      </c>
      <c r="Y60" s="205">
        <f t="shared" si="7"/>
        <v>1927610.4981103148</v>
      </c>
    </row>
    <row r="61" spans="1:25" ht="13" x14ac:dyDescent="0.3">
      <c r="A61" s="193">
        <v>50</v>
      </c>
      <c r="B61" s="222">
        <f>'Short Term ETS Cash Flow'!C60</f>
        <v>0</v>
      </c>
      <c r="C61" s="189">
        <f>'Short Term ETS Cash Flow'!H60</f>
        <v>0</v>
      </c>
      <c r="D61" s="192">
        <f>SUM('Short Term ETS Cash Flow'!D60:F60)</f>
        <v>0</v>
      </c>
      <c r="E61" s="191">
        <f>'Long Term ETS Cash Flow'!C59</f>
        <v>0</v>
      </c>
      <c r="F61" s="189">
        <f>SUM('Long Term ETS Cash Flow'!M59)</f>
        <v>3161.4007762149072</v>
      </c>
      <c r="G61" s="192">
        <f>SUM('Long Term ETS Cash Flow'!D59:J59)</f>
        <v>52244.518979999993</v>
      </c>
      <c r="H61" s="195">
        <f>'STS Cash Flow'!B60</f>
        <v>0</v>
      </c>
      <c r="I61" s="121">
        <f>SUM('STS Cash Flow'!F60:K60)</f>
        <v>597019.99097774387</v>
      </c>
      <c r="J61" s="121">
        <f>SUM('STS Cash Flow'!C60:E60)</f>
        <v>634901.12271943374</v>
      </c>
      <c r="K61" s="195">
        <f>'Water Conveyance Cash Flow'!C59</f>
        <v>0</v>
      </c>
      <c r="L61" s="121">
        <f>SUM('Water Conveyance Cash Flow'!J59)</f>
        <v>107032.76336111664</v>
      </c>
      <c r="M61" s="196">
        <f>SUM('Water Conveyance Cash Flow'!D59:H59)</f>
        <v>148628.20599000002</v>
      </c>
      <c r="N61" s="195">
        <f>'Sludge Disposal Cash Flow'!C59</f>
        <v>0</v>
      </c>
      <c r="O61" s="196">
        <f>'Sludge Disposal Cash Flow'!H59-'Sludge Disposal Cash Flow'!C59</f>
        <v>63690.961809025881</v>
      </c>
      <c r="P61" s="195">
        <f>'Salt Disposal Cash Flow'!C59</f>
        <v>0</v>
      </c>
      <c r="Q61" s="197">
        <f>'Salt Disposal Cash Flow'!H59-'Salt Disposal Cash Flow'!C59</f>
        <v>33840.60354275829</v>
      </c>
      <c r="R61" s="209"/>
      <c r="S61" s="211">
        <f t="shared" si="2"/>
        <v>0</v>
      </c>
      <c r="T61" s="212">
        <f t="shared" si="3"/>
        <v>0</v>
      </c>
      <c r="U61" s="202">
        <f t="shared" si="4"/>
        <v>707214.15511507541</v>
      </c>
      <c r="V61" s="196">
        <f t="shared" si="8"/>
        <v>123762.47714513818</v>
      </c>
      <c r="W61" s="195">
        <f t="shared" si="5"/>
        <v>933305.41304121795</v>
      </c>
      <c r="X61" s="206">
        <f t="shared" si="6"/>
        <v>163328.44728221314</v>
      </c>
      <c r="Y61" s="205">
        <f t="shared" si="7"/>
        <v>1927610.4925836446</v>
      </c>
    </row>
    <row r="62" spans="1:25" ht="13" x14ac:dyDescent="0.3">
      <c r="A62" s="193">
        <v>51</v>
      </c>
      <c r="B62" s="222">
        <f>'Short Term ETS Cash Flow'!C61</f>
        <v>0</v>
      </c>
      <c r="C62" s="189">
        <f>'Short Term ETS Cash Flow'!H61</f>
        <v>0</v>
      </c>
      <c r="D62" s="192">
        <f>SUM('Short Term ETS Cash Flow'!D61:F61)</f>
        <v>0</v>
      </c>
      <c r="E62" s="191">
        <f>'Long Term ETS Cash Flow'!C60</f>
        <v>0</v>
      </c>
      <c r="F62" s="189">
        <f>SUM('Long Term ETS Cash Flow'!M60)</f>
        <v>3161.4007762149072</v>
      </c>
      <c r="G62" s="192">
        <f>SUM('Long Term ETS Cash Flow'!D60:J60)</f>
        <v>52244.518979999993</v>
      </c>
      <c r="H62" s="195">
        <f>'STS Cash Flow'!B61</f>
        <v>0</v>
      </c>
      <c r="I62" s="121">
        <f>SUM('STS Cash Flow'!F61:K61)</f>
        <v>597019.99538444111</v>
      </c>
      <c r="J62" s="121">
        <f>SUM('STS Cash Flow'!C61:E61)</f>
        <v>634901.12271943374</v>
      </c>
      <c r="K62" s="195">
        <f>'Water Conveyance Cash Flow'!C60</f>
        <v>0</v>
      </c>
      <c r="L62" s="121">
        <f>SUM('Water Conveyance Cash Flow'!J60)</f>
        <v>107032.76336111664</v>
      </c>
      <c r="M62" s="196">
        <f>SUM('Water Conveyance Cash Flow'!D60:H60)</f>
        <v>148628.20599000002</v>
      </c>
      <c r="N62" s="195">
        <f>'Sludge Disposal Cash Flow'!C60</f>
        <v>0</v>
      </c>
      <c r="O62" s="196">
        <f>'Sludge Disposal Cash Flow'!H60-'Sludge Disposal Cash Flow'!C60</f>
        <v>63690.962105877668</v>
      </c>
      <c r="P62" s="195">
        <f>'Salt Disposal Cash Flow'!C60</f>
        <v>0</v>
      </c>
      <c r="Q62" s="197">
        <f>'Salt Disposal Cash Flow'!H60-'Salt Disposal Cash Flow'!C60</f>
        <v>33840.60354275829</v>
      </c>
      <c r="R62" s="209"/>
      <c r="S62" s="211">
        <f t="shared" si="2"/>
        <v>0</v>
      </c>
      <c r="T62" s="212">
        <f t="shared" si="3"/>
        <v>0</v>
      </c>
      <c r="U62" s="202">
        <f t="shared" si="4"/>
        <v>707214.15952177264</v>
      </c>
      <c r="V62" s="196">
        <f t="shared" si="8"/>
        <v>123762.47791631021</v>
      </c>
      <c r="W62" s="195">
        <f t="shared" si="5"/>
        <v>933305.4133380698</v>
      </c>
      <c r="X62" s="206">
        <f t="shared" si="6"/>
        <v>163328.44733416219</v>
      </c>
      <c r="Y62" s="205">
        <f t="shared" si="7"/>
        <v>1927610.4981103148</v>
      </c>
    </row>
    <row r="63" spans="1:25" ht="13" x14ac:dyDescent="0.3">
      <c r="A63" s="193">
        <v>52</v>
      </c>
      <c r="B63" s="222">
        <f>'Short Term ETS Cash Flow'!C62</f>
        <v>0</v>
      </c>
      <c r="C63" s="189">
        <f>'Short Term ETS Cash Flow'!H62</f>
        <v>0</v>
      </c>
      <c r="D63" s="192">
        <f>SUM('Short Term ETS Cash Flow'!D62:F62)</f>
        <v>0</v>
      </c>
      <c r="E63" s="191">
        <f>'Long Term ETS Cash Flow'!C61</f>
        <v>0</v>
      </c>
      <c r="F63" s="189">
        <f>SUM('Long Term ETS Cash Flow'!M61)</f>
        <v>3161.4007762149072</v>
      </c>
      <c r="G63" s="192">
        <f>SUM('Long Term ETS Cash Flow'!D61:J61)</f>
        <v>52244.518979999993</v>
      </c>
      <c r="H63" s="195">
        <f>'STS Cash Flow'!B62</f>
        <v>0</v>
      </c>
      <c r="I63" s="121">
        <f>SUM('STS Cash Flow'!F62:K62)</f>
        <v>597019.99538444111</v>
      </c>
      <c r="J63" s="121">
        <f>SUM('STS Cash Flow'!C62:E62)</f>
        <v>634901.12271943374</v>
      </c>
      <c r="K63" s="195">
        <f>'Water Conveyance Cash Flow'!C61</f>
        <v>0</v>
      </c>
      <c r="L63" s="121">
        <f>SUM('Water Conveyance Cash Flow'!J61)</f>
        <v>107032.76336111664</v>
      </c>
      <c r="M63" s="196">
        <f>SUM('Water Conveyance Cash Flow'!D61:H61)</f>
        <v>148628.20599000002</v>
      </c>
      <c r="N63" s="195">
        <f>'Sludge Disposal Cash Flow'!C61</f>
        <v>0</v>
      </c>
      <c r="O63" s="196">
        <f>'Sludge Disposal Cash Flow'!H61-'Sludge Disposal Cash Flow'!C61</f>
        <v>63690.962105877668</v>
      </c>
      <c r="P63" s="195">
        <f>'Salt Disposal Cash Flow'!C61</f>
        <v>0</v>
      </c>
      <c r="Q63" s="197">
        <f>'Salt Disposal Cash Flow'!H61-'Salt Disposal Cash Flow'!C61</f>
        <v>33840.60354275829</v>
      </c>
      <c r="R63" s="209"/>
      <c r="S63" s="211">
        <f t="shared" si="2"/>
        <v>0</v>
      </c>
      <c r="T63" s="212">
        <f t="shared" si="3"/>
        <v>0</v>
      </c>
      <c r="U63" s="202">
        <f t="shared" si="4"/>
        <v>707214.15952177264</v>
      </c>
      <c r="V63" s="196">
        <f t="shared" si="8"/>
        <v>123762.47791631021</v>
      </c>
      <c r="W63" s="195">
        <f t="shared" si="5"/>
        <v>933305.4133380698</v>
      </c>
      <c r="X63" s="206">
        <f t="shared" si="6"/>
        <v>163328.44733416219</v>
      </c>
      <c r="Y63" s="205">
        <f t="shared" si="7"/>
        <v>1927610.4981103148</v>
      </c>
    </row>
    <row r="64" spans="1:25" ht="13" x14ac:dyDescent="0.3">
      <c r="A64" s="193">
        <v>53</v>
      </c>
      <c r="B64" s="222">
        <f>'Short Term ETS Cash Flow'!C63</f>
        <v>0</v>
      </c>
      <c r="C64" s="189">
        <f>'Short Term ETS Cash Flow'!H63</f>
        <v>0</v>
      </c>
      <c r="D64" s="192">
        <f>SUM('Short Term ETS Cash Flow'!D63:F63)</f>
        <v>0</v>
      </c>
      <c r="E64" s="191">
        <f>'Long Term ETS Cash Flow'!C62</f>
        <v>0</v>
      </c>
      <c r="F64" s="189">
        <f>SUM('Long Term ETS Cash Flow'!M62)</f>
        <v>3161.4007762149072</v>
      </c>
      <c r="G64" s="192">
        <f>SUM('Long Term ETS Cash Flow'!D62:J62)</f>
        <v>52244.518979999993</v>
      </c>
      <c r="H64" s="195">
        <f>'STS Cash Flow'!B63</f>
        <v>0</v>
      </c>
      <c r="I64" s="121">
        <f>SUM('STS Cash Flow'!F63:K63)</f>
        <v>597019.99538444111</v>
      </c>
      <c r="J64" s="121">
        <f>SUM('STS Cash Flow'!C63:E63)</f>
        <v>634901.12271943374</v>
      </c>
      <c r="K64" s="195">
        <f>'Water Conveyance Cash Flow'!C62</f>
        <v>0</v>
      </c>
      <c r="L64" s="121">
        <f>SUM('Water Conveyance Cash Flow'!J62)</f>
        <v>107032.76336111664</v>
      </c>
      <c r="M64" s="196">
        <f>SUM('Water Conveyance Cash Flow'!D62:H62)</f>
        <v>148628.20599000002</v>
      </c>
      <c r="N64" s="195">
        <f>'Sludge Disposal Cash Flow'!C62</f>
        <v>0</v>
      </c>
      <c r="O64" s="196">
        <f>'Sludge Disposal Cash Flow'!H62-'Sludge Disposal Cash Flow'!C62</f>
        <v>63690.962105877668</v>
      </c>
      <c r="P64" s="195">
        <f>'Salt Disposal Cash Flow'!C62</f>
        <v>0</v>
      </c>
      <c r="Q64" s="197">
        <f>'Salt Disposal Cash Flow'!H62-'Salt Disposal Cash Flow'!C62</f>
        <v>33840.60354275829</v>
      </c>
      <c r="R64" s="209"/>
      <c r="S64" s="211">
        <f t="shared" si="2"/>
        <v>0</v>
      </c>
      <c r="T64" s="212">
        <f t="shared" si="3"/>
        <v>0</v>
      </c>
      <c r="U64" s="202">
        <f t="shared" si="4"/>
        <v>707214.15952177264</v>
      </c>
      <c r="V64" s="196">
        <f t="shared" si="8"/>
        <v>123762.47791631021</v>
      </c>
      <c r="W64" s="195">
        <f t="shared" si="5"/>
        <v>933305.4133380698</v>
      </c>
      <c r="X64" s="206">
        <f t="shared" si="6"/>
        <v>163328.44733416219</v>
      </c>
      <c r="Y64" s="205">
        <f t="shared" si="7"/>
        <v>1927610.4981103148</v>
      </c>
    </row>
    <row r="65" spans="1:25" ht="13" x14ac:dyDescent="0.3">
      <c r="A65" s="193">
        <v>54</v>
      </c>
      <c r="B65" s="222">
        <f>'Short Term ETS Cash Flow'!C64</f>
        <v>0</v>
      </c>
      <c r="C65" s="189">
        <f>'Short Term ETS Cash Flow'!H64</f>
        <v>0</v>
      </c>
      <c r="D65" s="192">
        <f>SUM('Short Term ETS Cash Flow'!D64:F64)</f>
        <v>0</v>
      </c>
      <c r="E65" s="191">
        <f>'Long Term ETS Cash Flow'!C63</f>
        <v>0</v>
      </c>
      <c r="F65" s="189">
        <f>SUM('Long Term ETS Cash Flow'!M63)</f>
        <v>3161.4007762149072</v>
      </c>
      <c r="G65" s="192">
        <f>SUM('Long Term ETS Cash Flow'!D63:J63)</f>
        <v>52244.518979999993</v>
      </c>
      <c r="H65" s="195">
        <f>'STS Cash Flow'!B64</f>
        <v>0</v>
      </c>
      <c r="I65" s="121">
        <f>SUM('STS Cash Flow'!F64:K64)</f>
        <v>597019.99538444111</v>
      </c>
      <c r="J65" s="121">
        <f>SUM('STS Cash Flow'!C64:E64)</f>
        <v>634901.12271943374</v>
      </c>
      <c r="K65" s="195">
        <f>'Water Conveyance Cash Flow'!C63</f>
        <v>0</v>
      </c>
      <c r="L65" s="121">
        <f>SUM('Water Conveyance Cash Flow'!J63)</f>
        <v>107032.76336111664</v>
      </c>
      <c r="M65" s="196">
        <f>SUM('Water Conveyance Cash Flow'!D63:H63)</f>
        <v>148628.20599000002</v>
      </c>
      <c r="N65" s="195">
        <f>'Sludge Disposal Cash Flow'!C63</f>
        <v>0</v>
      </c>
      <c r="O65" s="196">
        <f>'Sludge Disposal Cash Flow'!H63-'Sludge Disposal Cash Flow'!C63</f>
        <v>63690.962105877668</v>
      </c>
      <c r="P65" s="195">
        <f>'Salt Disposal Cash Flow'!C63</f>
        <v>0</v>
      </c>
      <c r="Q65" s="197">
        <f>'Salt Disposal Cash Flow'!H63-'Salt Disposal Cash Flow'!C63</f>
        <v>33840.60354275829</v>
      </c>
      <c r="R65" s="209"/>
      <c r="S65" s="211">
        <f t="shared" si="2"/>
        <v>0</v>
      </c>
      <c r="T65" s="212">
        <f t="shared" si="3"/>
        <v>0</v>
      </c>
      <c r="U65" s="202">
        <f t="shared" si="4"/>
        <v>707214.15952177264</v>
      </c>
      <c r="V65" s="196">
        <f t="shared" si="8"/>
        <v>123762.47791631021</v>
      </c>
      <c r="W65" s="195">
        <f t="shared" si="5"/>
        <v>933305.4133380698</v>
      </c>
      <c r="X65" s="206">
        <f t="shared" si="6"/>
        <v>163328.44733416219</v>
      </c>
      <c r="Y65" s="205">
        <f t="shared" si="7"/>
        <v>1927610.4981103148</v>
      </c>
    </row>
    <row r="66" spans="1:25" ht="13" x14ac:dyDescent="0.3">
      <c r="A66" s="193">
        <v>55</v>
      </c>
      <c r="B66" s="222">
        <f>'Short Term ETS Cash Flow'!C65</f>
        <v>0</v>
      </c>
      <c r="C66" s="189">
        <f>'Short Term ETS Cash Flow'!H65</f>
        <v>0</v>
      </c>
      <c r="D66" s="192">
        <f>SUM('Short Term ETS Cash Flow'!D65:F65)</f>
        <v>0</v>
      </c>
      <c r="E66" s="191">
        <f>'Long Term ETS Cash Flow'!C64</f>
        <v>0</v>
      </c>
      <c r="F66" s="189">
        <f>SUM('Long Term ETS Cash Flow'!M64)</f>
        <v>3161.4007762149072</v>
      </c>
      <c r="G66" s="192">
        <f>SUM('Long Term ETS Cash Flow'!D64:J64)</f>
        <v>52244.518979999993</v>
      </c>
      <c r="H66" s="195">
        <f>'STS Cash Flow'!B65</f>
        <v>0</v>
      </c>
      <c r="I66" s="121">
        <f>SUM('STS Cash Flow'!F65:K65)</f>
        <v>597019.99097774387</v>
      </c>
      <c r="J66" s="121">
        <f>SUM('STS Cash Flow'!C65:E65)</f>
        <v>634901.12271943374</v>
      </c>
      <c r="K66" s="195">
        <f>'Water Conveyance Cash Flow'!C64</f>
        <v>0</v>
      </c>
      <c r="L66" s="121">
        <f>SUM('Water Conveyance Cash Flow'!J64)</f>
        <v>107032.76336111664</v>
      </c>
      <c r="M66" s="196">
        <f>SUM('Water Conveyance Cash Flow'!D64:H64)</f>
        <v>148628.20599000002</v>
      </c>
      <c r="N66" s="195">
        <f>'Sludge Disposal Cash Flow'!C64</f>
        <v>0</v>
      </c>
      <c r="O66" s="196">
        <f>'Sludge Disposal Cash Flow'!H64-'Sludge Disposal Cash Flow'!C64</f>
        <v>63690.961809025881</v>
      </c>
      <c r="P66" s="195">
        <f>'Salt Disposal Cash Flow'!C64</f>
        <v>0</v>
      </c>
      <c r="Q66" s="197">
        <f>'Salt Disposal Cash Flow'!H64-'Salt Disposal Cash Flow'!C64</f>
        <v>33840.60354275829</v>
      </c>
      <c r="R66" s="209"/>
      <c r="S66" s="211">
        <f t="shared" si="2"/>
        <v>0</v>
      </c>
      <c r="T66" s="212">
        <f t="shared" si="3"/>
        <v>0</v>
      </c>
      <c r="U66" s="202">
        <f t="shared" si="4"/>
        <v>707214.15511507541</v>
      </c>
      <c r="V66" s="196">
        <f t="shared" si="8"/>
        <v>123762.47714513818</v>
      </c>
      <c r="W66" s="195">
        <f t="shared" si="5"/>
        <v>933305.41304121795</v>
      </c>
      <c r="X66" s="206">
        <f t="shared" si="6"/>
        <v>163328.44728221314</v>
      </c>
      <c r="Y66" s="205">
        <f t="shared" si="7"/>
        <v>1927610.4925836446</v>
      </c>
    </row>
    <row r="67" spans="1:25" ht="13" x14ac:dyDescent="0.3">
      <c r="A67" s="193">
        <v>56</v>
      </c>
      <c r="B67" s="222">
        <f>'Short Term ETS Cash Flow'!C66</f>
        <v>0</v>
      </c>
      <c r="C67" s="189">
        <f>'Short Term ETS Cash Flow'!H66</f>
        <v>0</v>
      </c>
      <c r="D67" s="192">
        <f>SUM('Short Term ETS Cash Flow'!D66:F66)</f>
        <v>0</v>
      </c>
      <c r="E67" s="191">
        <f>'Long Term ETS Cash Flow'!C65</f>
        <v>0</v>
      </c>
      <c r="F67" s="189">
        <f>SUM('Long Term ETS Cash Flow'!M65)</f>
        <v>3161.4007762149072</v>
      </c>
      <c r="G67" s="192">
        <f>SUM('Long Term ETS Cash Flow'!D65:J65)</f>
        <v>52244.518979999993</v>
      </c>
      <c r="H67" s="195">
        <f>'STS Cash Flow'!B66</f>
        <v>0</v>
      </c>
      <c r="I67" s="121">
        <f>SUM('STS Cash Flow'!F66:K66)</f>
        <v>597019.99538444111</v>
      </c>
      <c r="J67" s="121">
        <f>SUM('STS Cash Flow'!C66:E66)</f>
        <v>634901.12271943374</v>
      </c>
      <c r="K67" s="195">
        <f>'Water Conveyance Cash Flow'!C65</f>
        <v>0</v>
      </c>
      <c r="L67" s="121">
        <f>SUM('Water Conveyance Cash Flow'!J65)</f>
        <v>107032.76336111664</v>
      </c>
      <c r="M67" s="196">
        <f>SUM('Water Conveyance Cash Flow'!D65:H65)</f>
        <v>148628.20599000002</v>
      </c>
      <c r="N67" s="195">
        <f>'Sludge Disposal Cash Flow'!C65</f>
        <v>0</v>
      </c>
      <c r="O67" s="196">
        <f>'Sludge Disposal Cash Flow'!H65-'Sludge Disposal Cash Flow'!C65</f>
        <v>63690.962105877668</v>
      </c>
      <c r="P67" s="195">
        <f>'Salt Disposal Cash Flow'!C65</f>
        <v>0</v>
      </c>
      <c r="Q67" s="197">
        <f>'Salt Disposal Cash Flow'!H65-'Salt Disposal Cash Flow'!C65</f>
        <v>33840.60354275829</v>
      </c>
      <c r="R67" s="209"/>
      <c r="S67" s="211">
        <f t="shared" si="2"/>
        <v>0</v>
      </c>
      <c r="T67" s="212">
        <f t="shared" si="3"/>
        <v>0</v>
      </c>
      <c r="U67" s="202">
        <f t="shared" si="4"/>
        <v>707214.15952177264</v>
      </c>
      <c r="V67" s="196">
        <f t="shared" si="8"/>
        <v>123762.47791631021</v>
      </c>
      <c r="W67" s="195">
        <f t="shared" si="5"/>
        <v>933305.4133380698</v>
      </c>
      <c r="X67" s="206">
        <f t="shared" si="6"/>
        <v>163328.44733416219</v>
      </c>
      <c r="Y67" s="205">
        <f t="shared" si="7"/>
        <v>1927610.4981103148</v>
      </c>
    </row>
    <row r="68" spans="1:25" ht="13" x14ac:dyDescent="0.3">
      <c r="A68" s="193">
        <v>57</v>
      </c>
      <c r="B68" s="222">
        <f>'Short Term ETS Cash Flow'!C67</f>
        <v>0</v>
      </c>
      <c r="C68" s="189">
        <f>'Short Term ETS Cash Flow'!H67</f>
        <v>0</v>
      </c>
      <c r="D68" s="192">
        <f>SUM('Short Term ETS Cash Flow'!D67:F67)</f>
        <v>0</v>
      </c>
      <c r="E68" s="191">
        <f>'Long Term ETS Cash Flow'!C66</f>
        <v>0</v>
      </c>
      <c r="F68" s="189">
        <f>SUM('Long Term ETS Cash Flow'!M66)</f>
        <v>3161.4007762149072</v>
      </c>
      <c r="G68" s="192">
        <f>SUM('Long Term ETS Cash Flow'!D66:J66)</f>
        <v>52244.518979999993</v>
      </c>
      <c r="H68" s="195">
        <f>'STS Cash Flow'!B67</f>
        <v>0</v>
      </c>
      <c r="I68" s="121">
        <f>SUM('STS Cash Flow'!F67:K67)</f>
        <v>597019.99538444111</v>
      </c>
      <c r="J68" s="121">
        <f>SUM('STS Cash Flow'!C67:E67)</f>
        <v>634901.12271943374</v>
      </c>
      <c r="K68" s="195">
        <f>'Water Conveyance Cash Flow'!C66</f>
        <v>0</v>
      </c>
      <c r="L68" s="121">
        <f>SUM('Water Conveyance Cash Flow'!J66)</f>
        <v>107032.76336111664</v>
      </c>
      <c r="M68" s="196">
        <f>SUM('Water Conveyance Cash Flow'!D66:H66)</f>
        <v>148628.20599000002</v>
      </c>
      <c r="N68" s="195">
        <f>'Sludge Disposal Cash Flow'!C66</f>
        <v>0</v>
      </c>
      <c r="O68" s="196">
        <f>'Sludge Disposal Cash Flow'!H66-'Sludge Disposal Cash Flow'!C66</f>
        <v>63690.962105877668</v>
      </c>
      <c r="P68" s="195">
        <f>'Salt Disposal Cash Flow'!C66</f>
        <v>0</v>
      </c>
      <c r="Q68" s="197">
        <f>'Salt Disposal Cash Flow'!H66-'Salt Disposal Cash Flow'!C66</f>
        <v>33840.60354275829</v>
      </c>
      <c r="R68" s="209"/>
      <c r="S68" s="211">
        <f t="shared" si="2"/>
        <v>0</v>
      </c>
      <c r="T68" s="212">
        <f t="shared" si="3"/>
        <v>0</v>
      </c>
      <c r="U68" s="202">
        <f t="shared" si="4"/>
        <v>707214.15952177264</v>
      </c>
      <c r="V68" s="196">
        <f t="shared" si="8"/>
        <v>123762.47791631021</v>
      </c>
      <c r="W68" s="195">
        <f t="shared" si="5"/>
        <v>933305.4133380698</v>
      </c>
      <c r="X68" s="206">
        <f t="shared" si="6"/>
        <v>163328.44733416219</v>
      </c>
      <c r="Y68" s="205">
        <f t="shared" si="7"/>
        <v>1927610.4981103148</v>
      </c>
    </row>
    <row r="69" spans="1:25" ht="13" x14ac:dyDescent="0.3">
      <c r="A69" s="193">
        <v>58</v>
      </c>
      <c r="B69" s="222">
        <f>'Short Term ETS Cash Flow'!C68</f>
        <v>0</v>
      </c>
      <c r="C69" s="189">
        <f>'Short Term ETS Cash Flow'!H68</f>
        <v>0</v>
      </c>
      <c r="D69" s="192">
        <f>SUM('Short Term ETS Cash Flow'!D68:F68)</f>
        <v>0</v>
      </c>
      <c r="E69" s="191">
        <f>'Long Term ETS Cash Flow'!C67</f>
        <v>0</v>
      </c>
      <c r="F69" s="189">
        <f>SUM('Long Term ETS Cash Flow'!M67)</f>
        <v>3161.4007762149072</v>
      </c>
      <c r="G69" s="192">
        <f>SUM('Long Term ETS Cash Flow'!D67:J67)</f>
        <v>52244.518979999993</v>
      </c>
      <c r="H69" s="195">
        <f>'STS Cash Flow'!B68</f>
        <v>0</v>
      </c>
      <c r="I69" s="121">
        <f>SUM('STS Cash Flow'!F68:K68)</f>
        <v>597019.99538444111</v>
      </c>
      <c r="J69" s="121">
        <f>SUM('STS Cash Flow'!C68:E68)</f>
        <v>634901.12271943374</v>
      </c>
      <c r="K69" s="195">
        <f>'Water Conveyance Cash Flow'!C67</f>
        <v>0</v>
      </c>
      <c r="L69" s="121">
        <f>SUM('Water Conveyance Cash Flow'!J67)</f>
        <v>107032.76336111664</v>
      </c>
      <c r="M69" s="196">
        <f>SUM('Water Conveyance Cash Flow'!D67:H67)</f>
        <v>148628.20599000002</v>
      </c>
      <c r="N69" s="195">
        <f>'Sludge Disposal Cash Flow'!C67</f>
        <v>0</v>
      </c>
      <c r="O69" s="196">
        <f>'Sludge Disposal Cash Flow'!H67-'Sludge Disposal Cash Flow'!C67</f>
        <v>63690.962105877668</v>
      </c>
      <c r="P69" s="195">
        <f>'Salt Disposal Cash Flow'!C67</f>
        <v>0</v>
      </c>
      <c r="Q69" s="197">
        <f>'Salt Disposal Cash Flow'!H67-'Salt Disposal Cash Flow'!C67</f>
        <v>33840.60354275829</v>
      </c>
      <c r="R69" s="209"/>
      <c r="S69" s="211">
        <f t="shared" si="2"/>
        <v>0</v>
      </c>
      <c r="T69" s="212">
        <f t="shared" si="3"/>
        <v>0</v>
      </c>
      <c r="U69" s="202">
        <f t="shared" si="4"/>
        <v>707214.15952177264</v>
      </c>
      <c r="V69" s="196">
        <f t="shared" si="8"/>
        <v>123762.47791631021</v>
      </c>
      <c r="W69" s="195">
        <f t="shared" si="5"/>
        <v>933305.4133380698</v>
      </c>
      <c r="X69" s="206">
        <f t="shared" si="6"/>
        <v>163328.44733416219</v>
      </c>
      <c r="Y69" s="205">
        <f t="shared" si="7"/>
        <v>1927610.4981103148</v>
      </c>
    </row>
    <row r="70" spans="1:25" ht="13" x14ac:dyDescent="0.3">
      <c r="A70" s="193">
        <v>59</v>
      </c>
      <c r="B70" s="222">
        <f>'Short Term ETS Cash Flow'!C69</f>
        <v>0</v>
      </c>
      <c r="C70" s="189">
        <f>'Short Term ETS Cash Flow'!H69</f>
        <v>0</v>
      </c>
      <c r="D70" s="192">
        <f>SUM('Short Term ETS Cash Flow'!D69:F69)</f>
        <v>0</v>
      </c>
      <c r="E70" s="191">
        <f>'Long Term ETS Cash Flow'!C68</f>
        <v>0</v>
      </c>
      <c r="F70" s="189">
        <f>SUM('Long Term ETS Cash Flow'!M68)</f>
        <v>3161.4007762149072</v>
      </c>
      <c r="G70" s="192">
        <f>SUM('Long Term ETS Cash Flow'!D68:J68)</f>
        <v>52244.518979999993</v>
      </c>
      <c r="H70" s="195">
        <f>'STS Cash Flow'!B69</f>
        <v>0</v>
      </c>
      <c r="I70" s="121">
        <f>SUM('STS Cash Flow'!F69:K69)</f>
        <v>597019.99538444111</v>
      </c>
      <c r="J70" s="121">
        <f>SUM('STS Cash Flow'!C69:E69)</f>
        <v>634901.12271943374</v>
      </c>
      <c r="K70" s="195">
        <f>'Water Conveyance Cash Flow'!C68</f>
        <v>0</v>
      </c>
      <c r="L70" s="121">
        <f>SUM('Water Conveyance Cash Flow'!J68)</f>
        <v>107032.76336111664</v>
      </c>
      <c r="M70" s="196">
        <f>SUM('Water Conveyance Cash Flow'!D68:H68)</f>
        <v>148628.20599000002</v>
      </c>
      <c r="N70" s="195">
        <f>'Sludge Disposal Cash Flow'!C68</f>
        <v>0</v>
      </c>
      <c r="O70" s="196">
        <f>'Sludge Disposal Cash Flow'!H68-'Sludge Disposal Cash Flow'!C68</f>
        <v>63690.962105877668</v>
      </c>
      <c r="P70" s="195">
        <f>'Salt Disposal Cash Flow'!C68</f>
        <v>0</v>
      </c>
      <c r="Q70" s="197">
        <f>'Salt Disposal Cash Flow'!H68-'Salt Disposal Cash Flow'!C68</f>
        <v>33840.60354275829</v>
      </c>
      <c r="R70" s="209"/>
      <c r="S70" s="211">
        <f t="shared" si="2"/>
        <v>0</v>
      </c>
      <c r="T70" s="212">
        <f t="shared" si="3"/>
        <v>0</v>
      </c>
      <c r="U70" s="202">
        <f t="shared" si="4"/>
        <v>707214.15952177264</v>
      </c>
      <c r="V70" s="196">
        <f t="shared" si="8"/>
        <v>123762.47791631021</v>
      </c>
      <c r="W70" s="195">
        <f t="shared" si="5"/>
        <v>933305.4133380698</v>
      </c>
      <c r="X70" s="206">
        <f t="shared" si="6"/>
        <v>163328.44733416219</v>
      </c>
      <c r="Y70" s="205">
        <f t="shared" si="7"/>
        <v>1927610.4981103148</v>
      </c>
    </row>
    <row r="71" spans="1:25" ht="13" x14ac:dyDescent="0.3">
      <c r="A71" s="193">
        <v>60</v>
      </c>
      <c r="B71" s="222">
        <f>'Short Term ETS Cash Flow'!C70</f>
        <v>0</v>
      </c>
      <c r="C71" s="189">
        <f>'Short Term ETS Cash Flow'!H70</f>
        <v>0</v>
      </c>
      <c r="D71" s="192">
        <f>SUM('Short Term ETS Cash Flow'!D70:F70)</f>
        <v>0</v>
      </c>
      <c r="E71" s="191">
        <f>'Long Term ETS Cash Flow'!C69</f>
        <v>0</v>
      </c>
      <c r="F71" s="189">
        <f>SUM('Long Term ETS Cash Flow'!M69)</f>
        <v>3161.4007762149072</v>
      </c>
      <c r="G71" s="192">
        <f>SUM('Long Term ETS Cash Flow'!D69:J69)</f>
        <v>52244.518979999993</v>
      </c>
      <c r="H71" s="195">
        <f>'STS Cash Flow'!B70</f>
        <v>0</v>
      </c>
      <c r="I71" s="121">
        <f>SUM('STS Cash Flow'!F70:K70)</f>
        <v>597019.99538444111</v>
      </c>
      <c r="J71" s="121">
        <f>SUM('STS Cash Flow'!C70:E70)</f>
        <v>634901.12271943374</v>
      </c>
      <c r="K71" s="195">
        <f>'Water Conveyance Cash Flow'!C69</f>
        <v>0</v>
      </c>
      <c r="L71" s="121">
        <f>SUM('Water Conveyance Cash Flow'!J69)</f>
        <v>107032.76336111664</v>
      </c>
      <c r="M71" s="196">
        <f>SUM('Water Conveyance Cash Flow'!D69:H69)</f>
        <v>148628.20599000002</v>
      </c>
      <c r="N71" s="195">
        <f>'Sludge Disposal Cash Flow'!C69</f>
        <v>0</v>
      </c>
      <c r="O71" s="196">
        <f>'Sludge Disposal Cash Flow'!H69-'Sludge Disposal Cash Flow'!C69</f>
        <v>63690.962105877668</v>
      </c>
      <c r="P71" s="195">
        <f>'Salt Disposal Cash Flow'!C69</f>
        <v>0</v>
      </c>
      <c r="Q71" s="197">
        <f>'Salt Disposal Cash Flow'!H69-'Salt Disposal Cash Flow'!C69</f>
        <v>33840.60354275829</v>
      </c>
      <c r="R71" s="209"/>
      <c r="S71" s="211">
        <f t="shared" si="2"/>
        <v>0</v>
      </c>
      <c r="T71" s="212">
        <f t="shared" si="3"/>
        <v>0</v>
      </c>
      <c r="U71" s="202">
        <f t="shared" si="4"/>
        <v>707214.15952177264</v>
      </c>
      <c r="V71" s="196">
        <f t="shared" si="8"/>
        <v>123762.47791631021</v>
      </c>
      <c r="W71" s="195">
        <f t="shared" si="5"/>
        <v>933305.4133380698</v>
      </c>
      <c r="X71" s="206">
        <f t="shared" si="6"/>
        <v>163328.44733416219</v>
      </c>
      <c r="Y71" s="205">
        <f t="shared" si="7"/>
        <v>1927610.4981103148</v>
      </c>
    </row>
    <row r="72" spans="1:25" ht="13" x14ac:dyDescent="0.3">
      <c r="A72" s="193">
        <v>61</v>
      </c>
      <c r="B72" s="222">
        <f>'Short Term ETS Cash Flow'!C71</f>
        <v>0</v>
      </c>
      <c r="C72" s="189">
        <f>'Short Term ETS Cash Flow'!H71</f>
        <v>0</v>
      </c>
      <c r="D72" s="192">
        <f>SUM('Short Term ETS Cash Flow'!D71:F71)</f>
        <v>0</v>
      </c>
      <c r="E72" s="191">
        <f>'Long Term ETS Cash Flow'!C70</f>
        <v>0</v>
      </c>
      <c r="F72" s="189">
        <f>SUM('Long Term ETS Cash Flow'!M70)</f>
        <v>3161.4007762149072</v>
      </c>
      <c r="G72" s="192">
        <f>SUM('Long Term ETS Cash Flow'!D70:J70)</f>
        <v>52244.518979999993</v>
      </c>
      <c r="H72" s="195">
        <f>'STS Cash Flow'!B71</f>
        <v>0</v>
      </c>
      <c r="I72" s="121">
        <f>SUM('STS Cash Flow'!F71:K71)</f>
        <v>597019.99538444111</v>
      </c>
      <c r="J72" s="121">
        <f>SUM('STS Cash Flow'!C71:E71)</f>
        <v>634901.12271943374</v>
      </c>
      <c r="K72" s="195">
        <f>'Water Conveyance Cash Flow'!C70</f>
        <v>0</v>
      </c>
      <c r="L72" s="121">
        <f>SUM('Water Conveyance Cash Flow'!J70)</f>
        <v>107032.76336111664</v>
      </c>
      <c r="M72" s="196">
        <f>SUM('Water Conveyance Cash Flow'!D70:H70)</f>
        <v>148628.20599000002</v>
      </c>
      <c r="N72" s="195">
        <f>'Sludge Disposal Cash Flow'!C70</f>
        <v>0</v>
      </c>
      <c r="O72" s="196">
        <f>'Sludge Disposal Cash Flow'!H70-'Sludge Disposal Cash Flow'!C70</f>
        <v>63690.962105877668</v>
      </c>
      <c r="P72" s="195">
        <f>'Salt Disposal Cash Flow'!C70</f>
        <v>0</v>
      </c>
      <c r="Q72" s="197">
        <f>'Salt Disposal Cash Flow'!H70-'Salt Disposal Cash Flow'!C70</f>
        <v>33840.60354275829</v>
      </c>
      <c r="R72" s="209"/>
      <c r="S72" s="211">
        <f t="shared" si="2"/>
        <v>0</v>
      </c>
      <c r="T72" s="212">
        <f t="shared" si="3"/>
        <v>0</v>
      </c>
      <c r="U72" s="202">
        <f t="shared" si="4"/>
        <v>707214.15952177264</v>
      </c>
      <c r="V72" s="196">
        <f t="shared" si="8"/>
        <v>123762.47791631021</v>
      </c>
      <c r="W72" s="195">
        <f t="shared" si="5"/>
        <v>933305.4133380698</v>
      </c>
      <c r="X72" s="206">
        <f t="shared" si="6"/>
        <v>163328.44733416219</v>
      </c>
      <c r="Y72" s="205">
        <f t="shared" si="7"/>
        <v>1927610.4981103148</v>
      </c>
    </row>
    <row r="73" spans="1:25" ht="13" x14ac:dyDescent="0.3">
      <c r="A73" s="193">
        <v>62</v>
      </c>
      <c r="B73" s="222">
        <f>'Short Term ETS Cash Flow'!C72</f>
        <v>0</v>
      </c>
      <c r="C73" s="189">
        <f>'Short Term ETS Cash Flow'!H72</f>
        <v>0</v>
      </c>
      <c r="D73" s="192">
        <f>SUM('Short Term ETS Cash Flow'!D72:F72)</f>
        <v>0</v>
      </c>
      <c r="E73" s="191">
        <f>'Long Term ETS Cash Flow'!C71</f>
        <v>0</v>
      </c>
      <c r="F73" s="189">
        <f>SUM('Long Term ETS Cash Flow'!M71)</f>
        <v>3161.4007762149072</v>
      </c>
      <c r="G73" s="192">
        <f>SUM('Long Term ETS Cash Flow'!D71:J71)</f>
        <v>52244.518979999993</v>
      </c>
      <c r="H73" s="195">
        <f>'STS Cash Flow'!B72</f>
        <v>0</v>
      </c>
      <c r="I73" s="121">
        <f>SUM('STS Cash Flow'!F72:K72)</f>
        <v>597019.99538444111</v>
      </c>
      <c r="J73" s="121">
        <f>SUM('STS Cash Flow'!C72:E72)</f>
        <v>634901.12271943374</v>
      </c>
      <c r="K73" s="195">
        <f>'Water Conveyance Cash Flow'!C71</f>
        <v>0</v>
      </c>
      <c r="L73" s="121">
        <f>SUM('Water Conveyance Cash Flow'!J71)</f>
        <v>107032.76336111664</v>
      </c>
      <c r="M73" s="196">
        <f>SUM('Water Conveyance Cash Flow'!D71:H71)</f>
        <v>148628.20599000002</v>
      </c>
      <c r="N73" s="195">
        <f>'Sludge Disposal Cash Flow'!C71</f>
        <v>0</v>
      </c>
      <c r="O73" s="196">
        <f>'Sludge Disposal Cash Flow'!H71-'Sludge Disposal Cash Flow'!C71</f>
        <v>63690.962105877668</v>
      </c>
      <c r="P73" s="195">
        <f>'Salt Disposal Cash Flow'!C71</f>
        <v>0</v>
      </c>
      <c r="Q73" s="197">
        <f>'Salt Disposal Cash Flow'!H71-'Salt Disposal Cash Flow'!C71</f>
        <v>33840.60354275829</v>
      </c>
      <c r="R73" s="209"/>
      <c r="S73" s="211">
        <f t="shared" si="2"/>
        <v>0</v>
      </c>
      <c r="T73" s="212">
        <f t="shared" si="3"/>
        <v>0</v>
      </c>
      <c r="U73" s="202">
        <f t="shared" si="4"/>
        <v>707214.15952177264</v>
      </c>
      <c r="V73" s="196">
        <f t="shared" si="8"/>
        <v>123762.47791631021</v>
      </c>
      <c r="W73" s="195">
        <f t="shared" si="5"/>
        <v>933305.4133380698</v>
      </c>
      <c r="X73" s="206">
        <f t="shared" si="6"/>
        <v>163328.44733416219</v>
      </c>
      <c r="Y73" s="205">
        <f t="shared" si="7"/>
        <v>1927610.4981103148</v>
      </c>
    </row>
    <row r="74" spans="1:25" ht="13" x14ac:dyDescent="0.3">
      <c r="A74" s="193">
        <v>63</v>
      </c>
      <c r="B74" s="222">
        <f>'Short Term ETS Cash Flow'!C73</f>
        <v>0</v>
      </c>
      <c r="C74" s="189">
        <f>'Short Term ETS Cash Flow'!H73</f>
        <v>0</v>
      </c>
      <c r="D74" s="192">
        <f>SUM('Short Term ETS Cash Flow'!D73:F73)</f>
        <v>0</v>
      </c>
      <c r="E74" s="191">
        <f>'Long Term ETS Cash Flow'!C72</f>
        <v>0</v>
      </c>
      <c r="F74" s="189">
        <f>SUM('Long Term ETS Cash Flow'!M72)</f>
        <v>3161.4007762149072</v>
      </c>
      <c r="G74" s="192">
        <f>SUM('Long Term ETS Cash Flow'!D72:J72)</f>
        <v>52244.518979999993</v>
      </c>
      <c r="H74" s="195">
        <f>'STS Cash Flow'!B73</f>
        <v>0</v>
      </c>
      <c r="I74" s="121">
        <f>SUM('STS Cash Flow'!F73:K73)</f>
        <v>597019.99538444111</v>
      </c>
      <c r="J74" s="121">
        <f>SUM('STS Cash Flow'!C73:E73)</f>
        <v>634901.12271943374</v>
      </c>
      <c r="K74" s="195">
        <f>'Water Conveyance Cash Flow'!C72</f>
        <v>0</v>
      </c>
      <c r="L74" s="121">
        <f>SUM('Water Conveyance Cash Flow'!J72)</f>
        <v>107032.76336111664</v>
      </c>
      <c r="M74" s="196">
        <f>SUM('Water Conveyance Cash Flow'!D72:H72)</f>
        <v>148628.20599000002</v>
      </c>
      <c r="N74" s="195">
        <f>'Sludge Disposal Cash Flow'!C72</f>
        <v>0</v>
      </c>
      <c r="O74" s="196">
        <f>'Sludge Disposal Cash Flow'!H72-'Sludge Disposal Cash Flow'!C72</f>
        <v>63690.962105877668</v>
      </c>
      <c r="P74" s="195">
        <f>'Salt Disposal Cash Flow'!C72</f>
        <v>0</v>
      </c>
      <c r="Q74" s="197">
        <f>'Salt Disposal Cash Flow'!H72-'Salt Disposal Cash Flow'!C72</f>
        <v>33840.60354275829</v>
      </c>
      <c r="R74" s="209"/>
      <c r="S74" s="211">
        <f t="shared" si="2"/>
        <v>0</v>
      </c>
      <c r="T74" s="212">
        <f t="shared" si="3"/>
        <v>0</v>
      </c>
      <c r="U74" s="202">
        <f t="shared" si="4"/>
        <v>707214.15952177264</v>
      </c>
      <c r="V74" s="196">
        <f t="shared" si="8"/>
        <v>123762.47791631021</v>
      </c>
      <c r="W74" s="195">
        <f t="shared" si="5"/>
        <v>933305.4133380698</v>
      </c>
      <c r="X74" s="206">
        <f t="shared" si="6"/>
        <v>163328.44733416219</v>
      </c>
      <c r="Y74" s="205">
        <f t="shared" si="7"/>
        <v>1927610.4981103148</v>
      </c>
    </row>
    <row r="75" spans="1:25" ht="13" x14ac:dyDescent="0.3">
      <c r="A75" s="193">
        <v>64</v>
      </c>
      <c r="B75" s="222">
        <f>'Short Term ETS Cash Flow'!C74</f>
        <v>0</v>
      </c>
      <c r="C75" s="189">
        <f>'Short Term ETS Cash Flow'!H74</f>
        <v>0</v>
      </c>
      <c r="D75" s="192">
        <f>SUM('Short Term ETS Cash Flow'!D74:F74)</f>
        <v>0</v>
      </c>
      <c r="E75" s="191">
        <f>'Long Term ETS Cash Flow'!C73</f>
        <v>0</v>
      </c>
      <c r="F75" s="189">
        <f>SUM('Long Term ETS Cash Flow'!M73)</f>
        <v>3161.4007762149072</v>
      </c>
      <c r="G75" s="192">
        <f>SUM('Long Term ETS Cash Flow'!D73:J73)</f>
        <v>52244.518979999993</v>
      </c>
      <c r="H75" s="195">
        <f>'STS Cash Flow'!B74</f>
        <v>0</v>
      </c>
      <c r="I75" s="121">
        <f>SUM('STS Cash Flow'!F74:K74)</f>
        <v>597019.99538444111</v>
      </c>
      <c r="J75" s="121">
        <f>SUM('STS Cash Flow'!C74:E74)</f>
        <v>634901.12271943374</v>
      </c>
      <c r="K75" s="195">
        <f>'Water Conveyance Cash Flow'!C73</f>
        <v>0</v>
      </c>
      <c r="L75" s="121">
        <f>SUM('Water Conveyance Cash Flow'!J73)</f>
        <v>107032.76336111664</v>
      </c>
      <c r="M75" s="196">
        <f>SUM('Water Conveyance Cash Flow'!D73:H73)</f>
        <v>148628.20599000002</v>
      </c>
      <c r="N75" s="195">
        <f>'Sludge Disposal Cash Flow'!C73</f>
        <v>0</v>
      </c>
      <c r="O75" s="196">
        <f>'Sludge Disposal Cash Flow'!H73-'Sludge Disposal Cash Flow'!C73</f>
        <v>63690.962105877668</v>
      </c>
      <c r="P75" s="195">
        <f>'Salt Disposal Cash Flow'!C73</f>
        <v>0</v>
      </c>
      <c r="Q75" s="197">
        <f>'Salt Disposal Cash Flow'!H73-'Salt Disposal Cash Flow'!C73</f>
        <v>33840.60354275829</v>
      </c>
      <c r="R75" s="209"/>
      <c r="S75" s="211">
        <f t="shared" si="2"/>
        <v>0</v>
      </c>
      <c r="T75" s="212">
        <f t="shared" si="3"/>
        <v>0</v>
      </c>
      <c r="U75" s="202">
        <f t="shared" si="4"/>
        <v>707214.15952177264</v>
      </c>
      <c r="V75" s="196">
        <f t="shared" si="8"/>
        <v>123762.47791631021</v>
      </c>
      <c r="W75" s="195">
        <f t="shared" si="5"/>
        <v>933305.4133380698</v>
      </c>
      <c r="X75" s="206">
        <f t="shared" si="6"/>
        <v>163328.44733416219</v>
      </c>
      <c r="Y75" s="205">
        <f t="shared" si="7"/>
        <v>1927610.4981103148</v>
      </c>
    </row>
    <row r="76" spans="1:25" ht="13" x14ac:dyDescent="0.3">
      <c r="A76" s="193">
        <v>65</v>
      </c>
      <c r="B76" s="222">
        <f>'Short Term ETS Cash Flow'!C75</f>
        <v>0</v>
      </c>
      <c r="C76" s="189">
        <f>'Short Term ETS Cash Flow'!H75</f>
        <v>0</v>
      </c>
      <c r="D76" s="192">
        <f>SUM('Short Term ETS Cash Flow'!D75:F75)</f>
        <v>0</v>
      </c>
      <c r="E76" s="191">
        <f>'Long Term ETS Cash Flow'!C74</f>
        <v>0</v>
      </c>
      <c r="F76" s="189">
        <f>SUM('Long Term ETS Cash Flow'!M74)</f>
        <v>3161.4007762149072</v>
      </c>
      <c r="G76" s="192">
        <f>SUM('Long Term ETS Cash Flow'!D74:J74)</f>
        <v>52244.518979999993</v>
      </c>
      <c r="H76" s="195">
        <f>'STS Cash Flow'!B75</f>
        <v>0</v>
      </c>
      <c r="I76" s="121">
        <f>SUM('STS Cash Flow'!F75:K75)</f>
        <v>597019.99097774387</v>
      </c>
      <c r="J76" s="121">
        <f>SUM('STS Cash Flow'!C75:E75)</f>
        <v>634901.12271943374</v>
      </c>
      <c r="K76" s="195">
        <f>'Water Conveyance Cash Flow'!C74</f>
        <v>0</v>
      </c>
      <c r="L76" s="121">
        <f>SUM('Water Conveyance Cash Flow'!J74)</f>
        <v>107032.76336111664</v>
      </c>
      <c r="M76" s="196">
        <f>SUM('Water Conveyance Cash Flow'!D74:H74)</f>
        <v>148628.20599000002</v>
      </c>
      <c r="N76" s="195">
        <f>'Sludge Disposal Cash Flow'!C74</f>
        <v>0</v>
      </c>
      <c r="O76" s="196">
        <f>'Sludge Disposal Cash Flow'!H74-'Sludge Disposal Cash Flow'!C74</f>
        <v>63690.961809025881</v>
      </c>
      <c r="P76" s="195">
        <f>'Salt Disposal Cash Flow'!C74</f>
        <v>0</v>
      </c>
      <c r="Q76" s="197">
        <f>'Salt Disposal Cash Flow'!H74-'Salt Disposal Cash Flow'!C74</f>
        <v>33840.60354275829</v>
      </c>
      <c r="R76" s="209"/>
      <c r="S76" s="211">
        <f t="shared" ref="S76:S111" si="9">SUM(B76,E76,H76,K76,N76,P76)</f>
        <v>0</v>
      </c>
      <c r="T76" s="212">
        <f t="shared" ref="T76:T110" si="10">S76*$V$4</f>
        <v>0</v>
      </c>
      <c r="U76" s="202">
        <f t="shared" ref="U76:U110" si="11">SUM(C76,F76,I76,L76)</f>
        <v>707214.15511507541</v>
      </c>
      <c r="V76" s="196">
        <f t="shared" ref="V76:V110" si="12">U76*$V$5</f>
        <v>123762.47714513818</v>
      </c>
      <c r="W76" s="195">
        <f t="shared" ref="W76:W111" si="13">SUM(D76,G76,J76,M76,O76,Q76)</f>
        <v>933305.41304121795</v>
      </c>
      <c r="X76" s="206">
        <f t="shared" ref="X76:X110" si="14">W76*$V$6</f>
        <v>163328.44728221314</v>
      </c>
      <c r="Y76" s="205">
        <f t="shared" ref="Y76:Y111" si="15">SUM(S76:X76)</f>
        <v>1927610.4925836446</v>
      </c>
    </row>
    <row r="77" spans="1:25" ht="13" x14ac:dyDescent="0.3">
      <c r="A77" s="193">
        <v>66</v>
      </c>
      <c r="B77" s="222">
        <f>'Short Term ETS Cash Flow'!C76</f>
        <v>0</v>
      </c>
      <c r="C77" s="189">
        <f>'Short Term ETS Cash Flow'!H76</f>
        <v>0</v>
      </c>
      <c r="D77" s="192">
        <f>SUM('Short Term ETS Cash Flow'!D76:F76)</f>
        <v>0</v>
      </c>
      <c r="E77" s="191">
        <f>'Long Term ETS Cash Flow'!C75</f>
        <v>0</v>
      </c>
      <c r="F77" s="189">
        <f>SUM('Long Term ETS Cash Flow'!M75)</f>
        <v>3161.4007762149072</v>
      </c>
      <c r="G77" s="192">
        <f>SUM('Long Term ETS Cash Flow'!D75:J75)</f>
        <v>52244.518979999993</v>
      </c>
      <c r="H77" s="195">
        <f>'STS Cash Flow'!B76</f>
        <v>0</v>
      </c>
      <c r="I77" s="121">
        <f>SUM('STS Cash Flow'!F76:K76)</f>
        <v>597019.99538444111</v>
      </c>
      <c r="J77" s="121">
        <f>SUM('STS Cash Flow'!C76:E76)</f>
        <v>634901.12271943374</v>
      </c>
      <c r="K77" s="195">
        <f>'Water Conveyance Cash Flow'!C75</f>
        <v>0</v>
      </c>
      <c r="L77" s="121">
        <f>SUM('Water Conveyance Cash Flow'!J75)</f>
        <v>107032.76336111664</v>
      </c>
      <c r="M77" s="196">
        <f>SUM('Water Conveyance Cash Flow'!D75:H75)</f>
        <v>148628.20599000002</v>
      </c>
      <c r="N77" s="195">
        <f>'Sludge Disposal Cash Flow'!C75</f>
        <v>0</v>
      </c>
      <c r="O77" s="196">
        <f>'Sludge Disposal Cash Flow'!H75-'Sludge Disposal Cash Flow'!C75</f>
        <v>63690.962105877668</v>
      </c>
      <c r="P77" s="195">
        <f>'Salt Disposal Cash Flow'!C75</f>
        <v>0</v>
      </c>
      <c r="Q77" s="197">
        <f>'Salt Disposal Cash Flow'!H75-'Salt Disposal Cash Flow'!C75</f>
        <v>33840.60354275829</v>
      </c>
      <c r="R77" s="209"/>
      <c r="S77" s="211">
        <f t="shared" si="9"/>
        <v>0</v>
      </c>
      <c r="T77" s="212">
        <f t="shared" si="10"/>
        <v>0</v>
      </c>
      <c r="U77" s="202">
        <f t="shared" si="11"/>
        <v>707214.15952177264</v>
      </c>
      <c r="V77" s="196">
        <f t="shared" si="12"/>
        <v>123762.47791631021</v>
      </c>
      <c r="W77" s="195">
        <f t="shared" si="13"/>
        <v>933305.4133380698</v>
      </c>
      <c r="X77" s="206">
        <f t="shared" si="14"/>
        <v>163328.44733416219</v>
      </c>
      <c r="Y77" s="205">
        <f t="shared" si="15"/>
        <v>1927610.4981103148</v>
      </c>
    </row>
    <row r="78" spans="1:25" ht="13" x14ac:dyDescent="0.3">
      <c r="A78" s="193">
        <v>67</v>
      </c>
      <c r="B78" s="222">
        <f>'Short Term ETS Cash Flow'!C77</f>
        <v>0</v>
      </c>
      <c r="C78" s="189">
        <f>'Short Term ETS Cash Flow'!H77</f>
        <v>0</v>
      </c>
      <c r="D78" s="192">
        <f>SUM('Short Term ETS Cash Flow'!D77:F77)</f>
        <v>0</v>
      </c>
      <c r="E78" s="191">
        <f>'Long Term ETS Cash Flow'!C76</f>
        <v>0</v>
      </c>
      <c r="F78" s="189">
        <f>SUM('Long Term ETS Cash Flow'!M76)</f>
        <v>3161.4007762149072</v>
      </c>
      <c r="G78" s="192">
        <f>SUM('Long Term ETS Cash Flow'!D76:J76)</f>
        <v>52244.518979999993</v>
      </c>
      <c r="H78" s="195">
        <f>'STS Cash Flow'!B77</f>
        <v>0</v>
      </c>
      <c r="I78" s="121">
        <f>SUM('STS Cash Flow'!F77:K77)</f>
        <v>597019.99538444111</v>
      </c>
      <c r="J78" s="121">
        <f>SUM('STS Cash Flow'!C77:E77)</f>
        <v>634901.12271943374</v>
      </c>
      <c r="K78" s="195">
        <f>'Water Conveyance Cash Flow'!C76</f>
        <v>0</v>
      </c>
      <c r="L78" s="121">
        <f>SUM('Water Conveyance Cash Flow'!J76)</f>
        <v>107032.76336111664</v>
      </c>
      <c r="M78" s="196">
        <f>SUM('Water Conveyance Cash Flow'!D76:H76)</f>
        <v>148628.20599000002</v>
      </c>
      <c r="N78" s="195">
        <f>'Sludge Disposal Cash Flow'!C76</f>
        <v>0</v>
      </c>
      <c r="O78" s="196">
        <f>'Sludge Disposal Cash Flow'!H76-'Sludge Disposal Cash Flow'!C76</f>
        <v>63690.962105877668</v>
      </c>
      <c r="P78" s="195">
        <f>'Salt Disposal Cash Flow'!C76</f>
        <v>0</v>
      </c>
      <c r="Q78" s="197">
        <f>'Salt Disposal Cash Flow'!H76-'Salt Disposal Cash Flow'!C76</f>
        <v>33840.60354275829</v>
      </c>
      <c r="R78" s="209"/>
      <c r="S78" s="211">
        <f t="shared" si="9"/>
        <v>0</v>
      </c>
      <c r="T78" s="212">
        <f t="shared" si="10"/>
        <v>0</v>
      </c>
      <c r="U78" s="202">
        <f t="shared" si="11"/>
        <v>707214.15952177264</v>
      </c>
      <c r="V78" s="196">
        <f t="shared" si="12"/>
        <v>123762.47791631021</v>
      </c>
      <c r="W78" s="195">
        <f t="shared" si="13"/>
        <v>933305.4133380698</v>
      </c>
      <c r="X78" s="206">
        <f t="shared" si="14"/>
        <v>163328.44733416219</v>
      </c>
      <c r="Y78" s="205">
        <f t="shared" si="15"/>
        <v>1927610.4981103148</v>
      </c>
    </row>
    <row r="79" spans="1:25" ht="13" x14ac:dyDescent="0.3">
      <c r="A79" s="193">
        <v>68</v>
      </c>
      <c r="B79" s="222">
        <f>'Short Term ETS Cash Flow'!C78</f>
        <v>0</v>
      </c>
      <c r="C79" s="189">
        <f>'Short Term ETS Cash Flow'!H78</f>
        <v>0</v>
      </c>
      <c r="D79" s="192">
        <f>SUM('Short Term ETS Cash Flow'!D78:F78)</f>
        <v>0</v>
      </c>
      <c r="E79" s="191">
        <f>'Long Term ETS Cash Flow'!C77</f>
        <v>0</v>
      </c>
      <c r="F79" s="189">
        <f>SUM('Long Term ETS Cash Flow'!M77)</f>
        <v>3161.4007762149072</v>
      </c>
      <c r="G79" s="192">
        <f>SUM('Long Term ETS Cash Flow'!D77:J77)</f>
        <v>52244.518979999993</v>
      </c>
      <c r="H79" s="195">
        <f>'STS Cash Flow'!B78</f>
        <v>0</v>
      </c>
      <c r="I79" s="121">
        <f>SUM('STS Cash Flow'!F78:K78)</f>
        <v>597019.99538444111</v>
      </c>
      <c r="J79" s="121">
        <f>SUM('STS Cash Flow'!C78:E78)</f>
        <v>634901.12271943374</v>
      </c>
      <c r="K79" s="195">
        <f>'Water Conveyance Cash Flow'!C77</f>
        <v>0</v>
      </c>
      <c r="L79" s="121">
        <f>SUM('Water Conveyance Cash Flow'!J77)</f>
        <v>107032.76336111664</v>
      </c>
      <c r="M79" s="196">
        <f>SUM('Water Conveyance Cash Flow'!D77:H77)</f>
        <v>148628.20599000002</v>
      </c>
      <c r="N79" s="195">
        <f>'Sludge Disposal Cash Flow'!C77</f>
        <v>0</v>
      </c>
      <c r="O79" s="196">
        <f>'Sludge Disposal Cash Flow'!H77-'Sludge Disposal Cash Flow'!C77</f>
        <v>63690.962105877668</v>
      </c>
      <c r="P79" s="195">
        <f>'Salt Disposal Cash Flow'!C77</f>
        <v>0</v>
      </c>
      <c r="Q79" s="197">
        <f>'Salt Disposal Cash Flow'!H77-'Salt Disposal Cash Flow'!C77</f>
        <v>33840.60354275829</v>
      </c>
      <c r="R79" s="209"/>
      <c r="S79" s="211">
        <f t="shared" si="9"/>
        <v>0</v>
      </c>
      <c r="T79" s="212">
        <f t="shared" si="10"/>
        <v>0</v>
      </c>
      <c r="U79" s="202">
        <f t="shared" si="11"/>
        <v>707214.15952177264</v>
      </c>
      <c r="V79" s="196">
        <f t="shared" si="12"/>
        <v>123762.47791631021</v>
      </c>
      <c r="W79" s="195">
        <f t="shared" si="13"/>
        <v>933305.4133380698</v>
      </c>
      <c r="X79" s="206">
        <f t="shared" si="14"/>
        <v>163328.44733416219</v>
      </c>
      <c r="Y79" s="205">
        <f t="shared" si="15"/>
        <v>1927610.4981103148</v>
      </c>
    </row>
    <row r="80" spans="1:25" ht="13" x14ac:dyDescent="0.3">
      <c r="A80" s="193">
        <v>69</v>
      </c>
      <c r="B80" s="222">
        <f>'Short Term ETS Cash Flow'!C79</f>
        <v>0</v>
      </c>
      <c r="C80" s="189">
        <f>'Short Term ETS Cash Flow'!H79</f>
        <v>0</v>
      </c>
      <c r="D80" s="192">
        <f>SUM('Short Term ETS Cash Flow'!D79:F79)</f>
        <v>0</v>
      </c>
      <c r="E80" s="191">
        <f>'Long Term ETS Cash Flow'!C78</f>
        <v>0</v>
      </c>
      <c r="F80" s="189">
        <f>SUM('Long Term ETS Cash Flow'!M78)</f>
        <v>3161.4007762149072</v>
      </c>
      <c r="G80" s="192">
        <f>SUM('Long Term ETS Cash Flow'!D78:J78)</f>
        <v>52244.518979999993</v>
      </c>
      <c r="H80" s="195">
        <f>'STS Cash Flow'!B79</f>
        <v>0</v>
      </c>
      <c r="I80" s="121">
        <f>SUM('STS Cash Flow'!F79:K79)</f>
        <v>597019.99538444111</v>
      </c>
      <c r="J80" s="121">
        <f>SUM('STS Cash Flow'!C79:E79)</f>
        <v>634901.12271943374</v>
      </c>
      <c r="K80" s="195">
        <f>'Water Conveyance Cash Flow'!C78</f>
        <v>0</v>
      </c>
      <c r="L80" s="121">
        <f>SUM('Water Conveyance Cash Flow'!J78)</f>
        <v>107032.76336111664</v>
      </c>
      <c r="M80" s="196">
        <f>SUM('Water Conveyance Cash Flow'!D78:H78)</f>
        <v>148628.20599000002</v>
      </c>
      <c r="N80" s="195">
        <f>'Sludge Disposal Cash Flow'!C78</f>
        <v>0</v>
      </c>
      <c r="O80" s="196">
        <f>'Sludge Disposal Cash Flow'!H78-'Sludge Disposal Cash Flow'!C78</f>
        <v>63690.962105877668</v>
      </c>
      <c r="P80" s="195">
        <f>'Salt Disposal Cash Flow'!C78</f>
        <v>0</v>
      </c>
      <c r="Q80" s="197">
        <f>'Salt Disposal Cash Flow'!H78-'Salt Disposal Cash Flow'!C78</f>
        <v>33840.60354275829</v>
      </c>
      <c r="R80" s="209"/>
      <c r="S80" s="211">
        <f t="shared" si="9"/>
        <v>0</v>
      </c>
      <c r="T80" s="212">
        <f t="shared" si="10"/>
        <v>0</v>
      </c>
      <c r="U80" s="202">
        <f t="shared" si="11"/>
        <v>707214.15952177264</v>
      </c>
      <c r="V80" s="196">
        <f t="shared" si="12"/>
        <v>123762.47791631021</v>
      </c>
      <c r="W80" s="195">
        <f t="shared" si="13"/>
        <v>933305.4133380698</v>
      </c>
      <c r="X80" s="206">
        <f t="shared" si="14"/>
        <v>163328.44733416219</v>
      </c>
      <c r="Y80" s="205">
        <f t="shared" si="15"/>
        <v>1927610.4981103148</v>
      </c>
    </row>
    <row r="81" spans="1:25" ht="13" x14ac:dyDescent="0.3">
      <c r="A81" s="193">
        <v>70</v>
      </c>
      <c r="B81" s="222">
        <f>'Short Term ETS Cash Flow'!C80</f>
        <v>0</v>
      </c>
      <c r="C81" s="189">
        <f>'Short Term ETS Cash Flow'!H80</f>
        <v>0</v>
      </c>
      <c r="D81" s="192">
        <f>SUM('Short Term ETS Cash Flow'!D80:F80)</f>
        <v>0</v>
      </c>
      <c r="E81" s="191">
        <f>'Long Term ETS Cash Flow'!C79</f>
        <v>0</v>
      </c>
      <c r="F81" s="189">
        <f>SUM('Long Term ETS Cash Flow'!M79)</f>
        <v>3161.4007762149072</v>
      </c>
      <c r="G81" s="192">
        <f>SUM('Long Term ETS Cash Flow'!D79:J79)</f>
        <v>52244.518979999993</v>
      </c>
      <c r="H81" s="195">
        <f>'STS Cash Flow'!B80</f>
        <v>0</v>
      </c>
      <c r="I81" s="121">
        <f>SUM('STS Cash Flow'!F80:K80)</f>
        <v>597019.99538444111</v>
      </c>
      <c r="J81" s="121">
        <f>SUM('STS Cash Flow'!C80:E80)</f>
        <v>634901.12271943374</v>
      </c>
      <c r="K81" s="195">
        <f>'Water Conveyance Cash Flow'!C79</f>
        <v>0</v>
      </c>
      <c r="L81" s="121">
        <f>SUM('Water Conveyance Cash Flow'!J79)</f>
        <v>107032.76336111664</v>
      </c>
      <c r="M81" s="196">
        <f>SUM('Water Conveyance Cash Flow'!D79:H79)</f>
        <v>148628.20599000002</v>
      </c>
      <c r="N81" s="195">
        <f>'Sludge Disposal Cash Flow'!C79</f>
        <v>0</v>
      </c>
      <c r="O81" s="196">
        <f>'Sludge Disposal Cash Flow'!H79-'Sludge Disposal Cash Flow'!C79</f>
        <v>63690.962105877668</v>
      </c>
      <c r="P81" s="195">
        <f>'Salt Disposal Cash Flow'!C79</f>
        <v>0</v>
      </c>
      <c r="Q81" s="197">
        <f>'Salt Disposal Cash Flow'!H79-'Salt Disposal Cash Flow'!C79</f>
        <v>33840.60354275829</v>
      </c>
      <c r="R81" s="209"/>
      <c r="S81" s="211">
        <f t="shared" si="9"/>
        <v>0</v>
      </c>
      <c r="T81" s="212">
        <f t="shared" si="10"/>
        <v>0</v>
      </c>
      <c r="U81" s="202">
        <f t="shared" si="11"/>
        <v>707214.15952177264</v>
      </c>
      <c r="V81" s="196">
        <f t="shared" si="12"/>
        <v>123762.47791631021</v>
      </c>
      <c r="W81" s="195">
        <f t="shared" si="13"/>
        <v>933305.4133380698</v>
      </c>
      <c r="X81" s="206">
        <f t="shared" si="14"/>
        <v>163328.44733416219</v>
      </c>
      <c r="Y81" s="205">
        <f t="shared" si="15"/>
        <v>1927610.4981103148</v>
      </c>
    </row>
    <row r="82" spans="1:25" ht="13" x14ac:dyDescent="0.3">
      <c r="A82" s="193">
        <v>71</v>
      </c>
      <c r="B82" s="222">
        <f>'Short Term ETS Cash Flow'!C81</f>
        <v>0</v>
      </c>
      <c r="C82" s="189">
        <f>'Short Term ETS Cash Flow'!H81</f>
        <v>0</v>
      </c>
      <c r="D82" s="192">
        <f>SUM('Short Term ETS Cash Flow'!D81:F81)</f>
        <v>0</v>
      </c>
      <c r="E82" s="191">
        <f>'Long Term ETS Cash Flow'!C80</f>
        <v>0</v>
      </c>
      <c r="F82" s="189">
        <f>SUM('Long Term ETS Cash Flow'!M80)</f>
        <v>3161.4007762149072</v>
      </c>
      <c r="G82" s="192">
        <f>SUM('Long Term ETS Cash Flow'!D80:J80)</f>
        <v>52244.518979999993</v>
      </c>
      <c r="H82" s="195">
        <f>'STS Cash Flow'!B81</f>
        <v>0</v>
      </c>
      <c r="I82" s="121">
        <f>SUM('STS Cash Flow'!F81:K81)</f>
        <v>597019.99538444111</v>
      </c>
      <c r="J82" s="121">
        <f>SUM('STS Cash Flow'!C81:E81)</f>
        <v>634901.12271943374</v>
      </c>
      <c r="K82" s="195">
        <f>'Water Conveyance Cash Flow'!C80</f>
        <v>0</v>
      </c>
      <c r="L82" s="121">
        <f>SUM('Water Conveyance Cash Flow'!J80)</f>
        <v>107032.76336111664</v>
      </c>
      <c r="M82" s="196">
        <f>SUM('Water Conveyance Cash Flow'!D80:H80)</f>
        <v>148628.20599000002</v>
      </c>
      <c r="N82" s="195">
        <f>'Sludge Disposal Cash Flow'!C80</f>
        <v>0</v>
      </c>
      <c r="O82" s="196">
        <f>'Sludge Disposal Cash Flow'!H80-'Sludge Disposal Cash Flow'!C80</f>
        <v>63690.962105877668</v>
      </c>
      <c r="P82" s="195">
        <f>'Salt Disposal Cash Flow'!C80</f>
        <v>0</v>
      </c>
      <c r="Q82" s="197">
        <f>'Salt Disposal Cash Flow'!H80-'Salt Disposal Cash Flow'!C80</f>
        <v>33840.60354275829</v>
      </c>
      <c r="R82" s="209"/>
      <c r="S82" s="211">
        <f t="shared" si="9"/>
        <v>0</v>
      </c>
      <c r="T82" s="212">
        <f t="shared" si="10"/>
        <v>0</v>
      </c>
      <c r="U82" s="202">
        <f t="shared" si="11"/>
        <v>707214.15952177264</v>
      </c>
      <c r="V82" s="196">
        <f t="shared" si="12"/>
        <v>123762.47791631021</v>
      </c>
      <c r="W82" s="195">
        <f t="shared" si="13"/>
        <v>933305.4133380698</v>
      </c>
      <c r="X82" s="206">
        <f t="shared" si="14"/>
        <v>163328.44733416219</v>
      </c>
      <c r="Y82" s="205">
        <f t="shared" si="15"/>
        <v>1927610.4981103148</v>
      </c>
    </row>
    <row r="83" spans="1:25" ht="13" x14ac:dyDescent="0.3">
      <c r="A83" s="193">
        <v>72</v>
      </c>
      <c r="B83" s="222">
        <f>'Short Term ETS Cash Flow'!C82</f>
        <v>0</v>
      </c>
      <c r="C83" s="189">
        <f>'Short Term ETS Cash Flow'!H82</f>
        <v>0</v>
      </c>
      <c r="D83" s="192">
        <f>SUM('Short Term ETS Cash Flow'!D82:F82)</f>
        <v>0</v>
      </c>
      <c r="E83" s="191">
        <f>'Long Term ETS Cash Flow'!C81</f>
        <v>0</v>
      </c>
      <c r="F83" s="189">
        <f>SUM('Long Term ETS Cash Flow'!M81)</f>
        <v>3161.4007762149072</v>
      </c>
      <c r="G83" s="192">
        <f>SUM('Long Term ETS Cash Flow'!D81:J81)</f>
        <v>52244.518979999993</v>
      </c>
      <c r="H83" s="195">
        <f>'STS Cash Flow'!B82</f>
        <v>0</v>
      </c>
      <c r="I83" s="121">
        <f>SUM('STS Cash Flow'!F82:K82)</f>
        <v>597019.99538444111</v>
      </c>
      <c r="J83" s="121">
        <f>SUM('STS Cash Flow'!C82:E82)</f>
        <v>634901.12271943374</v>
      </c>
      <c r="K83" s="195">
        <f>'Water Conveyance Cash Flow'!C81</f>
        <v>0</v>
      </c>
      <c r="L83" s="121">
        <f>SUM('Water Conveyance Cash Flow'!J81)</f>
        <v>107032.76336111664</v>
      </c>
      <c r="M83" s="196">
        <f>SUM('Water Conveyance Cash Flow'!D81:H81)</f>
        <v>148628.20599000002</v>
      </c>
      <c r="N83" s="195">
        <f>'Sludge Disposal Cash Flow'!C81</f>
        <v>0</v>
      </c>
      <c r="O83" s="196">
        <f>'Sludge Disposal Cash Flow'!H81-'Sludge Disposal Cash Flow'!C81</f>
        <v>63690.962105877668</v>
      </c>
      <c r="P83" s="195">
        <f>'Salt Disposal Cash Flow'!C81</f>
        <v>0</v>
      </c>
      <c r="Q83" s="197">
        <f>'Salt Disposal Cash Flow'!H81-'Salt Disposal Cash Flow'!C81</f>
        <v>33840.60354275829</v>
      </c>
      <c r="R83" s="209"/>
      <c r="S83" s="211">
        <f t="shared" si="9"/>
        <v>0</v>
      </c>
      <c r="T83" s="212">
        <f t="shared" si="10"/>
        <v>0</v>
      </c>
      <c r="U83" s="202">
        <f t="shared" si="11"/>
        <v>707214.15952177264</v>
      </c>
      <c r="V83" s="196">
        <f t="shared" si="12"/>
        <v>123762.47791631021</v>
      </c>
      <c r="W83" s="195">
        <f t="shared" si="13"/>
        <v>933305.4133380698</v>
      </c>
      <c r="X83" s="206">
        <f t="shared" si="14"/>
        <v>163328.44733416219</v>
      </c>
      <c r="Y83" s="205">
        <f t="shared" si="15"/>
        <v>1927610.4981103148</v>
      </c>
    </row>
    <row r="84" spans="1:25" ht="13" x14ac:dyDescent="0.3">
      <c r="A84" s="193">
        <v>73</v>
      </c>
      <c r="B84" s="222">
        <f>'Short Term ETS Cash Flow'!C83</f>
        <v>0</v>
      </c>
      <c r="C84" s="189">
        <f>'Short Term ETS Cash Flow'!H83</f>
        <v>0</v>
      </c>
      <c r="D84" s="192">
        <f>SUM('Short Term ETS Cash Flow'!D83:F83)</f>
        <v>0</v>
      </c>
      <c r="E84" s="191">
        <f>'Long Term ETS Cash Flow'!C82</f>
        <v>0</v>
      </c>
      <c r="F84" s="189">
        <f>SUM('Long Term ETS Cash Flow'!M82)</f>
        <v>3161.4007762149072</v>
      </c>
      <c r="G84" s="192">
        <f>SUM('Long Term ETS Cash Flow'!D82:J82)</f>
        <v>52244.518979999993</v>
      </c>
      <c r="H84" s="195">
        <f>'STS Cash Flow'!B83</f>
        <v>0</v>
      </c>
      <c r="I84" s="121">
        <f>SUM('STS Cash Flow'!F83:K83)</f>
        <v>597019.99097774387</v>
      </c>
      <c r="J84" s="121">
        <f>SUM('STS Cash Flow'!C83:E83)</f>
        <v>634901.12271943374</v>
      </c>
      <c r="K84" s="195">
        <f>'Water Conveyance Cash Flow'!C82</f>
        <v>0</v>
      </c>
      <c r="L84" s="121">
        <f>SUM('Water Conveyance Cash Flow'!J82)</f>
        <v>107032.76336111664</v>
      </c>
      <c r="M84" s="196">
        <f>SUM('Water Conveyance Cash Flow'!D82:H82)</f>
        <v>148628.20599000002</v>
      </c>
      <c r="N84" s="195">
        <f>'Sludge Disposal Cash Flow'!C82</f>
        <v>0</v>
      </c>
      <c r="O84" s="196">
        <f>'Sludge Disposal Cash Flow'!H82-'Sludge Disposal Cash Flow'!C82</f>
        <v>63690.961809025881</v>
      </c>
      <c r="P84" s="195">
        <f>'Salt Disposal Cash Flow'!C82</f>
        <v>0</v>
      </c>
      <c r="Q84" s="197">
        <f>'Salt Disposal Cash Flow'!H82-'Salt Disposal Cash Flow'!C82</f>
        <v>33840.60354275829</v>
      </c>
      <c r="R84" s="209"/>
      <c r="S84" s="211">
        <f t="shared" si="9"/>
        <v>0</v>
      </c>
      <c r="T84" s="212">
        <f t="shared" si="10"/>
        <v>0</v>
      </c>
      <c r="U84" s="202">
        <f t="shared" si="11"/>
        <v>707214.15511507541</v>
      </c>
      <c r="V84" s="196">
        <f t="shared" si="12"/>
        <v>123762.47714513818</v>
      </c>
      <c r="W84" s="195">
        <f t="shared" si="13"/>
        <v>933305.41304121795</v>
      </c>
      <c r="X84" s="206">
        <f t="shared" si="14"/>
        <v>163328.44728221314</v>
      </c>
      <c r="Y84" s="205">
        <f t="shared" si="15"/>
        <v>1927610.4925836446</v>
      </c>
    </row>
    <row r="85" spans="1:25" ht="13" x14ac:dyDescent="0.3">
      <c r="A85" s="193">
        <v>74</v>
      </c>
      <c r="B85" s="222">
        <f>'Short Term ETS Cash Flow'!C84</f>
        <v>0</v>
      </c>
      <c r="C85" s="189">
        <f>'Short Term ETS Cash Flow'!H84</f>
        <v>0</v>
      </c>
      <c r="D85" s="192">
        <f>SUM('Short Term ETS Cash Flow'!D84:F84)</f>
        <v>0</v>
      </c>
      <c r="E85" s="191">
        <f>'Long Term ETS Cash Flow'!C83</f>
        <v>0</v>
      </c>
      <c r="F85" s="189">
        <f>SUM('Long Term ETS Cash Flow'!M83)</f>
        <v>3161.4007762149072</v>
      </c>
      <c r="G85" s="192">
        <f>SUM('Long Term ETS Cash Flow'!D83:J83)</f>
        <v>52244.518979999993</v>
      </c>
      <c r="H85" s="195">
        <f>'STS Cash Flow'!B84</f>
        <v>0</v>
      </c>
      <c r="I85" s="121">
        <f>SUM('STS Cash Flow'!F84:K84)</f>
        <v>597019.99538444111</v>
      </c>
      <c r="J85" s="121">
        <f>SUM('STS Cash Flow'!C84:E84)</f>
        <v>634901.12271943374</v>
      </c>
      <c r="K85" s="195">
        <f>'Water Conveyance Cash Flow'!C83</f>
        <v>0</v>
      </c>
      <c r="L85" s="121">
        <f>SUM('Water Conveyance Cash Flow'!J83)</f>
        <v>107032.76336111664</v>
      </c>
      <c r="M85" s="196">
        <f>SUM('Water Conveyance Cash Flow'!D83:H83)</f>
        <v>148628.20599000002</v>
      </c>
      <c r="N85" s="195">
        <f>'Sludge Disposal Cash Flow'!C83</f>
        <v>0</v>
      </c>
      <c r="O85" s="196">
        <f>'Sludge Disposal Cash Flow'!H83-'Sludge Disposal Cash Flow'!C83</f>
        <v>63690.962105877668</v>
      </c>
      <c r="P85" s="195">
        <f>'Salt Disposal Cash Flow'!C83</f>
        <v>0</v>
      </c>
      <c r="Q85" s="197">
        <f>'Salt Disposal Cash Flow'!H83-'Salt Disposal Cash Flow'!C83</f>
        <v>33840.60354275829</v>
      </c>
      <c r="R85" s="209"/>
      <c r="S85" s="211">
        <f t="shared" si="9"/>
        <v>0</v>
      </c>
      <c r="T85" s="212">
        <f t="shared" si="10"/>
        <v>0</v>
      </c>
      <c r="U85" s="202">
        <f t="shared" si="11"/>
        <v>707214.15952177264</v>
      </c>
      <c r="V85" s="196">
        <f t="shared" si="12"/>
        <v>123762.47791631021</v>
      </c>
      <c r="W85" s="195">
        <f t="shared" si="13"/>
        <v>933305.4133380698</v>
      </c>
      <c r="X85" s="206">
        <f t="shared" si="14"/>
        <v>163328.44733416219</v>
      </c>
      <c r="Y85" s="205">
        <f t="shared" si="15"/>
        <v>1927610.4981103148</v>
      </c>
    </row>
    <row r="86" spans="1:25" ht="13" x14ac:dyDescent="0.3">
      <c r="A86" s="193">
        <v>75</v>
      </c>
      <c r="B86" s="222">
        <f>'Short Term ETS Cash Flow'!C85</f>
        <v>0</v>
      </c>
      <c r="C86" s="189">
        <f>'Short Term ETS Cash Flow'!H85</f>
        <v>0</v>
      </c>
      <c r="D86" s="192">
        <f>SUM('Short Term ETS Cash Flow'!D85:F85)</f>
        <v>0</v>
      </c>
      <c r="E86" s="191">
        <f>'Long Term ETS Cash Flow'!C84</f>
        <v>0</v>
      </c>
      <c r="F86" s="189">
        <f>SUM('Long Term ETS Cash Flow'!M84)</f>
        <v>3161.4007762149072</v>
      </c>
      <c r="G86" s="192">
        <f>SUM('Long Term ETS Cash Flow'!D84:J84)</f>
        <v>52244.518979999993</v>
      </c>
      <c r="H86" s="195">
        <f>'STS Cash Flow'!B85</f>
        <v>0</v>
      </c>
      <c r="I86" s="121">
        <f>SUM('STS Cash Flow'!F85:K85)</f>
        <v>597019.99538444111</v>
      </c>
      <c r="J86" s="121">
        <f>SUM('STS Cash Flow'!C85:E85)</f>
        <v>634901.12271943374</v>
      </c>
      <c r="K86" s="195">
        <f>'Water Conveyance Cash Flow'!C84</f>
        <v>0</v>
      </c>
      <c r="L86" s="121">
        <f>SUM('Water Conveyance Cash Flow'!J84)</f>
        <v>107032.76336111664</v>
      </c>
      <c r="M86" s="196">
        <f>SUM('Water Conveyance Cash Flow'!D84:H84)</f>
        <v>148628.20599000002</v>
      </c>
      <c r="N86" s="195">
        <f>'Sludge Disposal Cash Flow'!C84</f>
        <v>0</v>
      </c>
      <c r="O86" s="196">
        <f>'Sludge Disposal Cash Flow'!H84-'Sludge Disposal Cash Flow'!C84</f>
        <v>63690.962105877668</v>
      </c>
      <c r="P86" s="195">
        <f>'Salt Disposal Cash Flow'!C84</f>
        <v>0</v>
      </c>
      <c r="Q86" s="197">
        <f>'Salt Disposal Cash Flow'!H84-'Salt Disposal Cash Flow'!C84</f>
        <v>33840.60354275829</v>
      </c>
      <c r="R86" s="209"/>
      <c r="S86" s="211">
        <f t="shared" si="9"/>
        <v>0</v>
      </c>
      <c r="T86" s="212">
        <f t="shared" si="10"/>
        <v>0</v>
      </c>
      <c r="U86" s="202">
        <f t="shared" si="11"/>
        <v>707214.15952177264</v>
      </c>
      <c r="V86" s="196">
        <f t="shared" si="12"/>
        <v>123762.47791631021</v>
      </c>
      <c r="W86" s="195">
        <f t="shared" si="13"/>
        <v>933305.4133380698</v>
      </c>
      <c r="X86" s="206">
        <f t="shared" si="14"/>
        <v>163328.44733416219</v>
      </c>
      <c r="Y86" s="205">
        <f t="shared" si="15"/>
        <v>1927610.4981103148</v>
      </c>
    </row>
    <row r="87" spans="1:25" ht="13" x14ac:dyDescent="0.3">
      <c r="A87" s="193">
        <v>76</v>
      </c>
      <c r="B87" s="222">
        <f>'Short Term ETS Cash Flow'!C86</f>
        <v>0</v>
      </c>
      <c r="C87" s="189">
        <f>'Short Term ETS Cash Flow'!H86</f>
        <v>0</v>
      </c>
      <c r="D87" s="192">
        <f>SUM('Short Term ETS Cash Flow'!D86:F86)</f>
        <v>0</v>
      </c>
      <c r="E87" s="191">
        <f>'Long Term ETS Cash Flow'!C85</f>
        <v>0</v>
      </c>
      <c r="F87" s="189">
        <f>SUM('Long Term ETS Cash Flow'!M85)</f>
        <v>3161.4007762149072</v>
      </c>
      <c r="G87" s="192">
        <f>SUM('Long Term ETS Cash Flow'!D85:J85)</f>
        <v>52244.518979999993</v>
      </c>
      <c r="H87" s="195">
        <f>'STS Cash Flow'!B86</f>
        <v>0</v>
      </c>
      <c r="I87" s="121">
        <f>SUM('STS Cash Flow'!F86:K86)</f>
        <v>597019.99538444111</v>
      </c>
      <c r="J87" s="121">
        <f>SUM('STS Cash Flow'!C86:E86)</f>
        <v>634901.12271943374</v>
      </c>
      <c r="K87" s="195">
        <f>'Water Conveyance Cash Flow'!C85</f>
        <v>0</v>
      </c>
      <c r="L87" s="121">
        <f>SUM('Water Conveyance Cash Flow'!J85)</f>
        <v>107032.76336111664</v>
      </c>
      <c r="M87" s="196">
        <f>SUM('Water Conveyance Cash Flow'!D85:H85)</f>
        <v>148628.20599000002</v>
      </c>
      <c r="N87" s="195">
        <f>'Sludge Disposal Cash Flow'!C85</f>
        <v>0</v>
      </c>
      <c r="O87" s="196">
        <f>'Sludge Disposal Cash Flow'!H85-'Sludge Disposal Cash Flow'!C85</f>
        <v>63690.962105877668</v>
      </c>
      <c r="P87" s="195">
        <f>'Salt Disposal Cash Flow'!C85</f>
        <v>0</v>
      </c>
      <c r="Q87" s="197">
        <f>'Salt Disposal Cash Flow'!H85-'Salt Disposal Cash Flow'!C85</f>
        <v>33840.60354275829</v>
      </c>
      <c r="R87" s="209"/>
      <c r="S87" s="211">
        <f t="shared" si="9"/>
        <v>0</v>
      </c>
      <c r="T87" s="212">
        <f t="shared" si="10"/>
        <v>0</v>
      </c>
      <c r="U87" s="202">
        <f t="shared" si="11"/>
        <v>707214.15952177264</v>
      </c>
      <c r="V87" s="196">
        <f t="shared" si="12"/>
        <v>123762.47791631021</v>
      </c>
      <c r="W87" s="195">
        <f t="shared" si="13"/>
        <v>933305.4133380698</v>
      </c>
      <c r="X87" s="206">
        <f t="shared" si="14"/>
        <v>163328.44733416219</v>
      </c>
      <c r="Y87" s="205">
        <f t="shared" si="15"/>
        <v>1927610.4981103148</v>
      </c>
    </row>
    <row r="88" spans="1:25" ht="13" x14ac:dyDescent="0.3">
      <c r="A88" s="193">
        <v>77</v>
      </c>
      <c r="B88" s="222">
        <f>'Short Term ETS Cash Flow'!C87</f>
        <v>0</v>
      </c>
      <c r="C88" s="189">
        <f>'Short Term ETS Cash Flow'!H87</f>
        <v>0</v>
      </c>
      <c r="D88" s="192">
        <f>SUM('Short Term ETS Cash Flow'!D87:F87)</f>
        <v>0</v>
      </c>
      <c r="E88" s="191">
        <f>'Long Term ETS Cash Flow'!C86</f>
        <v>0</v>
      </c>
      <c r="F88" s="189">
        <f>SUM('Long Term ETS Cash Flow'!M86)</f>
        <v>3161.4007762149072</v>
      </c>
      <c r="G88" s="192">
        <f>SUM('Long Term ETS Cash Flow'!D86:J86)</f>
        <v>52244.518979999993</v>
      </c>
      <c r="H88" s="195">
        <f>'STS Cash Flow'!B87</f>
        <v>0</v>
      </c>
      <c r="I88" s="121">
        <f>SUM('STS Cash Flow'!F87:K87)</f>
        <v>597019.99538444111</v>
      </c>
      <c r="J88" s="121">
        <f>SUM('STS Cash Flow'!C87:E87)</f>
        <v>634901.12271943374</v>
      </c>
      <c r="K88" s="195">
        <f>'Water Conveyance Cash Flow'!C86</f>
        <v>0</v>
      </c>
      <c r="L88" s="121">
        <f>SUM('Water Conveyance Cash Flow'!J86)</f>
        <v>107032.76336111664</v>
      </c>
      <c r="M88" s="196">
        <f>SUM('Water Conveyance Cash Flow'!D86:H86)</f>
        <v>148628.20599000002</v>
      </c>
      <c r="N88" s="195">
        <f>'Sludge Disposal Cash Flow'!C86</f>
        <v>0</v>
      </c>
      <c r="O88" s="196">
        <f>'Sludge Disposal Cash Flow'!H86-'Sludge Disposal Cash Flow'!C86</f>
        <v>63690.962105877668</v>
      </c>
      <c r="P88" s="195">
        <f>'Salt Disposal Cash Flow'!C86</f>
        <v>0</v>
      </c>
      <c r="Q88" s="197">
        <f>'Salt Disposal Cash Flow'!H86-'Salt Disposal Cash Flow'!C86</f>
        <v>33840.60354275829</v>
      </c>
      <c r="R88" s="209"/>
      <c r="S88" s="211">
        <f t="shared" si="9"/>
        <v>0</v>
      </c>
      <c r="T88" s="212">
        <f t="shared" si="10"/>
        <v>0</v>
      </c>
      <c r="U88" s="202">
        <f t="shared" si="11"/>
        <v>707214.15952177264</v>
      </c>
      <c r="V88" s="196">
        <f t="shared" si="12"/>
        <v>123762.47791631021</v>
      </c>
      <c r="W88" s="195">
        <f t="shared" si="13"/>
        <v>933305.4133380698</v>
      </c>
      <c r="X88" s="206">
        <f t="shared" si="14"/>
        <v>163328.44733416219</v>
      </c>
      <c r="Y88" s="205">
        <f t="shared" si="15"/>
        <v>1927610.4981103148</v>
      </c>
    </row>
    <row r="89" spans="1:25" ht="13" x14ac:dyDescent="0.3">
      <c r="A89" s="193">
        <v>78</v>
      </c>
      <c r="B89" s="222">
        <f>'Short Term ETS Cash Flow'!C88</f>
        <v>0</v>
      </c>
      <c r="C89" s="189">
        <f>'Short Term ETS Cash Flow'!H88</f>
        <v>0</v>
      </c>
      <c r="D89" s="192">
        <f>SUM('Short Term ETS Cash Flow'!D88:F88)</f>
        <v>0</v>
      </c>
      <c r="E89" s="191">
        <f>'Long Term ETS Cash Flow'!C87</f>
        <v>0</v>
      </c>
      <c r="F89" s="189">
        <f>SUM('Long Term ETS Cash Flow'!M87)</f>
        <v>3161.4007762149072</v>
      </c>
      <c r="G89" s="192">
        <f>SUM('Long Term ETS Cash Flow'!D87:J87)</f>
        <v>52244.518979999993</v>
      </c>
      <c r="H89" s="195">
        <f>'STS Cash Flow'!B88</f>
        <v>0</v>
      </c>
      <c r="I89" s="121">
        <f>SUM('STS Cash Flow'!F88:K88)</f>
        <v>597019.99538444111</v>
      </c>
      <c r="J89" s="121">
        <f>SUM('STS Cash Flow'!C88:E88)</f>
        <v>634901.12271943374</v>
      </c>
      <c r="K89" s="195">
        <f>'Water Conveyance Cash Flow'!C87</f>
        <v>0</v>
      </c>
      <c r="L89" s="121">
        <f>SUM('Water Conveyance Cash Flow'!J87)</f>
        <v>107032.76336111664</v>
      </c>
      <c r="M89" s="196">
        <f>SUM('Water Conveyance Cash Flow'!D87:H87)</f>
        <v>148628.20599000002</v>
      </c>
      <c r="N89" s="195">
        <f>'Sludge Disposal Cash Flow'!C87</f>
        <v>0</v>
      </c>
      <c r="O89" s="196">
        <f>'Sludge Disposal Cash Flow'!H87-'Sludge Disposal Cash Flow'!C87</f>
        <v>63690.962105877668</v>
      </c>
      <c r="P89" s="195">
        <f>'Salt Disposal Cash Flow'!C87</f>
        <v>0</v>
      </c>
      <c r="Q89" s="197">
        <f>'Salt Disposal Cash Flow'!H87-'Salt Disposal Cash Flow'!C87</f>
        <v>33840.60354275829</v>
      </c>
      <c r="R89" s="209"/>
      <c r="S89" s="211">
        <f t="shared" si="9"/>
        <v>0</v>
      </c>
      <c r="T89" s="212">
        <f t="shared" si="10"/>
        <v>0</v>
      </c>
      <c r="U89" s="202">
        <f t="shared" si="11"/>
        <v>707214.15952177264</v>
      </c>
      <c r="V89" s="196">
        <f t="shared" si="12"/>
        <v>123762.47791631021</v>
      </c>
      <c r="W89" s="195">
        <f t="shared" si="13"/>
        <v>933305.4133380698</v>
      </c>
      <c r="X89" s="206">
        <f t="shared" si="14"/>
        <v>163328.44733416219</v>
      </c>
      <c r="Y89" s="205">
        <f t="shared" si="15"/>
        <v>1927610.4981103148</v>
      </c>
    </row>
    <row r="90" spans="1:25" ht="13" x14ac:dyDescent="0.3">
      <c r="A90" s="193">
        <v>79</v>
      </c>
      <c r="B90" s="222">
        <f>'Short Term ETS Cash Flow'!C89</f>
        <v>0</v>
      </c>
      <c r="C90" s="189">
        <f>'Short Term ETS Cash Flow'!H89</f>
        <v>0</v>
      </c>
      <c r="D90" s="192">
        <f>SUM('Short Term ETS Cash Flow'!D89:F89)</f>
        <v>0</v>
      </c>
      <c r="E90" s="191">
        <f>'Long Term ETS Cash Flow'!C88</f>
        <v>0</v>
      </c>
      <c r="F90" s="189">
        <f>SUM('Long Term ETS Cash Flow'!M88)</f>
        <v>3161.4007762149072</v>
      </c>
      <c r="G90" s="192">
        <f>SUM('Long Term ETS Cash Flow'!D88:J88)</f>
        <v>52244.518979999993</v>
      </c>
      <c r="H90" s="195">
        <f>'STS Cash Flow'!B89</f>
        <v>0</v>
      </c>
      <c r="I90" s="121">
        <f>SUM('STS Cash Flow'!F89:K89)</f>
        <v>597019.99538444111</v>
      </c>
      <c r="J90" s="121">
        <f>SUM('STS Cash Flow'!C89:E89)</f>
        <v>634901.12271943374</v>
      </c>
      <c r="K90" s="195">
        <f>'Water Conveyance Cash Flow'!C88</f>
        <v>0</v>
      </c>
      <c r="L90" s="121">
        <f>SUM('Water Conveyance Cash Flow'!J88)</f>
        <v>107032.76336111664</v>
      </c>
      <c r="M90" s="196">
        <f>SUM('Water Conveyance Cash Flow'!D88:H88)</f>
        <v>148628.20599000002</v>
      </c>
      <c r="N90" s="195">
        <f>'Sludge Disposal Cash Flow'!C88</f>
        <v>0</v>
      </c>
      <c r="O90" s="196">
        <f>'Sludge Disposal Cash Flow'!H88-'Sludge Disposal Cash Flow'!C88</f>
        <v>63690.962105877668</v>
      </c>
      <c r="P90" s="195">
        <f>'Salt Disposal Cash Flow'!C88</f>
        <v>0</v>
      </c>
      <c r="Q90" s="197">
        <f>'Salt Disposal Cash Flow'!H88-'Salt Disposal Cash Flow'!C88</f>
        <v>33840.60354275829</v>
      </c>
      <c r="R90" s="209"/>
      <c r="S90" s="211">
        <f t="shared" si="9"/>
        <v>0</v>
      </c>
      <c r="T90" s="212">
        <f t="shared" si="10"/>
        <v>0</v>
      </c>
      <c r="U90" s="202">
        <f t="shared" si="11"/>
        <v>707214.15952177264</v>
      </c>
      <c r="V90" s="196">
        <f t="shared" si="12"/>
        <v>123762.47791631021</v>
      </c>
      <c r="W90" s="195">
        <f t="shared" si="13"/>
        <v>933305.4133380698</v>
      </c>
      <c r="X90" s="206">
        <f t="shared" si="14"/>
        <v>163328.44733416219</v>
      </c>
      <c r="Y90" s="205">
        <f t="shared" si="15"/>
        <v>1927610.4981103148</v>
      </c>
    </row>
    <row r="91" spans="1:25" ht="13" x14ac:dyDescent="0.3">
      <c r="A91" s="193">
        <v>80</v>
      </c>
      <c r="B91" s="222">
        <f>'Short Term ETS Cash Flow'!C90</f>
        <v>0</v>
      </c>
      <c r="C91" s="189">
        <f>'Short Term ETS Cash Flow'!H90</f>
        <v>0</v>
      </c>
      <c r="D91" s="192">
        <f>SUM('Short Term ETS Cash Flow'!D90:F90)</f>
        <v>0</v>
      </c>
      <c r="E91" s="191">
        <f>'Long Term ETS Cash Flow'!C89</f>
        <v>0</v>
      </c>
      <c r="F91" s="189">
        <f>SUM('Long Term ETS Cash Flow'!M89)</f>
        <v>3161.4007762149072</v>
      </c>
      <c r="G91" s="192">
        <f>SUM('Long Term ETS Cash Flow'!D89:J89)</f>
        <v>52244.518979999993</v>
      </c>
      <c r="H91" s="195">
        <f>'STS Cash Flow'!B90</f>
        <v>0</v>
      </c>
      <c r="I91" s="121">
        <f>SUM('STS Cash Flow'!F90:K90)</f>
        <v>597019.99538444111</v>
      </c>
      <c r="J91" s="121">
        <f>SUM('STS Cash Flow'!C90:E90)</f>
        <v>634901.12271943374</v>
      </c>
      <c r="K91" s="195">
        <f>'Water Conveyance Cash Flow'!C89</f>
        <v>0</v>
      </c>
      <c r="L91" s="121">
        <f>SUM('Water Conveyance Cash Flow'!J89)</f>
        <v>107032.76336111664</v>
      </c>
      <c r="M91" s="196">
        <f>SUM('Water Conveyance Cash Flow'!D89:H89)</f>
        <v>148628.20599000002</v>
      </c>
      <c r="N91" s="195">
        <f>'Sludge Disposal Cash Flow'!C89</f>
        <v>0</v>
      </c>
      <c r="O91" s="196">
        <f>'Sludge Disposal Cash Flow'!H89-'Sludge Disposal Cash Flow'!C89</f>
        <v>63690.962105877668</v>
      </c>
      <c r="P91" s="195">
        <f>'Salt Disposal Cash Flow'!C89</f>
        <v>0</v>
      </c>
      <c r="Q91" s="197">
        <f>'Salt Disposal Cash Flow'!H89-'Salt Disposal Cash Flow'!C89</f>
        <v>33840.60354275829</v>
      </c>
      <c r="R91" s="209"/>
      <c r="S91" s="211">
        <f t="shared" si="9"/>
        <v>0</v>
      </c>
      <c r="T91" s="212">
        <f t="shared" si="10"/>
        <v>0</v>
      </c>
      <c r="U91" s="202">
        <f t="shared" si="11"/>
        <v>707214.15952177264</v>
      </c>
      <c r="V91" s="196">
        <f t="shared" si="12"/>
        <v>123762.47791631021</v>
      </c>
      <c r="W91" s="195">
        <f t="shared" si="13"/>
        <v>933305.4133380698</v>
      </c>
      <c r="X91" s="206">
        <f t="shared" si="14"/>
        <v>163328.44733416219</v>
      </c>
      <c r="Y91" s="205">
        <f t="shared" si="15"/>
        <v>1927610.4981103148</v>
      </c>
    </row>
    <row r="92" spans="1:25" ht="13" x14ac:dyDescent="0.3">
      <c r="A92" s="193">
        <v>81</v>
      </c>
      <c r="B92" s="222">
        <f>'Short Term ETS Cash Flow'!C91</f>
        <v>0</v>
      </c>
      <c r="C92" s="189">
        <f>'Short Term ETS Cash Flow'!H91</f>
        <v>0</v>
      </c>
      <c r="D92" s="192">
        <f>SUM('Short Term ETS Cash Flow'!D91:F91)</f>
        <v>0</v>
      </c>
      <c r="E92" s="191">
        <f>'Long Term ETS Cash Flow'!C90</f>
        <v>0</v>
      </c>
      <c r="F92" s="189">
        <f>SUM('Long Term ETS Cash Flow'!M90)</f>
        <v>3161.4007762149072</v>
      </c>
      <c r="G92" s="192">
        <f>SUM('Long Term ETS Cash Flow'!D90:J90)</f>
        <v>52244.518979999993</v>
      </c>
      <c r="H92" s="195">
        <f>'STS Cash Flow'!B91</f>
        <v>0</v>
      </c>
      <c r="I92" s="121">
        <f>SUM('STS Cash Flow'!F91:K91)</f>
        <v>597019.99538444111</v>
      </c>
      <c r="J92" s="121">
        <f>SUM('STS Cash Flow'!C91:E91)</f>
        <v>634901.12271943374</v>
      </c>
      <c r="K92" s="195">
        <f>'Water Conveyance Cash Flow'!C90</f>
        <v>0</v>
      </c>
      <c r="L92" s="121">
        <f>SUM('Water Conveyance Cash Flow'!J90)</f>
        <v>107032.76336111664</v>
      </c>
      <c r="M92" s="196">
        <f>SUM('Water Conveyance Cash Flow'!D90:H90)</f>
        <v>148628.20599000002</v>
      </c>
      <c r="N92" s="195">
        <f>'Sludge Disposal Cash Flow'!C90</f>
        <v>0</v>
      </c>
      <c r="O92" s="196">
        <f>'Sludge Disposal Cash Flow'!H90-'Sludge Disposal Cash Flow'!C90</f>
        <v>63690.962105877668</v>
      </c>
      <c r="P92" s="195">
        <f>'Salt Disposal Cash Flow'!C90</f>
        <v>0</v>
      </c>
      <c r="Q92" s="197">
        <f>'Salt Disposal Cash Flow'!H90-'Salt Disposal Cash Flow'!C90</f>
        <v>33840.60354275829</v>
      </c>
      <c r="R92" s="209"/>
      <c r="S92" s="211">
        <f t="shared" si="9"/>
        <v>0</v>
      </c>
      <c r="T92" s="212">
        <f t="shared" si="10"/>
        <v>0</v>
      </c>
      <c r="U92" s="202">
        <f t="shared" si="11"/>
        <v>707214.15952177264</v>
      </c>
      <c r="V92" s="196">
        <f t="shared" si="12"/>
        <v>123762.47791631021</v>
      </c>
      <c r="W92" s="195">
        <f t="shared" si="13"/>
        <v>933305.4133380698</v>
      </c>
      <c r="X92" s="206">
        <f t="shared" si="14"/>
        <v>163328.44733416219</v>
      </c>
      <c r="Y92" s="205">
        <f t="shared" si="15"/>
        <v>1927610.4981103148</v>
      </c>
    </row>
    <row r="93" spans="1:25" ht="13" x14ac:dyDescent="0.3">
      <c r="A93" s="193">
        <v>82</v>
      </c>
      <c r="B93" s="222">
        <f>'Short Term ETS Cash Flow'!C92</f>
        <v>0</v>
      </c>
      <c r="C93" s="189">
        <f>'Short Term ETS Cash Flow'!H92</f>
        <v>0</v>
      </c>
      <c r="D93" s="192">
        <f>SUM('Short Term ETS Cash Flow'!D92:F92)</f>
        <v>0</v>
      </c>
      <c r="E93" s="191">
        <f>'Long Term ETS Cash Flow'!C91</f>
        <v>0</v>
      </c>
      <c r="F93" s="189">
        <f>SUM('Long Term ETS Cash Flow'!M91)</f>
        <v>3161.4007762149072</v>
      </c>
      <c r="G93" s="192">
        <f>SUM('Long Term ETS Cash Flow'!D91:J91)</f>
        <v>52244.518979999993</v>
      </c>
      <c r="H93" s="195">
        <f>'STS Cash Flow'!B92</f>
        <v>0</v>
      </c>
      <c r="I93" s="121">
        <f>SUM('STS Cash Flow'!F92:K92)</f>
        <v>597019.99097774387</v>
      </c>
      <c r="J93" s="121">
        <f>SUM('STS Cash Flow'!C92:E92)</f>
        <v>634901.12271943374</v>
      </c>
      <c r="K93" s="195">
        <f>'Water Conveyance Cash Flow'!C91</f>
        <v>0</v>
      </c>
      <c r="L93" s="121">
        <f>SUM('Water Conveyance Cash Flow'!J91)</f>
        <v>107032.76336111664</v>
      </c>
      <c r="M93" s="196">
        <f>SUM('Water Conveyance Cash Flow'!D91:H91)</f>
        <v>148628.20599000002</v>
      </c>
      <c r="N93" s="195">
        <f>'Sludge Disposal Cash Flow'!C91</f>
        <v>0</v>
      </c>
      <c r="O93" s="196">
        <f>'Sludge Disposal Cash Flow'!H91-'Sludge Disposal Cash Flow'!C91</f>
        <v>63690.961809025881</v>
      </c>
      <c r="P93" s="195">
        <f>'Salt Disposal Cash Flow'!C91</f>
        <v>0</v>
      </c>
      <c r="Q93" s="197">
        <f>'Salt Disposal Cash Flow'!H91-'Salt Disposal Cash Flow'!C91</f>
        <v>33840.60354275829</v>
      </c>
      <c r="R93" s="209"/>
      <c r="S93" s="211">
        <f t="shared" si="9"/>
        <v>0</v>
      </c>
      <c r="T93" s="212">
        <f t="shared" si="10"/>
        <v>0</v>
      </c>
      <c r="U93" s="202">
        <f t="shared" si="11"/>
        <v>707214.15511507541</v>
      </c>
      <c r="V93" s="196">
        <f t="shared" si="12"/>
        <v>123762.47714513818</v>
      </c>
      <c r="W93" s="195">
        <f t="shared" si="13"/>
        <v>933305.41304121795</v>
      </c>
      <c r="X93" s="206">
        <f t="shared" si="14"/>
        <v>163328.44728221314</v>
      </c>
      <c r="Y93" s="205">
        <f t="shared" si="15"/>
        <v>1927610.4925836446</v>
      </c>
    </row>
    <row r="94" spans="1:25" ht="13" x14ac:dyDescent="0.3">
      <c r="A94" s="193">
        <v>83</v>
      </c>
      <c r="B94" s="222">
        <f>'Short Term ETS Cash Flow'!C93</f>
        <v>0</v>
      </c>
      <c r="C94" s="189">
        <f>'Short Term ETS Cash Flow'!H93</f>
        <v>0</v>
      </c>
      <c r="D94" s="192">
        <f>SUM('Short Term ETS Cash Flow'!D93:F93)</f>
        <v>0</v>
      </c>
      <c r="E94" s="191">
        <f>'Long Term ETS Cash Flow'!C92</f>
        <v>0</v>
      </c>
      <c r="F94" s="189">
        <f>SUM('Long Term ETS Cash Flow'!M92)</f>
        <v>3161.4007762149072</v>
      </c>
      <c r="G94" s="192">
        <f>SUM('Long Term ETS Cash Flow'!D92:J92)</f>
        <v>52244.518979999993</v>
      </c>
      <c r="H94" s="195">
        <f>'STS Cash Flow'!B93</f>
        <v>0</v>
      </c>
      <c r="I94" s="121">
        <f>SUM('STS Cash Flow'!F93:K93)</f>
        <v>597019.99538444111</v>
      </c>
      <c r="J94" s="121">
        <f>SUM('STS Cash Flow'!C93:E93)</f>
        <v>634901.12271943374</v>
      </c>
      <c r="K94" s="195">
        <f>'Water Conveyance Cash Flow'!C92</f>
        <v>0</v>
      </c>
      <c r="L94" s="121">
        <f>SUM('Water Conveyance Cash Flow'!J92)</f>
        <v>107032.76336111664</v>
      </c>
      <c r="M94" s="196">
        <f>SUM('Water Conveyance Cash Flow'!D92:H92)</f>
        <v>148628.20599000002</v>
      </c>
      <c r="N94" s="195">
        <f>'Sludge Disposal Cash Flow'!C92</f>
        <v>0</v>
      </c>
      <c r="O94" s="196">
        <f>'Sludge Disposal Cash Flow'!H92-'Sludge Disposal Cash Flow'!C92</f>
        <v>63690.962105877668</v>
      </c>
      <c r="P94" s="195">
        <f>'Salt Disposal Cash Flow'!C92</f>
        <v>0</v>
      </c>
      <c r="Q94" s="197">
        <f>'Salt Disposal Cash Flow'!H92-'Salt Disposal Cash Flow'!C92</f>
        <v>33840.60354275829</v>
      </c>
      <c r="R94" s="209"/>
      <c r="S94" s="211">
        <f t="shared" si="9"/>
        <v>0</v>
      </c>
      <c r="T94" s="212">
        <f t="shared" si="10"/>
        <v>0</v>
      </c>
      <c r="U94" s="202">
        <f t="shared" si="11"/>
        <v>707214.15952177264</v>
      </c>
      <c r="V94" s="196">
        <f t="shared" si="12"/>
        <v>123762.47791631021</v>
      </c>
      <c r="W94" s="195">
        <f t="shared" si="13"/>
        <v>933305.4133380698</v>
      </c>
      <c r="X94" s="206">
        <f t="shared" si="14"/>
        <v>163328.44733416219</v>
      </c>
      <c r="Y94" s="205">
        <f t="shared" si="15"/>
        <v>1927610.4981103148</v>
      </c>
    </row>
    <row r="95" spans="1:25" ht="13" x14ac:dyDescent="0.3">
      <c r="A95" s="193">
        <v>84</v>
      </c>
      <c r="B95" s="222">
        <f>'Short Term ETS Cash Flow'!C94</f>
        <v>0</v>
      </c>
      <c r="C95" s="189">
        <f>'Short Term ETS Cash Flow'!H94</f>
        <v>0</v>
      </c>
      <c r="D95" s="192">
        <f>SUM('Short Term ETS Cash Flow'!D94:F94)</f>
        <v>0</v>
      </c>
      <c r="E95" s="191">
        <f>'Long Term ETS Cash Flow'!C93</f>
        <v>0</v>
      </c>
      <c r="F95" s="189">
        <f>SUM('Long Term ETS Cash Flow'!M93)</f>
        <v>3161.4007762149072</v>
      </c>
      <c r="G95" s="192">
        <f>SUM('Long Term ETS Cash Flow'!D93:J93)</f>
        <v>52244.518979999993</v>
      </c>
      <c r="H95" s="195">
        <f>'STS Cash Flow'!B94</f>
        <v>0</v>
      </c>
      <c r="I95" s="121">
        <f>SUM('STS Cash Flow'!F94:K94)</f>
        <v>597019.99097774387</v>
      </c>
      <c r="J95" s="121">
        <f>SUM('STS Cash Flow'!C94:E94)</f>
        <v>634901.12271943374</v>
      </c>
      <c r="K95" s="195">
        <f>'Water Conveyance Cash Flow'!C93</f>
        <v>0</v>
      </c>
      <c r="L95" s="121">
        <f>SUM('Water Conveyance Cash Flow'!J93)</f>
        <v>107032.76336111664</v>
      </c>
      <c r="M95" s="196">
        <f>SUM('Water Conveyance Cash Flow'!D93:H93)</f>
        <v>148628.20599000002</v>
      </c>
      <c r="N95" s="195">
        <f>'Sludge Disposal Cash Flow'!C93</f>
        <v>0</v>
      </c>
      <c r="O95" s="196">
        <f>'Sludge Disposal Cash Flow'!H93-'Sludge Disposal Cash Flow'!C93</f>
        <v>63690.961809025881</v>
      </c>
      <c r="P95" s="195">
        <f>'Salt Disposal Cash Flow'!C93</f>
        <v>0</v>
      </c>
      <c r="Q95" s="197">
        <f>'Salt Disposal Cash Flow'!H93-'Salt Disposal Cash Flow'!C93</f>
        <v>33840.60354275829</v>
      </c>
      <c r="R95" s="209"/>
      <c r="S95" s="211">
        <f t="shared" si="9"/>
        <v>0</v>
      </c>
      <c r="T95" s="212">
        <f t="shared" si="10"/>
        <v>0</v>
      </c>
      <c r="U95" s="202">
        <f t="shared" si="11"/>
        <v>707214.15511507541</v>
      </c>
      <c r="V95" s="196">
        <f t="shared" si="12"/>
        <v>123762.47714513818</v>
      </c>
      <c r="W95" s="195">
        <f t="shared" si="13"/>
        <v>933305.41304121795</v>
      </c>
      <c r="X95" s="206">
        <f t="shared" si="14"/>
        <v>163328.44728221314</v>
      </c>
      <c r="Y95" s="205">
        <f t="shared" si="15"/>
        <v>1927610.4925836446</v>
      </c>
    </row>
    <row r="96" spans="1:25" ht="13" x14ac:dyDescent="0.3">
      <c r="A96" s="193">
        <v>85</v>
      </c>
      <c r="B96" s="222">
        <f>'Short Term ETS Cash Flow'!C95</f>
        <v>0</v>
      </c>
      <c r="C96" s="189">
        <f>'Short Term ETS Cash Flow'!H95</f>
        <v>0</v>
      </c>
      <c r="D96" s="192">
        <f>SUM('Short Term ETS Cash Flow'!D95:F95)</f>
        <v>0</v>
      </c>
      <c r="E96" s="191">
        <f>'Long Term ETS Cash Flow'!C94</f>
        <v>0</v>
      </c>
      <c r="F96" s="189">
        <f>SUM('Long Term ETS Cash Flow'!M94)</f>
        <v>3161.4007762149072</v>
      </c>
      <c r="G96" s="192">
        <f>SUM('Long Term ETS Cash Flow'!D94:J94)</f>
        <v>52244.518979999993</v>
      </c>
      <c r="H96" s="195">
        <f>'STS Cash Flow'!B95</f>
        <v>0</v>
      </c>
      <c r="I96" s="121">
        <f>SUM('STS Cash Flow'!F95:K95)</f>
        <v>597019.99538444111</v>
      </c>
      <c r="J96" s="121">
        <f>SUM('STS Cash Flow'!C95:E95)</f>
        <v>634901.12271943374</v>
      </c>
      <c r="K96" s="195">
        <f>'Water Conveyance Cash Flow'!C94</f>
        <v>0</v>
      </c>
      <c r="L96" s="121">
        <f>SUM('Water Conveyance Cash Flow'!J94)</f>
        <v>107032.76336111664</v>
      </c>
      <c r="M96" s="196">
        <f>SUM('Water Conveyance Cash Flow'!D94:H94)</f>
        <v>148628.20599000002</v>
      </c>
      <c r="N96" s="195">
        <f>'Sludge Disposal Cash Flow'!C94</f>
        <v>0</v>
      </c>
      <c r="O96" s="196">
        <f>'Sludge Disposal Cash Flow'!H94-'Sludge Disposal Cash Flow'!C94</f>
        <v>63690.962105877668</v>
      </c>
      <c r="P96" s="195">
        <f>'Salt Disposal Cash Flow'!C94</f>
        <v>0</v>
      </c>
      <c r="Q96" s="197">
        <f>'Salt Disposal Cash Flow'!H94-'Salt Disposal Cash Flow'!C94</f>
        <v>33840.60354275829</v>
      </c>
      <c r="R96" s="209"/>
      <c r="S96" s="211">
        <f t="shared" si="9"/>
        <v>0</v>
      </c>
      <c r="T96" s="212">
        <f t="shared" si="10"/>
        <v>0</v>
      </c>
      <c r="U96" s="202">
        <f t="shared" si="11"/>
        <v>707214.15952177264</v>
      </c>
      <c r="V96" s="196">
        <f t="shared" si="12"/>
        <v>123762.47791631021</v>
      </c>
      <c r="W96" s="195">
        <f t="shared" si="13"/>
        <v>933305.4133380698</v>
      </c>
      <c r="X96" s="206">
        <f t="shared" si="14"/>
        <v>163328.44733416219</v>
      </c>
      <c r="Y96" s="205">
        <f t="shared" si="15"/>
        <v>1927610.4981103148</v>
      </c>
    </row>
    <row r="97" spans="1:26" ht="13" x14ac:dyDescent="0.3">
      <c r="A97" s="193">
        <v>86</v>
      </c>
      <c r="B97" s="222">
        <f>'Short Term ETS Cash Flow'!C96</f>
        <v>0</v>
      </c>
      <c r="C97" s="189">
        <f>'Short Term ETS Cash Flow'!H96</f>
        <v>0</v>
      </c>
      <c r="D97" s="192">
        <f>SUM('Short Term ETS Cash Flow'!D96:F96)</f>
        <v>0</v>
      </c>
      <c r="E97" s="191">
        <f>'Long Term ETS Cash Flow'!C95</f>
        <v>0</v>
      </c>
      <c r="F97" s="189">
        <f>SUM('Long Term ETS Cash Flow'!M95)</f>
        <v>3161.4007762149072</v>
      </c>
      <c r="G97" s="192">
        <f>SUM('Long Term ETS Cash Flow'!D95:J95)</f>
        <v>52244.518979999993</v>
      </c>
      <c r="H97" s="195">
        <f>'STS Cash Flow'!B96</f>
        <v>0</v>
      </c>
      <c r="I97" s="121">
        <f>SUM('STS Cash Flow'!F96:K96)</f>
        <v>597019.99538444111</v>
      </c>
      <c r="J97" s="121">
        <f>SUM('STS Cash Flow'!C96:E96)</f>
        <v>634901.12271943374</v>
      </c>
      <c r="K97" s="195">
        <f>'Water Conveyance Cash Flow'!C95</f>
        <v>0</v>
      </c>
      <c r="L97" s="121">
        <f>SUM('Water Conveyance Cash Flow'!J95)</f>
        <v>107032.76336111664</v>
      </c>
      <c r="M97" s="196">
        <f>SUM('Water Conveyance Cash Flow'!D95:H95)</f>
        <v>148628.20599000002</v>
      </c>
      <c r="N97" s="195">
        <f>'Sludge Disposal Cash Flow'!C95</f>
        <v>0</v>
      </c>
      <c r="O97" s="196">
        <f>'Sludge Disposal Cash Flow'!H95-'Sludge Disposal Cash Flow'!C95</f>
        <v>63690.962105877668</v>
      </c>
      <c r="P97" s="195">
        <f>'Salt Disposal Cash Flow'!C95</f>
        <v>0</v>
      </c>
      <c r="Q97" s="197">
        <f>'Salt Disposal Cash Flow'!H95-'Salt Disposal Cash Flow'!C95</f>
        <v>33840.60354275829</v>
      </c>
      <c r="R97" s="209"/>
      <c r="S97" s="211">
        <f t="shared" si="9"/>
        <v>0</v>
      </c>
      <c r="T97" s="212">
        <f t="shared" si="10"/>
        <v>0</v>
      </c>
      <c r="U97" s="202">
        <f t="shared" si="11"/>
        <v>707214.15952177264</v>
      </c>
      <c r="V97" s="196">
        <f t="shared" si="12"/>
        <v>123762.47791631021</v>
      </c>
      <c r="W97" s="195">
        <f t="shared" si="13"/>
        <v>933305.4133380698</v>
      </c>
      <c r="X97" s="206">
        <f t="shared" si="14"/>
        <v>163328.44733416219</v>
      </c>
      <c r="Y97" s="205">
        <f t="shared" si="15"/>
        <v>1927610.4981103148</v>
      </c>
    </row>
    <row r="98" spans="1:26" ht="13" x14ac:dyDescent="0.3">
      <c r="A98" s="193">
        <v>87</v>
      </c>
      <c r="B98" s="222">
        <f>'Short Term ETS Cash Flow'!C97</f>
        <v>0</v>
      </c>
      <c r="C98" s="189">
        <f>'Short Term ETS Cash Flow'!H97</f>
        <v>0</v>
      </c>
      <c r="D98" s="192">
        <f>SUM('Short Term ETS Cash Flow'!D97:F97)</f>
        <v>0</v>
      </c>
      <c r="E98" s="191">
        <f>'Long Term ETS Cash Flow'!C96</f>
        <v>0</v>
      </c>
      <c r="F98" s="189">
        <f>SUM('Long Term ETS Cash Flow'!M96)</f>
        <v>3161.4007762149072</v>
      </c>
      <c r="G98" s="192">
        <f>SUM('Long Term ETS Cash Flow'!D96:J96)</f>
        <v>52244.518979999993</v>
      </c>
      <c r="H98" s="195">
        <f>'STS Cash Flow'!B97</f>
        <v>0</v>
      </c>
      <c r="I98" s="121">
        <f>SUM('STS Cash Flow'!F97:K97)</f>
        <v>597019.99097774387</v>
      </c>
      <c r="J98" s="121">
        <f>SUM('STS Cash Flow'!C97:E97)</f>
        <v>634901.12271943374</v>
      </c>
      <c r="K98" s="195">
        <f>'Water Conveyance Cash Flow'!C96</f>
        <v>0</v>
      </c>
      <c r="L98" s="121">
        <f>SUM('Water Conveyance Cash Flow'!J96)</f>
        <v>107032.76336111664</v>
      </c>
      <c r="M98" s="196">
        <f>SUM('Water Conveyance Cash Flow'!D96:H96)</f>
        <v>148628.20599000002</v>
      </c>
      <c r="N98" s="195">
        <f>'Sludge Disposal Cash Flow'!C96</f>
        <v>0</v>
      </c>
      <c r="O98" s="196">
        <f>'Sludge Disposal Cash Flow'!H96-'Sludge Disposal Cash Flow'!C96</f>
        <v>63690.961809025881</v>
      </c>
      <c r="P98" s="195">
        <f>'Salt Disposal Cash Flow'!C96</f>
        <v>0</v>
      </c>
      <c r="Q98" s="197">
        <f>'Salt Disposal Cash Flow'!H96-'Salt Disposal Cash Flow'!C96</f>
        <v>33840.60354275829</v>
      </c>
      <c r="R98" s="209"/>
      <c r="S98" s="211">
        <f t="shared" si="9"/>
        <v>0</v>
      </c>
      <c r="T98" s="212">
        <f t="shared" si="10"/>
        <v>0</v>
      </c>
      <c r="U98" s="202">
        <f t="shared" si="11"/>
        <v>707214.15511507541</v>
      </c>
      <c r="V98" s="196">
        <f t="shared" si="12"/>
        <v>123762.47714513818</v>
      </c>
      <c r="W98" s="195">
        <f t="shared" si="13"/>
        <v>933305.41304121795</v>
      </c>
      <c r="X98" s="206">
        <f t="shared" si="14"/>
        <v>163328.44728221314</v>
      </c>
      <c r="Y98" s="205">
        <f t="shared" si="15"/>
        <v>1927610.4925836446</v>
      </c>
    </row>
    <row r="99" spans="1:26" ht="13" x14ac:dyDescent="0.3">
      <c r="A99" s="193">
        <v>88</v>
      </c>
      <c r="B99" s="222">
        <f>'Short Term ETS Cash Flow'!C98</f>
        <v>0</v>
      </c>
      <c r="C99" s="189">
        <f>'Short Term ETS Cash Flow'!H98</f>
        <v>0</v>
      </c>
      <c r="D99" s="192">
        <f>SUM('Short Term ETS Cash Flow'!D98:F98)</f>
        <v>0</v>
      </c>
      <c r="E99" s="191">
        <f>'Long Term ETS Cash Flow'!C97</f>
        <v>0</v>
      </c>
      <c r="F99" s="189">
        <f>SUM('Long Term ETS Cash Flow'!M97)</f>
        <v>3161.4007762149072</v>
      </c>
      <c r="G99" s="192">
        <f>SUM('Long Term ETS Cash Flow'!D97:J97)</f>
        <v>52244.518979999993</v>
      </c>
      <c r="H99" s="195">
        <f>'STS Cash Flow'!B98</f>
        <v>0</v>
      </c>
      <c r="I99" s="121">
        <f>SUM('STS Cash Flow'!F98:K98)</f>
        <v>597019.99097774387</v>
      </c>
      <c r="J99" s="121">
        <f>SUM('STS Cash Flow'!C98:E98)</f>
        <v>634901.12271943374</v>
      </c>
      <c r="K99" s="195">
        <f>'Water Conveyance Cash Flow'!C97</f>
        <v>0</v>
      </c>
      <c r="L99" s="121">
        <f>SUM('Water Conveyance Cash Flow'!J97)</f>
        <v>107032.76336111664</v>
      </c>
      <c r="M99" s="196">
        <f>SUM('Water Conveyance Cash Flow'!D97:H97)</f>
        <v>148628.20599000002</v>
      </c>
      <c r="N99" s="195">
        <f>'Sludge Disposal Cash Flow'!C97</f>
        <v>0</v>
      </c>
      <c r="O99" s="196">
        <f>'Sludge Disposal Cash Flow'!H97-'Sludge Disposal Cash Flow'!C97</f>
        <v>63690.961809025881</v>
      </c>
      <c r="P99" s="195">
        <f>'Salt Disposal Cash Flow'!C97</f>
        <v>0</v>
      </c>
      <c r="Q99" s="197">
        <f>'Salt Disposal Cash Flow'!H97-'Salt Disposal Cash Flow'!C97</f>
        <v>33840.60354275829</v>
      </c>
      <c r="R99" s="209"/>
      <c r="S99" s="211">
        <f t="shared" si="9"/>
        <v>0</v>
      </c>
      <c r="T99" s="212">
        <f t="shared" si="10"/>
        <v>0</v>
      </c>
      <c r="U99" s="202">
        <f t="shared" si="11"/>
        <v>707214.15511507541</v>
      </c>
      <c r="V99" s="196">
        <f t="shared" si="12"/>
        <v>123762.47714513818</v>
      </c>
      <c r="W99" s="195">
        <f t="shared" si="13"/>
        <v>933305.41304121795</v>
      </c>
      <c r="X99" s="206">
        <f t="shared" si="14"/>
        <v>163328.44728221314</v>
      </c>
      <c r="Y99" s="205">
        <f t="shared" si="15"/>
        <v>1927610.4925836446</v>
      </c>
    </row>
    <row r="100" spans="1:26" ht="13" x14ac:dyDescent="0.3">
      <c r="A100" s="193">
        <v>89</v>
      </c>
      <c r="B100" s="222">
        <f>'Short Term ETS Cash Flow'!C99</f>
        <v>0</v>
      </c>
      <c r="C100" s="189">
        <f>'Short Term ETS Cash Flow'!H99</f>
        <v>0</v>
      </c>
      <c r="D100" s="192">
        <f>SUM('Short Term ETS Cash Flow'!D99:F99)</f>
        <v>0</v>
      </c>
      <c r="E100" s="191">
        <f>'Long Term ETS Cash Flow'!C98</f>
        <v>0</v>
      </c>
      <c r="F100" s="189">
        <f>SUM('Long Term ETS Cash Flow'!M98)</f>
        <v>3161.4007762149072</v>
      </c>
      <c r="G100" s="192">
        <f>SUM('Long Term ETS Cash Flow'!D98:J98)</f>
        <v>52244.518979999993</v>
      </c>
      <c r="H100" s="195">
        <f>'STS Cash Flow'!B99</f>
        <v>0</v>
      </c>
      <c r="I100" s="121">
        <f>SUM('STS Cash Flow'!F99:K99)</f>
        <v>597019.99538444111</v>
      </c>
      <c r="J100" s="121">
        <f>SUM('STS Cash Flow'!C99:E99)</f>
        <v>634901.12271943374</v>
      </c>
      <c r="K100" s="195">
        <f>'Water Conveyance Cash Flow'!C98</f>
        <v>0</v>
      </c>
      <c r="L100" s="121">
        <f>SUM('Water Conveyance Cash Flow'!J98)</f>
        <v>107032.76336111664</v>
      </c>
      <c r="M100" s="196">
        <f>SUM('Water Conveyance Cash Flow'!D98:H98)</f>
        <v>148628.20599000002</v>
      </c>
      <c r="N100" s="195">
        <f>'Sludge Disposal Cash Flow'!C98</f>
        <v>0</v>
      </c>
      <c r="O100" s="196">
        <f>'Sludge Disposal Cash Flow'!H98-'Sludge Disposal Cash Flow'!C98</f>
        <v>63690.962105877668</v>
      </c>
      <c r="P100" s="195">
        <f>'Salt Disposal Cash Flow'!C98</f>
        <v>0</v>
      </c>
      <c r="Q100" s="197">
        <f>'Salt Disposal Cash Flow'!H98-'Salt Disposal Cash Flow'!C98</f>
        <v>33840.60354275829</v>
      </c>
      <c r="R100" s="209"/>
      <c r="S100" s="211">
        <f t="shared" si="9"/>
        <v>0</v>
      </c>
      <c r="T100" s="212">
        <f t="shared" si="10"/>
        <v>0</v>
      </c>
      <c r="U100" s="202">
        <f t="shared" si="11"/>
        <v>707214.15952177264</v>
      </c>
      <c r="V100" s="196">
        <f t="shared" si="12"/>
        <v>123762.47791631021</v>
      </c>
      <c r="W100" s="195">
        <f t="shared" si="13"/>
        <v>933305.4133380698</v>
      </c>
      <c r="X100" s="206">
        <f t="shared" si="14"/>
        <v>163328.44733416219</v>
      </c>
      <c r="Y100" s="205">
        <f t="shared" si="15"/>
        <v>1927610.4981103148</v>
      </c>
    </row>
    <row r="101" spans="1:26" ht="13" x14ac:dyDescent="0.3">
      <c r="A101" s="193">
        <v>90</v>
      </c>
      <c r="B101" s="222">
        <f>'Short Term ETS Cash Flow'!C100</f>
        <v>0</v>
      </c>
      <c r="C101" s="189">
        <f>'Short Term ETS Cash Flow'!H100</f>
        <v>0</v>
      </c>
      <c r="D101" s="192">
        <f>SUM('Short Term ETS Cash Flow'!D100:F100)</f>
        <v>0</v>
      </c>
      <c r="E101" s="191">
        <f>'Long Term ETS Cash Flow'!C99</f>
        <v>0</v>
      </c>
      <c r="F101" s="189">
        <f>SUM('Long Term ETS Cash Flow'!M99)</f>
        <v>3161.4007762149072</v>
      </c>
      <c r="G101" s="192">
        <f>SUM('Long Term ETS Cash Flow'!D99:J99)</f>
        <v>52244.518979999993</v>
      </c>
      <c r="H101" s="195">
        <f>'STS Cash Flow'!B100</f>
        <v>0</v>
      </c>
      <c r="I101" s="121">
        <f>SUM('STS Cash Flow'!F100:K100)</f>
        <v>597019.99538444111</v>
      </c>
      <c r="J101" s="121">
        <f>SUM('STS Cash Flow'!C100:E100)</f>
        <v>634901.12271943374</v>
      </c>
      <c r="K101" s="195">
        <f>'Water Conveyance Cash Flow'!C99</f>
        <v>0</v>
      </c>
      <c r="L101" s="121">
        <f>SUM('Water Conveyance Cash Flow'!J99)</f>
        <v>107032.76336111664</v>
      </c>
      <c r="M101" s="196">
        <f>SUM('Water Conveyance Cash Flow'!D99:H99)</f>
        <v>148628.20599000002</v>
      </c>
      <c r="N101" s="195">
        <f>'Sludge Disposal Cash Flow'!C99</f>
        <v>0</v>
      </c>
      <c r="O101" s="196">
        <f>'Sludge Disposal Cash Flow'!H99-'Sludge Disposal Cash Flow'!C99</f>
        <v>63690.962105877668</v>
      </c>
      <c r="P101" s="195">
        <f>'Salt Disposal Cash Flow'!C99</f>
        <v>0</v>
      </c>
      <c r="Q101" s="197">
        <f>'Salt Disposal Cash Flow'!H99-'Salt Disposal Cash Flow'!C99</f>
        <v>33840.60354275829</v>
      </c>
      <c r="R101" s="209"/>
      <c r="S101" s="211">
        <f t="shared" si="9"/>
        <v>0</v>
      </c>
      <c r="T101" s="212">
        <f t="shared" si="10"/>
        <v>0</v>
      </c>
      <c r="U101" s="202">
        <f t="shared" si="11"/>
        <v>707214.15952177264</v>
      </c>
      <c r="V101" s="196">
        <f t="shared" si="12"/>
        <v>123762.47791631021</v>
      </c>
      <c r="W101" s="195">
        <f t="shared" si="13"/>
        <v>933305.4133380698</v>
      </c>
      <c r="X101" s="206">
        <f t="shared" si="14"/>
        <v>163328.44733416219</v>
      </c>
      <c r="Y101" s="205">
        <f t="shared" si="15"/>
        <v>1927610.4981103148</v>
      </c>
    </row>
    <row r="102" spans="1:26" ht="13" x14ac:dyDescent="0.3">
      <c r="A102" s="193">
        <v>91</v>
      </c>
      <c r="B102" s="222">
        <f>'Short Term ETS Cash Flow'!C101</f>
        <v>0</v>
      </c>
      <c r="C102" s="189">
        <f>'Short Term ETS Cash Flow'!H101</f>
        <v>0</v>
      </c>
      <c r="D102" s="192">
        <f>SUM('Short Term ETS Cash Flow'!D101:F101)</f>
        <v>0</v>
      </c>
      <c r="E102" s="191">
        <f>'Long Term ETS Cash Flow'!C100</f>
        <v>0</v>
      </c>
      <c r="F102" s="189">
        <f>SUM('Long Term ETS Cash Flow'!M100)</f>
        <v>3161.4007762149072</v>
      </c>
      <c r="G102" s="192">
        <f>SUM('Long Term ETS Cash Flow'!D100:J100)</f>
        <v>52244.518979999993</v>
      </c>
      <c r="H102" s="195">
        <f>'STS Cash Flow'!B101</f>
        <v>0</v>
      </c>
      <c r="I102" s="121">
        <f>SUM('STS Cash Flow'!F101:K101)</f>
        <v>597019.99538444111</v>
      </c>
      <c r="J102" s="121">
        <f>SUM('STS Cash Flow'!C101:E101)</f>
        <v>634901.12271943374</v>
      </c>
      <c r="K102" s="195">
        <f>'Water Conveyance Cash Flow'!C100</f>
        <v>0</v>
      </c>
      <c r="L102" s="121">
        <f>SUM('Water Conveyance Cash Flow'!J100)</f>
        <v>107032.76336111664</v>
      </c>
      <c r="M102" s="196">
        <f>SUM('Water Conveyance Cash Flow'!D100:H100)</f>
        <v>148628.20599000002</v>
      </c>
      <c r="N102" s="195">
        <f>'Sludge Disposal Cash Flow'!C100</f>
        <v>0</v>
      </c>
      <c r="O102" s="196">
        <f>'Sludge Disposal Cash Flow'!H100-'Sludge Disposal Cash Flow'!C100</f>
        <v>63690.962105877668</v>
      </c>
      <c r="P102" s="195">
        <f>'Salt Disposal Cash Flow'!C100</f>
        <v>0</v>
      </c>
      <c r="Q102" s="197">
        <f>'Salt Disposal Cash Flow'!H100-'Salt Disposal Cash Flow'!C100</f>
        <v>33840.60354275829</v>
      </c>
      <c r="R102" s="209"/>
      <c r="S102" s="211">
        <f t="shared" si="9"/>
        <v>0</v>
      </c>
      <c r="T102" s="212">
        <f t="shared" si="10"/>
        <v>0</v>
      </c>
      <c r="U102" s="202">
        <f t="shared" si="11"/>
        <v>707214.15952177264</v>
      </c>
      <c r="V102" s="196">
        <f t="shared" si="12"/>
        <v>123762.47791631021</v>
      </c>
      <c r="W102" s="195">
        <f t="shared" si="13"/>
        <v>933305.4133380698</v>
      </c>
      <c r="X102" s="206">
        <f t="shared" si="14"/>
        <v>163328.44733416219</v>
      </c>
      <c r="Y102" s="205">
        <f t="shared" si="15"/>
        <v>1927610.4981103148</v>
      </c>
    </row>
    <row r="103" spans="1:26" ht="13" x14ac:dyDescent="0.3">
      <c r="A103" s="193">
        <v>92</v>
      </c>
      <c r="B103" s="222">
        <f>'Short Term ETS Cash Flow'!C102</f>
        <v>0</v>
      </c>
      <c r="C103" s="189">
        <f>'Short Term ETS Cash Flow'!H102</f>
        <v>0</v>
      </c>
      <c r="D103" s="192">
        <f>SUM('Short Term ETS Cash Flow'!D102:F102)</f>
        <v>0</v>
      </c>
      <c r="E103" s="191">
        <f>'Long Term ETS Cash Flow'!C101</f>
        <v>0</v>
      </c>
      <c r="F103" s="189">
        <f>SUM('Long Term ETS Cash Flow'!M101)</f>
        <v>3161.4007762149072</v>
      </c>
      <c r="G103" s="192">
        <f>SUM('Long Term ETS Cash Flow'!D101:J101)</f>
        <v>52244.518979999993</v>
      </c>
      <c r="H103" s="195">
        <f>'STS Cash Flow'!B102</f>
        <v>0</v>
      </c>
      <c r="I103" s="121">
        <f>SUM('STS Cash Flow'!F102:K102)</f>
        <v>597019.99538444111</v>
      </c>
      <c r="J103" s="121">
        <f>SUM('STS Cash Flow'!C102:E102)</f>
        <v>634901.12271943374</v>
      </c>
      <c r="K103" s="195">
        <f>'Water Conveyance Cash Flow'!C101</f>
        <v>0</v>
      </c>
      <c r="L103" s="121">
        <f>SUM('Water Conveyance Cash Flow'!J101)</f>
        <v>107032.76336111664</v>
      </c>
      <c r="M103" s="196">
        <f>SUM('Water Conveyance Cash Flow'!D101:H101)</f>
        <v>148628.20599000002</v>
      </c>
      <c r="N103" s="195">
        <f>'Sludge Disposal Cash Flow'!C101</f>
        <v>0</v>
      </c>
      <c r="O103" s="196">
        <f>'Sludge Disposal Cash Flow'!H101-'Sludge Disposal Cash Flow'!C101</f>
        <v>63690.962105877668</v>
      </c>
      <c r="P103" s="195">
        <f>'Salt Disposal Cash Flow'!C101</f>
        <v>0</v>
      </c>
      <c r="Q103" s="197">
        <f>'Salt Disposal Cash Flow'!H101-'Salt Disposal Cash Flow'!C101</f>
        <v>33840.60354275829</v>
      </c>
      <c r="R103" s="209"/>
      <c r="S103" s="211">
        <f t="shared" si="9"/>
        <v>0</v>
      </c>
      <c r="T103" s="212">
        <f t="shared" si="10"/>
        <v>0</v>
      </c>
      <c r="U103" s="202">
        <f t="shared" si="11"/>
        <v>707214.15952177264</v>
      </c>
      <c r="V103" s="196">
        <f t="shared" si="12"/>
        <v>123762.47791631021</v>
      </c>
      <c r="W103" s="195">
        <f t="shared" si="13"/>
        <v>933305.4133380698</v>
      </c>
      <c r="X103" s="206">
        <f t="shared" si="14"/>
        <v>163328.44733416219</v>
      </c>
      <c r="Y103" s="205">
        <f t="shared" si="15"/>
        <v>1927610.4981103148</v>
      </c>
    </row>
    <row r="104" spans="1:26" ht="13" x14ac:dyDescent="0.3">
      <c r="A104" s="193">
        <v>93</v>
      </c>
      <c r="B104" s="222">
        <f>'Short Term ETS Cash Flow'!C103</f>
        <v>0</v>
      </c>
      <c r="C104" s="189">
        <f>'Short Term ETS Cash Flow'!H103</f>
        <v>0</v>
      </c>
      <c r="D104" s="192">
        <f>SUM('Short Term ETS Cash Flow'!D103:F103)</f>
        <v>0</v>
      </c>
      <c r="E104" s="191">
        <f>'Long Term ETS Cash Flow'!C102</f>
        <v>0</v>
      </c>
      <c r="F104" s="189">
        <f>SUM('Long Term ETS Cash Flow'!M102)</f>
        <v>3161.4007762149072</v>
      </c>
      <c r="G104" s="192">
        <f>SUM('Long Term ETS Cash Flow'!D102:J102)</f>
        <v>52244.518979999993</v>
      </c>
      <c r="H104" s="195">
        <f>'STS Cash Flow'!B103</f>
        <v>0</v>
      </c>
      <c r="I104" s="121">
        <f>SUM('STS Cash Flow'!F103:K103)</f>
        <v>597019.99538444111</v>
      </c>
      <c r="J104" s="121">
        <f>SUM('STS Cash Flow'!C103:E103)</f>
        <v>634901.12271943374</v>
      </c>
      <c r="K104" s="195">
        <f>'Water Conveyance Cash Flow'!C102</f>
        <v>0</v>
      </c>
      <c r="L104" s="121">
        <f>SUM('Water Conveyance Cash Flow'!J102)</f>
        <v>107032.76336111664</v>
      </c>
      <c r="M104" s="196">
        <f>SUM('Water Conveyance Cash Flow'!D102:H102)</f>
        <v>148628.20599000002</v>
      </c>
      <c r="N104" s="195">
        <f>'Sludge Disposal Cash Flow'!C102</f>
        <v>0</v>
      </c>
      <c r="O104" s="196">
        <f>'Sludge Disposal Cash Flow'!H102-'Sludge Disposal Cash Flow'!C102</f>
        <v>63690.962105877668</v>
      </c>
      <c r="P104" s="195">
        <f>'Salt Disposal Cash Flow'!C102</f>
        <v>0</v>
      </c>
      <c r="Q104" s="197">
        <f>'Salt Disposal Cash Flow'!H102-'Salt Disposal Cash Flow'!C102</f>
        <v>33840.60354275829</v>
      </c>
      <c r="R104" s="209"/>
      <c r="S104" s="211">
        <f t="shared" si="9"/>
        <v>0</v>
      </c>
      <c r="T104" s="212">
        <f t="shared" si="10"/>
        <v>0</v>
      </c>
      <c r="U104" s="202">
        <f t="shared" si="11"/>
        <v>707214.15952177264</v>
      </c>
      <c r="V104" s="196">
        <f t="shared" si="12"/>
        <v>123762.47791631021</v>
      </c>
      <c r="W104" s="195">
        <f t="shared" si="13"/>
        <v>933305.4133380698</v>
      </c>
      <c r="X104" s="206">
        <f t="shared" si="14"/>
        <v>163328.44733416219</v>
      </c>
      <c r="Y104" s="205">
        <f t="shared" si="15"/>
        <v>1927610.4981103148</v>
      </c>
    </row>
    <row r="105" spans="1:26" ht="13" x14ac:dyDescent="0.3">
      <c r="A105" s="193">
        <v>94</v>
      </c>
      <c r="B105" s="222">
        <f>'Short Term ETS Cash Flow'!C104</f>
        <v>0</v>
      </c>
      <c r="C105" s="189">
        <f>'Short Term ETS Cash Flow'!H104</f>
        <v>0</v>
      </c>
      <c r="D105" s="192">
        <f>SUM('Short Term ETS Cash Flow'!D104:F104)</f>
        <v>0</v>
      </c>
      <c r="E105" s="191">
        <f>'Long Term ETS Cash Flow'!C103</f>
        <v>0</v>
      </c>
      <c r="F105" s="189">
        <f>SUM('Long Term ETS Cash Flow'!M103)</f>
        <v>3161.4007762149072</v>
      </c>
      <c r="G105" s="192">
        <f>SUM('Long Term ETS Cash Flow'!D103:J103)</f>
        <v>52244.518979999993</v>
      </c>
      <c r="H105" s="195">
        <f>'STS Cash Flow'!B104</f>
        <v>0</v>
      </c>
      <c r="I105" s="121">
        <f>SUM('STS Cash Flow'!F104:K104)</f>
        <v>597019.99538444111</v>
      </c>
      <c r="J105" s="121">
        <f>SUM('STS Cash Flow'!C104:E104)</f>
        <v>634901.12271943374</v>
      </c>
      <c r="K105" s="195">
        <f>'Water Conveyance Cash Flow'!C103</f>
        <v>0</v>
      </c>
      <c r="L105" s="121">
        <f>SUM('Water Conveyance Cash Flow'!J103)</f>
        <v>107032.76336111664</v>
      </c>
      <c r="M105" s="196">
        <f>SUM('Water Conveyance Cash Flow'!D103:H103)</f>
        <v>148628.20599000002</v>
      </c>
      <c r="N105" s="195">
        <f>'Sludge Disposal Cash Flow'!C103</f>
        <v>0</v>
      </c>
      <c r="O105" s="196">
        <f>'Sludge Disposal Cash Flow'!H103-'Sludge Disposal Cash Flow'!C103</f>
        <v>63690.962105877668</v>
      </c>
      <c r="P105" s="195">
        <f>'Salt Disposal Cash Flow'!C103</f>
        <v>0</v>
      </c>
      <c r="Q105" s="197">
        <f>'Salt Disposal Cash Flow'!H103-'Salt Disposal Cash Flow'!C103</f>
        <v>33840.60354275829</v>
      </c>
      <c r="R105" s="209"/>
      <c r="S105" s="211">
        <f t="shared" si="9"/>
        <v>0</v>
      </c>
      <c r="T105" s="212">
        <f t="shared" si="10"/>
        <v>0</v>
      </c>
      <c r="U105" s="202">
        <f t="shared" si="11"/>
        <v>707214.15952177264</v>
      </c>
      <c r="V105" s="196">
        <f t="shared" si="12"/>
        <v>123762.47791631021</v>
      </c>
      <c r="W105" s="195">
        <f t="shared" si="13"/>
        <v>933305.4133380698</v>
      </c>
      <c r="X105" s="206">
        <f t="shared" si="14"/>
        <v>163328.44733416219</v>
      </c>
      <c r="Y105" s="205">
        <f t="shared" si="15"/>
        <v>1927610.4981103148</v>
      </c>
    </row>
    <row r="106" spans="1:26" ht="13" x14ac:dyDescent="0.3">
      <c r="A106" s="193">
        <v>95</v>
      </c>
      <c r="B106" s="222">
        <f>'Short Term ETS Cash Flow'!C105</f>
        <v>0</v>
      </c>
      <c r="C106" s="189">
        <f>'Short Term ETS Cash Flow'!H105</f>
        <v>0</v>
      </c>
      <c r="D106" s="192">
        <f>SUM('Short Term ETS Cash Flow'!D105:F105)</f>
        <v>0</v>
      </c>
      <c r="E106" s="191">
        <f>'Long Term ETS Cash Flow'!C104</f>
        <v>0</v>
      </c>
      <c r="F106" s="189">
        <f>SUM('Long Term ETS Cash Flow'!M104)</f>
        <v>3161.4007762149072</v>
      </c>
      <c r="G106" s="192">
        <f>SUM('Long Term ETS Cash Flow'!D104:J104)</f>
        <v>52244.518979999993</v>
      </c>
      <c r="H106" s="195">
        <f>'STS Cash Flow'!B105</f>
        <v>0</v>
      </c>
      <c r="I106" s="121">
        <f>SUM('STS Cash Flow'!F105:K105)</f>
        <v>597019.99538444111</v>
      </c>
      <c r="J106" s="121">
        <f>SUM('STS Cash Flow'!C105:E105)</f>
        <v>634901.12271943374</v>
      </c>
      <c r="K106" s="195">
        <f>'Water Conveyance Cash Flow'!C104</f>
        <v>0</v>
      </c>
      <c r="L106" s="121">
        <f>SUM('Water Conveyance Cash Flow'!J104)</f>
        <v>107032.76336111664</v>
      </c>
      <c r="M106" s="196">
        <f>SUM('Water Conveyance Cash Flow'!D104:H104)</f>
        <v>148628.20599000002</v>
      </c>
      <c r="N106" s="195">
        <f>'Sludge Disposal Cash Flow'!C104</f>
        <v>0</v>
      </c>
      <c r="O106" s="196">
        <f>'Sludge Disposal Cash Flow'!H104-'Sludge Disposal Cash Flow'!C104</f>
        <v>63690.962105877668</v>
      </c>
      <c r="P106" s="195">
        <f>'Salt Disposal Cash Flow'!C104</f>
        <v>0</v>
      </c>
      <c r="Q106" s="197">
        <f>'Salt Disposal Cash Flow'!H104-'Salt Disposal Cash Flow'!C104</f>
        <v>33840.60354275829</v>
      </c>
      <c r="R106" s="209"/>
      <c r="S106" s="211">
        <f t="shared" si="9"/>
        <v>0</v>
      </c>
      <c r="T106" s="212">
        <f t="shared" si="10"/>
        <v>0</v>
      </c>
      <c r="U106" s="202">
        <f t="shared" si="11"/>
        <v>707214.15952177264</v>
      </c>
      <c r="V106" s="196">
        <f t="shared" si="12"/>
        <v>123762.47791631021</v>
      </c>
      <c r="W106" s="195">
        <f t="shared" si="13"/>
        <v>933305.4133380698</v>
      </c>
      <c r="X106" s="206">
        <f t="shared" si="14"/>
        <v>163328.44733416219</v>
      </c>
      <c r="Y106" s="205">
        <f t="shared" si="15"/>
        <v>1927610.4981103148</v>
      </c>
    </row>
    <row r="107" spans="1:26" ht="13" x14ac:dyDescent="0.3">
      <c r="A107" s="193">
        <v>96</v>
      </c>
      <c r="B107" s="222">
        <f>'Short Term ETS Cash Flow'!C106</f>
        <v>0</v>
      </c>
      <c r="C107" s="189">
        <f>'Short Term ETS Cash Flow'!H106</f>
        <v>0</v>
      </c>
      <c r="D107" s="192">
        <f>SUM('Short Term ETS Cash Flow'!D106:F106)</f>
        <v>0</v>
      </c>
      <c r="E107" s="191">
        <f>'Long Term ETS Cash Flow'!C105</f>
        <v>0</v>
      </c>
      <c r="F107" s="189">
        <f>SUM('Long Term ETS Cash Flow'!M105)</f>
        <v>3161.4007762149072</v>
      </c>
      <c r="G107" s="192">
        <f>SUM('Long Term ETS Cash Flow'!D105:J105)</f>
        <v>52244.518979999993</v>
      </c>
      <c r="H107" s="195">
        <f>'STS Cash Flow'!B106</f>
        <v>0</v>
      </c>
      <c r="I107" s="121">
        <f>SUM('STS Cash Flow'!F106:K106)</f>
        <v>597019.99097774387</v>
      </c>
      <c r="J107" s="121">
        <f>SUM('STS Cash Flow'!C106:E106)</f>
        <v>634901.12271943374</v>
      </c>
      <c r="K107" s="195">
        <f>'Water Conveyance Cash Flow'!C105</f>
        <v>0</v>
      </c>
      <c r="L107" s="121">
        <f>SUM('Water Conveyance Cash Flow'!J105)</f>
        <v>107032.76336111664</v>
      </c>
      <c r="M107" s="196">
        <f>SUM('Water Conveyance Cash Flow'!D105:H105)</f>
        <v>148628.20599000002</v>
      </c>
      <c r="N107" s="195">
        <f>'Sludge Disposal Cash Flow'!C105</f>
        <v>0</v>
      </c>
      <c r="O107" s="196">
        <f>'Sludge Disposal Cash Flow'!H105-'Sludge Disposal Cash Flow'!C105</f>
        <v>63690.961809025881</v>
      </c>
      <c r="P107" s="195">
        <f>'Salt Disposal Cash Flow'!C105</f>
        <v>0</v>
      </c>
      <c r="Q107" s="197">
        <f>'Salt Disposal Cash Flow'!H105-'Salt Disposal Cash Flow'!C105</f>
        <v>33840.60354275829</v>
      </c>
      <c r="R107" s="209"/>
      <c r="S107" s="211">
        <f t="shared" si="9"/>
        <v>0</v>
      </c>
      <c r="T107" s="212">
        <f t="shared" si="10"/>
        <v>0</v>
      </c>
      <c r="U107" s="202">
        <f t="shared" si="11"/>
        <v>707214.15511507541</v>
      </c>
      <c r="V107" s="196">
        <f t="shared" si="12"/>
        <v>123762.47714513818</v>
      </c>
      <c r="W107" s="195">
        <f t="shared" si="13"/>
        <v>933305.41304121795</v>
      </c>
      <c r="X107" s="206">
        <f t="shared" si="14"/>
        <v>163328.44728221314</v>
      </c>
      <c r="Y107" s="205">
        <f t="shared" si="15"/>
        <v>1927610.4925836446</v>
      </c>
    </row>
    <row r="108" spans="1:26" ht="13" x14ac:dyDescent="0.3">
      <c r="A108" s="193">
        <v>97</v>
      </c>
      <c r="B108" s="222">
        <f>'Short Term ETS Cash Flow'!C107</f>
        <v>0</v>
      </c>
      <c r="C108" s="189">
        <f>'Short Term ETS Cash Flow'!H107</f>
        <v>0</v>
      </c>
      <c r="D108" s="192">
        <f>SUM('Short Term ETS Cash Flow'!D107:F107)</f>
        <v>0</v>
      </c>
      <c r="E108" s="191">
        <f>'Long Term ETS Cash Flow'!C106</f>
        <v>0</v>
      </c>
      <c r="F108" s="189">
        <f>SUM('Long Term ETS Cash Flow'!M106)</f>
        <v>3161.4007762149072</v>
      </c>
      <c r="G108" s="192">
        <f>SUM('Long Term ETS Cash Flow'!D106:J106)</f>
        <v>52244.518979999993</v>
      </c>
      <c r="H108" s="195">
        <f>'STS Cash Flow'!B107</f>
        <v>0</v>
      </c>
      <c r="I108" s="121">
        <f>SUM('STS Cash Flow'!F107:K107)</f>
        <v>597019.99538444111</v>
      </c>
      <c r="J108" s="121">
        <f>SUM('STS Cash Flow'!C107:E107)</f>
        <v>634901.12271943374</v>
      </c>
      <c r="K108" s="195">
        <f>'Water Conveyance Cash Flow'!C106</f>
        <v>0</v>
      </c>
      <c r="L108" s="121">
        <f>SUM('Water Conveyance Cash Flow'!J106)</f>
        <v>107032.76336111664</v>
      </c>
      <c r="M108" s="196">
        <f>SUM('Water Conveyance Cash Flow'!D106:H106)</f>
        <v>148628.20599000002</v>
      </c>
      <c r="N108" s="195">
        <f>'Sludge Disposal Cash Flow'!C106</f>
        <v>0</v>
      </c>
      <c r="O108" s="196">
        <f>'Sludge Disposal Cash Flow'!H106-'Sludge Disposal Cash Flow'!C106</f>
        <v>63690.962105877668</v>
      </c>
      <c r="P108" s="195">
        <f>'Salt Disposal Cash Flow'!C106</f>
        <v>0</v>
      </c>
      <c r="Q108" s="197">
        <f>'Salt Disposal Cash Flow'!H106-'Salt Disposal Cash Flow'!C106</f>
        <v>33840.60354275829</v>
      </c>
      <c r="R108" s="209"/>
      <c r="S108" s="211">
        <f t="shared" si="9"/>
        <v>0</v>
      </c>
      <c r="T108" s="212">
        <f t="shared" si="10"/>
        <v>0</v>
      </c>
      <c r="U108" s="202">
        <f t="shared" si="11"/>
        <v>707214.15952177264</v>
      </c>
      <c r="V108" s="196">
        <f t="shared" si="12"/>
        <v>123762.47791631021</v>
      </c>
      <c r="W108" s="195">
        <f t="shared" si="13"/>
        <v>933305.4133380698</v>
      </c>
      <c r="X108" s="206">
        <f t="shared" si="14"/>
        <v>163328.44733416219</v>
      </c>
      <c r="Y108" s="205">
        <f t="shared" si="15"/>
        <v>1927610.4981103148</v>
      </c>
    </row>
    <row r="109" spans="1:26" ht="13" x14ac:dyDescent="0.3">
      <c r="A109" s="193">
        <v>98</v>
      </c>
      <c r="B109" s="222">
        <f>'Short Term ETS Cash Flow'!C108</f>
        <v>0</v>
      </c>
      <c r="C109" s="189">
        <f>'Short Term ETS Cash Flow'!H108</f>
        <v>0</v>
      </c>
      <c r="D109" s="192">
        <f>SUM('Short Term ETS Cash Flow'!D108:F108)</f>
        <v>0</v>
      </c>
      <c r="E109" s="191">
        <f>'Long Term ETS Cash Flow'!C107</f>
        <v>0</v>
      </c>
      <c r="F109" s="189">
        <f>SUM('Long Term ETS Cash Flow'!M107)</f>
        <v>3161.4007762149072</v>
      </c>
      <c r="G109" s="192">
        <f>SUM('Long Term ETS Cash Flow'!D107:J107)</f>
        <v>52244.518979999993</v>
      </c>
      <c r="H109" s="195">
        <f>'STS Cash Flow'!B108</f>
        <v>0</v>
      </c>
      <c r="I109" s="121">
        <f>SUM('STS Cash Flow'!F108:K108)</f>
        <v>597019.99538444111</v>
      </c>
      <c r="J109" s="121">
        <f>SUM('STS Cash Flow'!C108:E108)</f>
        <v>634901.12271943374</v>
      </c>
      <c r="K109" s="195">
        <f>'Water Conveyance Cash Flow'!C107</f>
        <v>0</v>
      </c>
      <c r="L109" s="121">
        <f>SUM('Water Conveyance Cash Flow'!J107)</f>
        <v>107032.76336111664</v>
      </c>
      <c r="M109" s="196">
        <f>SUM('Water Conveyance Cash Flow'!D107:H107)</f>
        <v>148628.20599000002</v>
      </c>
      <c r="N109" s="195">
        <f>'Sludge Disposal Cash Flow'!C107</f>
        <v>0</v>
      </c>
      <c r="O109" s="196">
        <f>'Sludge Disposal Cash Flow'!H107-'Sludge Disposal Cash Flow'!C107</f>
        <v>63690.962105877668</v>
      </c>
      <c r="P109" s="195">
        <f>'Salt Disposal Cash Flow'!C107</f>
        <v>0</v>
      </c>
      <c r="Q109" s="197">
        <f>'Salt Disposal Cash Flow'!H107-'Salt Disposal Cash Flow'!C107</f>
        <v>33840.60354275829</v>
      </c>
      <c r="R109" s="209"/>
      <c r="S109" s="211">
        <f t="shared" si="9"/>
        <v>0</v>
      </c>
      <c r="T109" s="212">
        <f t="shared" si="10"/>
        <v>0</v>
      </c>
      <c r="U109" s="202">
        <f t="shared" si="11"/>
        <v>707214.15952177264</v>
      </c>
      <c r="V109" s="196">
        <f t="shared" si="12"/>
        <v>123762.47791631021</v>
      </c>
      <c r="W109" s="195">
        <f t="shared" si="13"/>
        <v>933305.4133380698</v>
      </c>
      <c r="X109" s="206">
        <f t="shared" si="14"/>
        <v>163328.44733416219</v>
      </c>
      <c r="Y109" s="205">
        <f t="shared" si="15"/>
        <v>1927610.4981103148</v>
      </c>
    </row>
    <row r="110" spans="1:26" ht="13" x14ac:dyDescent="0.3">
      <c r="A110" s="193">
        <v>99</v>
      </c>
      <c r="B110" s="222">
        <f>'Short Term ETS Cash Flow'!C109</f>
        <v>0</v>
      </c>
      <c r="C110" s="189">
        <f>'Short Term ETS Cash Flow'!H109</f>
        <v>0</v>
      </c>
      <c r="D110" s="192">
        <f>SUM('Short Term ETS Cash Flow'!D109:F109)</f>
        <v>0</v>
      </c>
      <c r="E110" s="191">
        <f>'Long Term ETS Cash Flow'!C108</f>
        <v>0</v>
      </c>
      <c r="F110" s="189">
        <f>SUM('Long Term ETS Cash Flow'!M108)</f>
        <v>3161.4007762149072</v>
      </c>
      <c r="G110" s="192">
        <f>SUM('Long Term ETS Cash Flow'!D108:J108)</f>
        <v>52244.518979999993</v>
      </c>
      <c r="H110" s="195">
        <f>'STS Cash Flow'!B109</f>
        <v>0</v>
      </c>
      <c r="I110" s="121">
        <f>SUM('STS Cash Flow'!F109:K109)</f>
        <v>597019.99538444111</v>
      </c>
      <c r="J110" s="121">
        <f>SUM('STS Cash Flow'!C109:E109)</f>
        <v>634901.12271943374</v>
      </c>
      <c r="K110" s="195">
        <f>'Water Conveyance Cash Flow'!C108</f>
        <v>0</v>
      </c>
      <c r="L110" s="121">
        <f>SUM('Water Conveyance Cash Flow'!J108)</f>
        <v>107032.76336111664</v>
      </c>
      <c r="M110" s="196">
        <f>SUM('Water Conveyance Cash Flow'!D108:H108)</f>
        <v>148628.20599000002</v>
      </c>
      <c r="N110" s="195">
        <f>'Sludge Disposal Cash Flow'!C108</f>
        <v>0</v>
      </c>
      <c r="O110" s="196">
        <f>'Sludge Disposal Cash Flow'!H108-'Sludge Disposal Cash Flow'!C108</f>
        <v>63690.962105877668</v>
      </c>
      <c r="P110" s="195">
        <f>'Salt Disposal Cash Flow'!C108</f>
        <v>0</v>
      </c>
      <c r="Q110" s="197">
        <f>'Salt Disposal Cash Flow'!H108-'Salt Disposal Cash Flow'!C108</f>
        <v>33840.60354275829</v>
      </c>
      <c r="R110" s="209"/>
      <c r="S110" s="211">
        <f t="shared" si="9"/>
        <v>0</v>
      </c>
      <c r="T110" s="212">
        <f t="shared" si="10"/>
        <v>0</v>
      </c>
      <c r="U110" s="202">
        <f t="shared" si="11"/>
        <v>707214.15952177264</v>
      </c>
      <c r="V110" s="196">
        <f t="shared" si="12"/>
        <v>123762.47791631021</v>
      </c>
      <c r="W110" s="195">
        <f t="shared" si="13"/>
        <v>933305.4133380698</v>
      </c>
      <c r="X110" s="206">
        <f t="shared" si="14"/>
        <v>163328.44733416219</v>
      </c>
      <c r="Y110" s="205">
        <f t="shared" si="15"/>
        <v>1927610.4981103148</v>
      </c>
    </row>
    <row r="111" spans="1:26" ht="13.5" thickBot="1" x14ac:dyDescent="0.35">
      <c r="A111" s="199">
        <v>100</v>
      </c>
      <c r="B111" s="222">
        <f>'Short Term ETS Cash Flow'!C110</f>
        <v>0</v>
      </c>
      <c r="C111" s="189">
        <f>'Short Term ETS Cash Flow'!H110</f>
        <v>0</v>
      </c>
      <c r="D111" s="192">
        <f>SUM('Short Term ETS Cash Flow'!D110:F110)</f>
        <v>0</v>
      </c>
      <c r="E111" s="191">
        <f>'Long Term ETS Cash Flow'!C109</f>
        <v>0</v>
      </c>
      <c r="F111" s="189">
        <f>SUM('Long Term ETS Cash Flow'!M109)</f>
        <v>3161.4007762149072</v>
      </c>
      <c r="G111" s="192">
        <f>SUM('Long Term ETS Cash Flow'!D109:J109)</f>
        <v>52244.518979999993</v>
      </c>
      <c r="H111" s="195">
        <f>'STS Cash Flow'!B110</f>
        <v>0</v>
      </c>
      <c r="I111" s="121">
        <f>SUM('STS Cash Flow'!F110:K110)</f>
        <v>597019.99538444111</v>
      </c>
      <c r="J111" s="121">
        <f>SUM('STS Cash Flow'!C110:E110)</f>
        <v>634901.12271943374</v>
      </c>
      <c r="K111" s="195">
        <f>'Water Conveyance Cash Flow'!C109</f>
        <v>0</v>
      </c>
      <c r="L111" s="121">
        <f>SUM('Water Conveyance Cash Flow'!J109)</f>
        <v>107032.76336111664</v>
      </c>
      <c r="M111" s="196">
        <f>SUM('Water Conveyance Cash Flow'!D109:H109)</f>
        <v>148628.20599000002</v>
      </c>
      <c r="N111" s="195">
        <f>'Sludge Disposal Cash Flow'!C109</f>
        <v>0</v>
      </c>
      <c r="O111" s="196">
        <f>'Sludge Disposal Cash Flow'!H109-'Sludge Disposal Cash Flow'!C109</f>
        <v>63690.962105877668</v>
      </c>
      <c r="P111" s="195">
        <f>'Salt Disposal Cash Flow'!C109</f>
        <v>0</v>
      </c>
      <c r="Q111" s="197">
        <f>'Salt Disposal Cash Flow'!H109-'Salt Disposal Cash Flow'!C109</f>
        <v>33840.60354275829</v>
      </c>
      <c r="R111" s="209"/>
      <c r="S111" s="211">
        <f t="shared" si="9"/>
        <v>0</v>
      </c>
      <c r="T111" s="212">
        <f>S111*$V$4</f>
        <v>0</v>
      </c>
      <c r="U111" s="202">
        <f>SUM(C111,F111,I111,L111)</f>
        <v>707214.15952177264</v>
      </c>
      <c r="V111" s="196">
        <f>U111*$V$5</f>
        <v>123762.47791631021</v>
      </c>
      <c r="W111" s="195">
        <f t="shared" si="13"/>
        <v>933305.4133380698</v>
      </c>
      <c r="X111" s="206">
        <f>W111*$V$6</f>
        <v>163328.44733416219</v>
      </c>
      <c r="Y111" s="205">
        <f t="shared" si="15"/>
        <v>1927610.4981103148</v>
      </c>
    </row>
    <row r="112" spans="1:26" ht="13.5" thickBot="1" x14ac:dyDescent="0.35">
      <c r="A112" s="223" t="s">
        <v>57</v>
      </c>
      <c r="B112" s="224">
        <f>SUM(B11:B111)</f>
        <v>1908800</v>
      </c>
      <c r="C112" s="225">
        <f>SUM(C11:C111)</f>
        <v>12236266.321436564</v>
      </c>
      <c r="D112" s="226">
        <f>SUM(D11:D111)</f>
        <v>940653.6</v>
      </c>
      <c r="E112" s="227">
        <f>SUM(E12:E111)</f>
        <v>429833</v>
      </c>
      <c r="F112" s="225">
        <f>SUM(F12:F111)</f>
        <v>840074.00008375966</v>
      </c>
      <c r="G112" s="226">
        <f>SUM(G12:G111)</f>
        <v>4966037.8645200068</v>
      </c>
      <c r="H112" s="227">
        <f>SUM(H12:H111)</f>
        <v>7585046.5087773455</v>
      </c>
      <c r="I112" s="225">
        <f t="shared" ref="I112:J112" si="16">SUM(I12:I111)</f>
        <v>68520567.679053053</v>
      </c>
      <c r="J112" s="226">
        <f t="shared" si="16"/>
        <v>65095852.258346342</v>
      </c>
      <c r="K112" s="227">
        <f>SUM(K12:K111)</f>
        <v>1564227.03</v>
      </c>
      <c r="L112" s="225">
        <f t="shared" ref="L112:N112" si="17">SUM(L12:L111)</f>
        <v>11028494.075273074</v>
      </c>
      <c r="M112" s="226">
        <f t="shared" si="17"/>
        <v>14119679.569049982</v>
      </c>
      <c r="N112" s="226">
        <f t="shared" si="17"/>
        <v>138682</v>
      </c>
      <c r="O112" s="228">
        <f>SUM(O12:O111)</f>
        <v>7549128.0939931786</v>
      </c>
      <c r="P112" s="229">
        <f>SUM(P10:P111)</f>
        <v>534816</v>
      </c>
      <c r="Q112" s="228">
        <f>SUM(Q12:Q111)</f>
        <v>6090453.8101403071</v>
      </c>
      <c r="R112" s="210"/>
      <c r="S112" s="230">
        <f>SUM(S11:S111)</f>
        <v>12161404.538777346</v>
      </c>
      <c r="T112" s="231">
        <f t="shared" ref="T112:X112" si="18">SUM(T11:T111)</f>
        <v>3648421.3616332035</v>
      </c>
      <c r="U112" s="230">
        <f t="shared" si="18"/>
        <v>92625402.075846523</v>
      </c>
      <c r="V112" s="231">
        <f t="shared" si="18"/>
        <v>16209445.363273099</v>
      </c>
      <c r="W112" s="230">
        <f t="shared" si="18"/>
        <v>98761805.196049646</v>
      </c>
      <c r="X112" s="231">
        <f t="shared" si="18"/>
        <v>17283315.909308732</v>
      </c>
      <c r="Y112" s="232">
        <f>SUM(Y11:Y111)</f>
        <v>240689794.44488886</v>
      </c>
      <c r="Z112" s="344"/>
    </row>
    <row r="113" spans="1:16" x14ac:dyDescent="0.25">
      <c r="A113" s="94" t="s">
        <v>69</v>
      </c>
      <c r="E113" s="344" t="s">
        <v>0</v>
      </c>
    </row>
    <row r="114" spans="1:16" ht="14.5" x14ac:dyDescent="0.35">
      <c r="A114" s="190"/>
      <c r="B114" s="95"/>
      <c r="C114" s="344"/>
      <c r="E114" s="95"/>
      <c r="H114" s="347" t="s">
        <v>0</v>
      </c>
    </row>
    <row r="115" spans="1:16" x14ac:dyDescent="0.25">
      <c r="A115" s="198"/>
      <c r="H115" s="94" t="s">
        <v>0</v>
      </c>
      <c r="O115" s="344"/>
    </row>
    <row r="116" spans="1:16" x14ac:dyDescent="0.25">
      <c r="F116" s="344"/>
    </row>
    <row r="117" spans="1:16" x14ac:dyDescent="0.25">
      <c r="C117" s="344"/>
      <c r="F117" s="344"/>
      <c r="P117" s="344"/>
    </row>
    <row r="120" spans="1:16" x14ac:dyDescent="0.25">
      <c r="I120" s="344"/>
    </row>
    <row r="122" spans="1:16" x14ac:dyDescent="0.25">
      <c r="J122" s="344"/>
    </row>
  </sheetData>
  <mergeCells count="14">
    <mergeCell ref="AC7:AD7"/>
    <mergeCell ref="A9:A10"/>
    <mergeCell ref="N9:O9"/>
    <mergeCell ref="P9:Q9"/>
    <mergeCell ref="B9:D9"/>
    <mergeCell ref="K9:M9"/>
    <mergeCell ref="S3:U3"/>
    <mergeCell ref="B8:Q8"/>
    <mergeCell ref="S9:Y9"/>
    <mergeCell ref="E9:G9"/>
    <mergeCell ref="H9:J9"/>
    <mergeCell ref="S5:U5"/>
    <mergeCell ref="S6:U6"/>
    <mergeCell ref="S4:U4"/>
  </mergeCells>
  <hyperlinks>
    <hyperlink ref="H114" r:id="rId1" display="=@sum(H17:H111)" xr:uid="{CF64F799-4556-4891-872F-63EA3061F8C2}"/>
  </hyperlinks>
  <pageMargins left="0.7" right="0.7" top="0.75" bottom="0.75" header="0.3" footer="0.3"/>
  <pageSetup scale="25"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548E-D6CA-487E-89D4-188806FF5202}">
  <sheetPr>
    <tabColor theme="5"/>
    <pageSetUpPr fitToPage="1"/>
  </sheetPr>
  <dimension ref="A1:K115"/>
  <sheetViews>
    <sheetView view="pageBreakPreview" zoomScale="85" zoomScaleNormal="100" zoomScaleSheetLayoutView="85" workbookViewId="0">
      <pane xSplit="2" ySplit="9" topLeftCell="C105" activePane="bottomRight" state="frozen"/>
      <selection pane="topRight" activeCell="D114" sqref="D114"/>
      <selection pane="bottomLeft" activeCell="D114" sqref="D114"/>
      <selection pane="bottomRight" activeCell="A114" sqref="A114"/>
    </sheetView>
  </sheetViews>
  <sheetFormatPr defaultColWidth="9.1796875" defaultRowHeight="14" x14ac:dyDescent="0.3"/>
  <cols>
    <col min="1" max="1" width="12.54296875" style="94" customWidth="1"/>
    <col min="2" max="2" width="11.54296875" style="94" customWidth="1"/>
    <col min="3" max="3" width="13.81640625" style="94" customWidth="1"/>
    <col min="4" max="4" width="15.26953125" style="94" customWidth="1"/>
    <col min="5" max="5" width="18.453125" style="94" customWidth="1"/>
    <col min="6" max="6" width="21.1796875" style="94" customWidth="1"/>
    <col min="7" max="7" width="17" style="94" customWidth="1"/>
    <col min="8" max="8" width="16.1796875" style="94" customWidth="1"/>
    <col min="9" max="9" width="15.453125" style="94" customWidth="1"/>
    <col min="10" max="10" width="13.1796875" style="93" customWidth="1"/>
    <col min="11" max="16384" width="9.1796875" style="72"/>
  </cols>
  <sheetData>
    <row r="1" spans="1:11" x14ac:dyDescent="0.3">
      <c r="A1" s="7"/>
      <c r="B1" s="7"/>
      <c r="K1" s="467"/>
    </row>
    <row r="2" spans="1:11" x14ac:dyDescent="0.3">
      <c r="A2" s="7"/>
      <c r="B2" s="7"/>
      <c r="K2" s="467"/>
    </row>
    <row r="3" spans="1:11" ht="20.25" customHeight="1" x14ac:dyDescent="0.35">
      <c r="A3" s="3"/>
      <c r="B3" s="3"/>
      <c r="F3" s="286"/>
      <c r="G3" s="117"/>
      <c r="H3" s="544" t="s">
        <v>11</v>
      </c>
      <c r="I3" s="544"/>
      <c r="K3" s="467"/>
    </row>
    <row r="4" spans="1:11" ht="15" customHeight="1" x14ac:dyDescent="0.3">
      <c r="A4" s="547" t="s">
        <v>1</v>
      </c>
      <c r="B4" s="548"/>
      <c r="C4" s="125">
        <f>'2019 CCP Summary'!B4</f>
        <v>43536</v>
      </c>
      <c r="D4" s="125"/>
      <c r="E4" s="125"/>
      <c r="H4" s="432" t="s">
        <v>70</v>
      </c>
      <c r="I4" s="433">
        <v>1908800</v>
      </c>
      <c r="J4" s="104"/>
      <c r="K4" s="467"/>
    </row>
    <row r="5" spans="1:11" x14ac:dyDescent="0.3">
      <c r="A5" s="549" t="s">
        <v>2</v>
      </c>
      <c r="B5" s="548"/>
      <c r="C5" s="6" t="s">
        <v>3</v>
      </c>
      <c r="D5" s="6"/>
      <c r="E5" s="6"/>
      <c r="H5" s="432" t="s">
        <v>71</v>
      </c>
      <c r="I5" s="434">
        <v>0</v>
      </c>
      <c r="J5" s="104"/>
      <c r="K5" s="467"/>
    </row>
    <row r="6" spans="1:11" x14ac:dyDescent="0.3">
      <c r="A6" s="549" t="s">
        <v>4</v>
      </c>
      <c r="B6" s="548"/>
      <c r="C6" s="6" t="s">
        <v>72</v>
      </c>
      <c r="D6" s="6"/>
      <c r="E6" s="6"/>
      <c r="G6" s="336"/>
      <c r="H6" s="432" t="s">
        <v>73</v>
      </c>
      <c r="I6" s="434">
        <v>1.4999999999999999E-2</v>
      </c>
      <c r="J6" s="99"/>
      <c r="K6" s="101"/>
    </row>
    <row r="7" spans="1:11" ht="14.5" customHeight="1" x14ac:dyDescent="0.3">
      <c r="A7" s="550" t="s">
        <v>6</v>
      </c>
      <c r="B7" s="548"/>
      <c r="C7" s="6" t="s">
        <v>7</v>
      </c>
      <c r="D7" s="6"/>
      <c r="E7" s="6"/>
      <c r="G7" s="337"/>
      <c r="H7" s="432" t="s">
        <v>74</v>
      </c>
      <c r="I7" s="435">
        <v>4.438053878410439E-2</v>
      </c>
      <c r="J7" s="126"/>
      <c r="K7" s="467"/>
    </row>
    <row r="8" spans="1:11" ht="14.5" customHeight="1" x14ac:dyDescent="0.3">
      <c r="A8" s="213"/>
      <c r="B8" s="96"/>
      <c r="C8" s="6"/>
      <c r="D8" s="6"/>
      <c r="E8" s="6"/>
      <c r="F8" s="6"/>
      <c r="G8" s="337"/>
      <c r="H8" s="432" t="s">
        <v>75</v>
      </c>
      <c r="I8" s="435">
        <v>4.4731460893662263E-2</v>
      </c>
      <c r="K8" s="467"/>
    </row>
    <row r="9" spans="1:11" ht="39" x14ac:dyDescent="0.3">
      <c r="A9" s="460" t="s">
        <v>76</v>
      </c>
      <c r="B9" s="460" t="s">
        <v>52</v>
      </c>
      <c r="C9" s="236" t="s">
        <v>77</v>
      </c>
      <c r="D9" s="236" t="s">
        <v>78</v>
      </c>
      <c r="E9" s="236" t="s">
        <v>79</v>
      </c>
      <c r="F9" s="236" t="s">
        <v>80</v>
      </c>
      <c r="G9" s="236" t="s">
        <v>81</v>
      </c>
      <c r="H9" s="237" t="s">
        <v>82</v>
      </c>
      <c r="I9" s="362" t="s">
        <v>83</v>
      </c>
      <c r="K9" s="467"/>
    </row>
    <row r="10" spans="1:11" ht="14.5" x14ac:dyDescent="0.35">
      <c r="A10" s="97">
        <v>0</v>
      </c>
      <c r="B10" s="97">
        <v>2018</v>
      </c>
      <c r="C10" s="353">
        <f>I4</f>
        <v>1908800</v>
      </c>
      <c r="D10" s="353">
        <v>0</v>
      </c>
      <c r="E10" s="353">
        <v>0</v>
      </c>
      <c r="F10" s="353">
        <v>0</v>
      </c>
      <c r="G10" s="357">
        <v>0</v>
      </c>
      <c r="H10" s="353">
        <f>G10*0.04</f>
        <v>0</v>
      </c>
      <c r="I10" s="353">
        <f>SUM(C10:F10,H10)</f>
        <v>1908800</v>
      </c>
      <c r="K10" s="467"/>
    </row>
    <row r="11" spans="1:11" ht="14.5" x14ac:dyDescent="0.35">
      <c r="A11" s="97">
        <v>1</v>
      </c>
      <c r="B11" s="97">
        <v>2019</v>
      </c>
      <c r="C11" s="353">
        <f t="shared" ref="C11:C17" si="0">$I$4*$I$5</f>
        <v>0</v>
      </c>
      <c r="D11" s="353">
        <v>0</v>
      </c>
      <c r="E11" s="353">
        <f t="shared" ref="E11:E16" si="1">$I$4*$I$6</f>
        <v>28632</v>
      </c>
      <c r="F11" s="353">
        <f>'Short Term ETS Labor'!$B$28</f>
        <v>128143.6</v>
      </c>
      <c r="G11" s="357">
        <v>61320000</v>
      </c>
      <c r="H11" s="353">
        <f>G11*$I$7</f>
        <v>2721414.6382412813</v>
      </c>
      <c r="I11" s="353">
        <f>SUM(C11:F11,H11)</f>
        <v>2878190.2382412814</v>
      </c>
      <c r="K11" s="467"/>
    </row>
    <row r="12" spans="1:11" ht="14.5" x14ac:dyDescent="0.35">
      <c r="A12" s="97">
        <v>2</v>
      </c>
      <c r="B12" s="97">
        <v>2020</v>
      </c>
      <c r="C12" s="353">
        <f t="shared" si="0"/>
        <v>0</v>
      </c>
      <c r="D12" s="353">
        <v>0</v>
      </c>
      <c r="E12" s="353">
        <f t="shared" si="1"/>
        <v>28632</v>
      </c>
      <c r="F12" s="353">
        <f>'Short Term ETS Labor'!$B$28</f>
        <v>128143.6</v>
      </c>
      <c r="G12" s="357">
        <v>64502134.515972003</v>
      </c>
      <c r="H12" s="353">
        <f t="shared" ref="H12:H16" si="2">G12*$I$7</f>
        <v>2862639.4825436138</v>
      </c>
      <c r="I12" s="353">
        <f t="shared" ref="I12:I74" si="3">SUM(C12:F12,H12)</f>
        <v>3019415.0825436139</v>
      </c>
      <c r="K12" s="467"/>
    </row>
    <row r="13" spans="1:11" ht="14.5" x14ac:dyDescent="0.35">
      <c r="A13" s="97">
        <v>3</v>
      </c>
      <c r="B13" s="97">
        <v>2021</v>
      </c>
      <c r="C13" s="353">
        <f t="shared" si="0"/>
        <v>0</v>
      </c>
      <c r="D13" s="353">
        <v>0</v>
      </c>
      <c r="E13" s="353">
        <f t="shared" si="1"/>
        <v>28632</v>
      </c>
      <c r="F13" s="353">
        <f>'Short Term ETS Labor'!$B$28</f>
        <v>128143.6</v>
      </c>
      <c r="G13" s="357">
        <v>53630102.570465639</v>
      </c>
      <c r="H13" s="353">
        <f t="shared" si="2"/>
        <v>2380132.8471240466</v>
      </c>
      <c r="I13" s="353">
        <f t="shared" si="3"/>
        <v>2536908.4471240467</v>
      </c>
      <c r="K13" s="467"/>
    </row>
    <row r="14" spans="1:11" ht="14.5" x14ac:dyDescent="0.35">
      <c r="A14" s="97">
        <v>4</v>
      </c>
      <c r="B14" s="97">
        <v>2022</v>
      </c>
      <c r="C14" s="353">
        <f t="shared" si="0"/>
        <v>0</v>
      </c>
      <c r="D14" s="353">
        <v>0</v>
      </c>
      <c r="E14" s="353">
        <f t="shared" si="1"/>
        <v>28632</v>
      </c>
      <c r="F14" s="353">
        <f>'Short Term ETS Labor'!$B$28</f>
        <v>128143.6</v>
      </c>
      <c r="G14" s="357">
        <v>42819412.931830309</v>
      </c>
      <c r="H14" s="353">
        <f t="shared" si="2"/>
        <v>1900348.616333676</v>
      </c>
      <c r="I14" s="353">
        <f t="shared" si="3"/>
        <v>2057124.2163336761</v>
      </c>
      <c r="K14" s="467"/>
    </row>
    <row r="15" spans="1:11" ht="14.5" x14ac:dyDescent="0.35">
      <c r="A15" s="97">
        <v>5</v>
      </c>
      <c r="B15" s="97">
        <v>2023</v>
      </c>
      <c r="C15" s="353">
        <f t="shared" si="0"/>
        <v>0</v>
      </c>
      <c r="D15" s="353">
        <v>0</v>
      </c>
      <c r="E15" s="353">
        <f t="shared" si="1"/>
        <v>28632</v>
      </c>
      <c r="F15" s="353">
        <f>'Short Term ETS Labor'!$B$28</f>
        <v>128143.6</v>
      </c>
      <c r="G15" s="357">
        <v>32067229.775891326</v>
      </c>
      <c r="H15" s="353">
        <f t="shared" si="2"/>
        <v>1423160.9347677322</v>
      </c>
      <c r="I15" s="353">
        <f t="shared" si="3"/>
        <v>1579936.5347677323</v>
      </c>
      <c r="K15" s="467"/>
    </row>
    <row r="16" spans="1:11" ht="14.5" x14ac:dyDescent="0.35">
      <c r="A16" s="97">
        <v>6</v>
      </c>
      <c r="B16" s="97">
        <v>2024</v>
      </c>
      <c r="C16" s="353">
        <f t="shared" si="0"/>
        <v>0</v>
      </c>
      <c r="D16" s="353">
        <v>0</v>
      </c>
      <c r="E16" s="353">
        <f t="shared" si="1"/>
        <v>28632</v>
      </c>
      <c r="F16" s="353">
        <f>'Short Term ETS Labor'!$B$28</f>
        <v>128143.6</v>
      </c>
      <c r="G16" s="357">
        <v>21373553.102648668</v>
      </c>
      <c r="H16" s="353">
        <f t="shared" si="2"/>
        <v>948569.80242621386</v>
      </c>
      <c r="I16" s="353">
        <f>SUM(C16:F16,H16)</f>
        <v>1105345.402426214</v>
      </c>
      <c r="J16" s="7"/>
      <c r="K16" s="467"/>
    </row>
    <row r="17" spans="1:10" x14ac:dyDescent="0.3">
      <c r="A17" s="97">
        <v>7</v>
      </c>
      <c r="B17" s="97">
        <v>2025</v>
      </c>
      <c r="C17" s="353">
        <f t="shared" si="0"/>
        <v>0</v>
      </c>
      <c r="D17" s="353">
        <v>0</v>
      </c>
      <c r="E17" s="353">
        <v>0</v>
      </c>
      <c r="F17" s="354">
        <v>0</v>
      </c>
      <c r="G17" s="358">
        <v>0</v>
      </c>
      <c r="H17" s="354">
        <f t="shared" ref="H17" si="4">G17*0.04</f>
        <v>0</v>
      </c>
      <c r="I17" s="353">
        <f t="shared" si="3"/>
        <v>0</v>
      </c>
      <c r="J17" s="7"/>
    </row>
    <row r="18" spans="1:10" ht="14.5" x14ac:dyDescent="0.35">
      <c r="A18" s="97">
        <v>8</v>
      </c>
      <c r="B18" s="97">
        <v>2026</v>
      </c>
      <c r="C18" s="353">
        <v>0</v>
      </c>
      <c r="D18" s="353">
        <v>0</v>
      </c>
      <c r="E18" s="353">
        <v>0</v>
      </c>
      <c r="F18" s="354">
        <v>0</v>
      </c>
      <c r="G18" s="359">
        <v>0</v>
      </c>
      <c r="H18" s="354">
        <f t="shared" ref="H18:H80" si="5">G18*0.04</f>
        <v>0</v>
      </c>
      <c r="I18" s="353">
        <f t="shared" si="3"/>
        <v>0</v>
      </c>
      <c r="J18" s="1"/>
    </row>
    <row r="19" spans="1:10" ht="14.5" x14ac:dyDescent="0.35">
      <c r="A19" s="97">
        <v>9</v>
      </c>
      <c r="B19" s="97">
        <v>2027</v>
      </c>
      <c r="C19" s="353">
        <v>0</v>
      </c>
      <c r="D19" s="353">
        <v>0</v>
      </c>
      <c r="E19" s="353">
        <v>0</v>
      </c>
      <c r="F19" s="354">
        <v>0</v>
      </c>
      <c r="G19" s="359">
        <v>0</v>
      </c>
      <c r="H19" s="354">
        <f t="shared" si="5"/>
        <v>0</v>
      </c>
      <c r="I19" s="353">
        <f t="shared" si="3"/>
        <v>0</v>
      </c>
      <c r="J19" s="1"/>
    </row>
    <row r="20" spans="1:10" ht="14.5" x14ac:dyDescent="0.35">
      <c r="A20" s="97">
        <v>10</v>
      </c>
      <c r="B20" s="97">
        <v>2028</v>
      </c>
      <c r="C20" s="353">
        <v>0</v>
      </c>
      <c r="D20" s="353">
        <v>0</v>
      </c>
      <c r="E20" s="353">
        <v>0</v>
      </c>
      <c r="F20" s="354">
        <v>0</v>
      </c>
      <c r="G20" s="359">
        <v>0</v>
      </c>
      <c r="H20" s="354">
        <f t="shared" si="5"/>
        <v>0</v>
      </c>
      <c r="I20" s="353">
        <f t="shared" si="3"/>
        <v>0</v>
      </c>
      <c r="J20" s="1"/>
    </row>
    <row r="21" spans="1:10" ht="14.5" x14ac:dyDescent="0.35">
      <c r="A21" s="97">
        <v>11</v>
      </c>
      <c r="B21" s="97">
        <v>2029</v>
      </c>
      <c r="C21" s="353">
        <v>0</v>
      </c>
      <c r="D21" s="353">
        <v>0</v>
      </c>
      <c r="E21" s="353">
        <v>0</v>
      </c>
      <c r="F21" s="354">
        <v>0</v>
      </c>
      <c r="G21" s="359">
        <v>0</v>
      </c>
      <c r="H21" s="354">
        <f t="shared" si="5"/>
        <v>0</v>
      </c>
      <c r="I21" s="353">
        <f t="shared" si="3"/>
        <v>0</v>
      </c>
      <c r="J21" s="1"/>
    </row>
    <row r="22" spans="1:10" ht="14.5" x14ac:dyDescent="0.35">
      <c r="A22" s="97">
        <v>12</v>
      </c>
      <c r="B22" s="97">
        <v>2030</v>
      </c>
      <c r="C22" s="353">
        <v>0</v>
      </c>
      <c r="D22" s="353">
        <v>0</v>
      </c>
      <c r="E22" s="353">
        <v>0</v>
      </c>
      <c r="F22" s="354">
        <v>0</v>
      </c>
      <c r="G22" s="359">
        <v>0</v>
      </c>
      <c r="H22" s="354">
        <f t="shared" si="5"/>
        <v>0</v>
      </c>
      <c r="I22" s="353">
        <f t="shared" si="3"/>
        <v>0</v>
      </c>
      <c r="J22" s="1"/>
    </row>
    <row r="23" spans="1:10" ht="14.5" x14ac:dyDescent="0.35">
      <c r="A23" s="97">
        <v>13</v>
      </c>
      <c r="B23" s="97">
        <v>2031</v>
      </c>
      <c r="C23" s="353">
        <v>0</v>
      </c>
      <c r="D23" s="353">
        <v>0</v>
      </c>
      <c r="E23" s="353">
        <v>0</v>
      </c>
      <c r="F23" s="354">
        <v>0</v>
      </c>
      <c r="G23" s="359">
        <v>0</v>
      </c>
      <c r="H23" s="354">
        <f t="shared" si="5"/>
        <v>0</v>
      </c>
      <c r="I23" s="353">
        <f t="shared" si="3"/>
        <v>0</v>
      </c>
      <c r="J23" s="1"/>
    </row>
    <row r="24" spans="1:10" ht="14.5" x14ac:dyDescent="0.35">
      <c r="A24" s="97">
        <v>14</v>
      </c>
      <c r="B24" s="97">
        <v>2032</v>
      </c>
      <c r="C24" s="353">
        <v>0</v>
      </c>
      <c r="D24" s="353">
        <v>0</v>
      </c>
      <c r="E24" s="353">
        <v>0</v>
      </c>
      <c r="F24" s="354">
        <v>0</v>
      </c>
      <c r="G24" s="359">
        <v>0</v>
      </c>
      <c r="H24" s="354">
        <f t="shared" si="5"/>
        <v>0</v>
      </c>
      <c r="I24" s="353">
        <f t="shared" si="3"/>
        <v>0</v>
      </c>
      <c r="J24" s="7"/>
    </row>
    <row r="25" spans="1:10" ht="14.5" x14ac:dyDescent="0.35">
      <c r="A25" s="97">
        <v>15</v>
      </c>
      <c r="B25" s="97">
        <v>2033</v>
      </c>
      <c r="C25" s="353">
        <v>0</v>
      </c>
      <c r="D25" s="353">
        <v>0</v>
      </c>
      <c r="E25" s="353">
        <v>0</v>
      </c>
      <c r="F25" s="354">
        <v>0</v>
      </c>
      <c r="G25" s="359">
        <v>0</v>
      </c>
      <c r="H25" s="354">
        <f t="shared" si="5"/>
        <v>0</v>
      </c>
      <c r="I25" s="353">
        <f t="shared" si="3"/>
        <v>0</v>
      </c>
      <c r="J25" s="1"/>
    </row>
    <row r="26" spans="1:10" ht="14.5" x14ac:dyDescent="0.35">
      <c r="A26" s="97">
        <v>16</v>
      </c>
      <c r="B26" s="97">
        <v>2034</v>
      </c>
      <c r="C26" s="353">
        <v>0</v>
      </c>
      <c r="D26" s="353">
        <v>0</v>
      </c>
      <c r="E26" s="353">
        <v>0</v>
      </c>
      <c r="F26" s="354">
        <v>0</v>
      </c>
      <c r="G26" s="359">
        <v>0</v>
      </c>
      <c r="H26" s="354">
        <f t="shared" si="5"/>
        <v>0</v>
      </c>
      <c r="I26" s="353">
        <f t="shared" si="3"/>
        <v>0</v>
      </c>
      <c r="J26" s="1"/>
    </row>
    <row r="27" spans="1:10" ht="14.5" x14ac:dyDescent="0.35">
      <c r="A27" s="97">
        <v>17</v>
      </c>
      <c r="B27" s="97">
        <v>2035</v>
      </c>
      <c r="C27" s="353">
        <v>0</v>
      </c>
      <c r="D27" s="353">
        <v>0</v>
      </c>
      <c r="E27" s="353">
        <v>0</v>
      </c>
      <c r="F27" s="354">
        <v>0</v>
      </c>
      <c r="G27" s="359">
        <v>0</v>
      </c>
      <c r="H27" s="354">
        <f t="shared" si="5"/>
        <v>0</v>
      </c>
      <c r="I27" s="353">
        <f t="shared" si="3"/>
        <v>0</v>
      </c>
      <c r="J27" s="1"/>
    </row>
    <row r="28" spans="1:10" ht="14.5" x14ac:dyDescent="0.35">
      <c r="A28" s="97">
        <v>18</v>
      </c>
      <c r="B28" s="97">
        <v>2036</v>
      </c>
      <c r="C28" s="353">
        <v>0</v>
      </c>
      <c r="D28" s="353">
        <v>0</v>
      </c>
      <c r="E28" s="353">
        <v>0</v>
      </c>
      <c r="F28" s="354">
        <v>0</v>
      </c>
      <c r="G28" s="359">
        <v>0</v>
      </c>
      <c r="H28" s="354">
        <f t="shared" si="5"/>
        <v>0</v>
      </c>
      <c r="I28" s="353">
        <f t="shared" si="3"/>
        <v>0</v>
      </c>
      <c r="J28" s="1"/>
    </row>
    <row r="29" spans="1:10" ht="14.5" x14ac:dyDescent="0.35">
      <c r="A29" s="97">
        <v>19</v>
      </c>
      <c r="B29" s="97">
        <v>2037</v>
      </c>
      <c r="C29" s="353">
        <v>0</v>
      </c>
      <c r="D29" s="353">
        <v>0</v>
      </c>
      <c r="E29" s="353">
        <v>0</v>
      </c>
      <c r="F29" s="354">
        <v>0</v>
      </c>
      <c r="G29" s="359">
        <v>0</v>
      </c>
      <c r="H29" s="354">
        <f t="shared" si="5"/>
        <v>0</v>
      </c>
      <c r="I29" s="353">
        <f t="shared" si="3"/>
        <v>0</v>
      </c>
      <c r="J29" s="1"/>
    </row>
    <row r="30" spans="1:10" ht="14.5" x14ac:dyDescent="0.35">
      <c r="A30" s="97">
        <v>20</v>
      </c>
      <c r="B30" s="97">
        <v>2038</v>
      </c>
      <c r="C30" s="353">
        <v>0</v>
      </c>
      <c r="D30" s="353">
        <v>0</v>
      </c>
      <c r="E30" s="353">
        <v>0</v>
      </c>
      <c r="F30" s="354">
        <v>0</v>
      </c>
      <c r="G30" s="359">
        <v>0</v>
      </c>
      <c r="H30" s="354">
        <f t="shared" si="5"/>
        <v>0</v>
      </c>
      <c r="I30" s="353">
        <f t="shared" si="3"/>
        <v>0</v>
      </c>
      <c r="J30" s="1"/>
    </row>
    <row r="31" spans="1:10" ht="14.5" x14ac:dyDescent="0.35">
      <c r="A31" s="97">
        <v>21</v>
      </c>
      <c r="B31" s="97">
        <v>2039</v>
      </c>
      <c r="C31" s="353">
        <v>0</v>
      </c>
      <c r="D31" s="353">
        <v>0</v>
      </c>
      <c r="E31" s="353">
        <v>0</v>
      </c>
      <c r="F31" s="354">
        <v>0</v>
      </c>
      <c r="G31" s="359">
        <v>0</v>
      </c>
      <c r="H31" s="354">
        <f t="shared" si="5"/>
        <v>0</v>
      </c>
      <c r="I31" s="353">
        <f t="shared" si="3"/>
        <v>0</v>
      </c>
      <c r="J31" s="1"/>
    </row>
    <row r="32" spans="1:10" ht="14.5" x14ac:dyDescent="0.35">
      <c r="A32" s="97">
        <v>22</v>
      </c>
      <c r="B32" s="97">
        <v>2040</v>
      </c>
      <c r="C32" s="353">
        <v>0</v>
      </c>
      <c r="D32" s="353">
        <v>0</v>
      </c>
      <c r="E32" s="353">
        <v>0</v>
      </c>
      <c r="F32" s="354">
        <v>0</v>
      </c>
      <c r="G32" s="359">
        <v>0</v>
      </c>
      <c r="H32" s="354">
        <f t="shared" si="5"/>
        <v>0</v>
      </c>
      <c r="I32" s="353">
        <f t="shared" si="3"/>
        <v>0</v>
      </c>
      <c r="J32" s="7"/>
    </row>
    <row r="33" spans="1:10" ht="14.5" x14ac:dyDescent="0.35">
      <c r="A33" s="97">
        <v>23</v>
      </c>
      <c r="B33" s="97">
        <v>2041</v>
      </c>
      <c r="C33" s="353">
        <v>0</v>
      </c>
      <c r="D33" s="353">
        <v>0</v>
      </c>
      <c r="E33" s="353">
        <v>0</v>
      </c>
      <c r="F33" s="354">
        <v>0</v>
      </c>
      <c r="G33" s="359">
        <v>0</v>
      </c>
      <c r="H33" s="354">
        <f t="shared" si="5"/>
        <v>0</v>
      </c>
      <c r="I33" s="353">
        <f t="shared" si="3"/>
        <v>0</v>
      </c>
      <c r="J33" s="1"/>
    </row>
    <row r="34" spans="1:10" ht="14.5" x14ac:dyDescent="0.35">
      <c r="A34" s="97">
        <v>24</v>
      </c>
      <c r="B34" s="97">
        <v>2042</v>
      </c>
      <c r="C34" s="353">
        <v>0</v>
      </c>
      <c r="D34" s="353">
        <v>0</v>
      </c>
      <c r="E34" s="353">
        <v>0</v>
      </c>
      <c r="F34" s="354">
        <v>0</v>
      </c>
      <c r="G34" s="359">
        <v>0</v>
      </c>
      <c r="H34" s="354">
        <f t="shared" si="5"/>
        <v>0</v>
      </c>
      <c r="I34" s="353">
        <f t="shared" si="3"/>
        <v>0</v>
      </c>
      <c r="J34" s="1"/>
    </row>
    <row r="35" spans="1:10" ht="14.5" x14ac:dyDescent="0.35">
      <c r="A35" s="97">
        <v>25</v>
      </c>
      <c r="B35" s="97">
        <v>2043</v>
      </c>
      <c r="C35" s="353">
        <v>0</v>
      </c>
      <c r="D35" s="353">
        <v>0</v>
      </c>
      <c r="E35" s="353">
        <v>0</v>
      </c>
      <c r="F35" s="354">
        <v>0</v>
      </c>
      <c r="G35" s="359">
        <v>0</v>
      </c>
      <c r="H35" s="354">
        <f t="shared" si="5"/>
        <v>0</v>
      </c>
      <c r="I35" s="353">
        <f t="shared" si="3"/>
        <v>0</v>
      </c>
      <c r="J35" s="1"/>
    </row>
    <row r="36" spans="1:10" ht="14.5" x14ac:dyDescent="0.35">
      <c r="A36" s="97">
        <v>26</v>
      </c>
      <c r="B36" s="97">
        <v>2044</v>
      </c>
      <c r="C36" s="353">
        <v>0</v>
      </c>
      <c r="D36" s="353">
        <v>0</v>
      </c>
      <c r="E36" s="353">
        <v>0</v>
      </c>
      <c r="F36" s="354">
        <v>0</v>
      </c>
      <c r="G36" s="359">
        <v>0</v>
      </c>
      <c r="H36" s="354">
        <f t="shared" si="5"/>
        <v>0</v>
      </c>
      <c r="I36" s="353">
        <f t="shared" si="3"/>
        <v>0</v>
      </c>
      <c r="J36" s="1"/>
    </row>
    <row r="37" spans="1:10" ht="14.5" x14ac:dyDescent="0.35">
      <c r="A37" s="97">
        <v>27</v>
      </c>
      <c r="B37" s="97">
        <v>2045</v>
      </c>
      <c r="C37" s="353">
        <v>0</v>
      </c>
      <c r="D37" s="353">
        <v>0</v>
      </c>
      <c r="E37" s="353">
        <v>0</v>
      </c>
      <c r="F37" s="354">
        <v>0</v>
      </c>
      <c r="G37" s="359">
        <v>0</v>
      </c>
      <c r="H37" s="354">
        <f t="shared" si="5"/>
        <v>0</v>
      </c>
      <c r="I37" s="353">
        <f t="shared" si="3"/>
        <v>0</v>
      </c>
      <c r="J37" s="1"/>
    </row>
    <row r="38" spans="1:10" ht="14.5" x14ac:dyDescent="0.35">
      <c r="A38" s="97">
        <v>28</v>
      </c>
      <c r="B38" s="97">
        <v>2046</v>
      </c>
      <c r="C38" s="353">
        <v>0</v>
      </c>
      <c r="D38" s="353">
        <v>0</v>
      </c>
      <c r="E38" s="353">
        <v>0</v>
      </c>
      <c r="F38" s="354">
        <v>0</v>
      </c>
      <c r="G38" s="359">
        <v>0</v>
      </c>
      <c r="H38" s="354">
        <f t="shared" si="5"/>
        <v>0</v>
      </c>
      <c r="I38" s="353">
        <f t="shared" si="3"/>
        <v>0</v>
      </c>
      <c r="J38" s="1"/>
    </row>
    <row r="39" spans="1:10" ht="14.5" x14ac:dyDescent="0.35">
      <c r="A39" s="97">
        <v>29</v>
      </c>
      <c r="B39" s="97">
        <v>2047</v>
      </c>
      <c r="C39" s="353">
        <v>0</v>
      </c>
      <c r="D39" s="353">
        <v>0</v>
      </c>
      <c r="E39" s="353">
        <v>0</v>
      </c>
      <c r="F39" s="354">
        <v>0</v>
      </c>
      <c r="G39" s="359">
        <v>0</v>
      </c>
      <c r="H39" s="354">
        <f t="shared" si="5"/>
        <v>0</v>
      </c>
      <c r="I39" s="353">
        <f t="shared" si="3"/>
        <v>0</v>
      </c>
      <c r="J39" s="1"/>
    </row>
    <row r="40" spans="1:10" ht="14.5" x14ac:dyDescent="0.35">
      <c r="A40" s="97">
        <v>30</v>
      </c>
      <c r="B40" s="97">
        <v>2048</v>
      </c>
      <c r="C40" s="353">
        <v>0</v>
      </c>
      <c r="D40" s="353">
        <v>0</v>
      </c>
      <c r="E40" s="353">
        <v>0</v>
      </c>
      <c r="F40" s="354">
        <v>0</v>
      </c>
      <c r="G40" s="359">
        <v>0</v>
      </c>
      <c r="H40" s="354">
        <f t="shared" si="5"/>
        <v>0</v>
      </c>
      <c r="I40" s="353">
        <f t="shared" si="3"/>
        <v>0</v>
      </c>
      <c r="J40" s="1"/>
    </row>
    <row r="41" spans="1:10" ht="14.5" x14ac:dyDescent="0.35">
      <c r="A41" s="97">
        <v>31</v>
      </c>
      <c r="B41" s="97">
        <v>2049</v>
      </c>
      <c r="C41" s="353">
        <v>0</v>
      </c>
      <c r="D41" s="353">
        <v>0</v>
      </c>
      <c r="E41" s="353">
        <v>0</v>
      </c>
      <c r="F41" s="354">
        <v>0</v>
      </c>
      <c r="G41" s="359">
        <v>0</v>
      </c>
      <c r="H41" s="354">
        <f t="shared" si="5"/>
        <v>0</v>
      </c>
      <c r="I41" s="353">
        <f t="shared" si="3"/>
        <v>0</v>
      </c>
      <c r="J41" s="1"/>
    </row>
    <row r="42" spans="1:10" ht="14.5" x14ac:dyDescent="0.35">
      <c r="A42" s="97">
        <v>32</v>
      </c>
      <c r="B42" s="97">
        <v>2050</v>
      </c>
      <c r="C42" s="353">
        <v>0</v>
      </c>
      <c r="D42" s="353">
        <v>0</v>
      </c>
      <c r="E42" s="353">
        <v>0</v>
      </c>
      <c r="F42" s="354">
        <v>0</v>
      </c>
      <c r="G42" s="359">
        <v>0</v>
      </c>
      <c r="H42" s="354">
        <f t="shared" si="5"/>
        <v>0</v>
      </c>
      <c r="I42" s="353">
        <f t="shared" si="3"/>
        <v>0</v>
      </c>
      <c r="J42" s="1"/>
    </row>
    <row r="43" spans="1:10" ht="14.5" x14ac:dyDescent="0.35">
      <c r="A43" s="97">
        <v>33</v>
      </c>
      <c r="B43" s="97">
        <v>2051</v>
      </c>
      <c r="C43" s="353">
        <v>0</v>
      </c>
      <c r="D43" s="353">
        <v>0</v>
      </c>
      <c r="E43" s="353">
        <v>0</v>
      </c>
      <c r="F43" s="354">
        <v>0</v>
      </c>
      <c r="G43" s="359">
        <v>0</v>
      </c>
      <c r="H43" s="354">
        <f t="shared" si="5"/>
        <v>0</v>
      </c>
      <c r="I43" s="353">
        <f t="shared" si="3"/>
        <v>0</v>
      </c>
      <c r="J43" s="1"/>
    </row>
    <row r="44" spans="1:10" ht="14.5" x14ac:dyDescent="0.35">
      <c r="A44" s="97">
        <v>34</v>
      </c>
      <c r="B44" s="97">
        <v>2052</v>
      </c>
      <c r="C44" s="353">
        <v>0</v>
      </c>
      <c r="D44" s="353">
        <v>0</v>
      </c>
      <c r="E44" s="353">
        <v>0</v>
      </c>
      <c r="F44" s="354">
        <v>0</v>
      </c>
      <c r="G44" s="359">
        <v>0</v>
      </c>
      <c r="H44" s="354">
        <f t="shared" si="5"/>
        <v>0</v>
      </c>
      <c r="I44" s="353">
        <f t="shared" si="3"/>
        <v>0</v>
      </c>
      <c r="J44" s="1"/>
    </row>
    <row r="45" spans="1:10" ht="14.5" x14ac:dyDescent="0.35">
      <c r="A45" s="97">
        <v>35</v>
      </c>
      <c r="B45" s="97">
        <v>2053</v>
      </c>
      <c r="C45" s="353">
        <v>0</v>
      </c>
      <c r="D45" s="353">
        <v>0</v>
      </c>
      <c r="E45" s="353">
        <v>0</v>
      </c>
      <c r="F45" s="354">
        <v>0</v>
      </c>
      <c r="G45" s="359">
        <v>0</v>
      </c>
      <c r="H45" s="354">
        <f t="shared" si="5"/>
        <v>0</v>
      </c>
      <c r="I45" s="353">
        <f t="shared" si="3"/>
        <v>0</v>
      </c>
      <c r="J45" s="1"/>
    </row>
    <row r="46" spans="1:10" ht="14.5" x14ac:dyDescent="0.35">
      <c r="A46" s="97">
        <v>36</v>
      </c>
      <c r="B46" s="97">
        <v>2054</v>
      </c>
      <c r="C46" s="353">
        <v>0</v>
      </c>
      <c r="D46" s="353">
        <v>0</v>
      </c>
      <c r="E46" s="353">
        <v>0</v>
      </c>
      <c r="F46" s="354">
        <v>0</v>
      </c>
      <c r="G46" s="359">
        <v>0</v>
      </c>
      <c r="H46" s="354">
        <f t="shared" si="5"/>
        <v>0</v>
      </c>
      <c r="I46" s="353">
        <f t="shared" si="3"/>
        <v>0</v>
      </c>
      <c r="J46" s="1"/>
    </row>
    <row r="47" spans="1:10" ht="14.5" x14ac:dyDescent="0.35">
      <c r="A47" s="97">
        <v>37</v>
      </c>
      <c r="B47" s="97">
        <v>2055</v>
      </c>
      <c r="C47" s="353">
        <v>0</v>
      </c>
      <c r="D47" s="353">
        <v>0</v>
      </c>
      <c r="E47" s="353">
        <v>0</v>
      </c>
      <c r="F47" s="354">
        <v>0</v>
      </c>
      <c r="G47" s="359">
        <v>0</v>
      </c>
      <c r="H47" s="354">
        <f t="shared" si="5"/>
        <v>0</v>
      </c>
      <c r="I47" s="353">
        <f t="shared" si="3"/>
        <v>0</v>
      </c>
      <c r="J47" s="1"/>
    </row>
    <row r="48" spans="1:10" ht="14.5" x14ac:dyDescent="0.35">
      <c r="A48" s="97">
        <v>38</v>
      </c>
      <c r="B48" s="97">
        <v>2056</v>
      </c>
      <c r="C48" s="353">
        <v>0</v>
      </c>
      <c r="D48" s="353">
        <v>0</v>
      </c>
      <c r="E48" s="353">
        <v>0</v>
      </c>
      <c r="F48" s="354">
        <v>0</v>
      </c>
      <c r="G48" s="359">
        <v>0</v>
      </c>
      <c r="H48" s="354">
        <f t="shared" si="5"/>
        <v>0</v>
      </c>
      <c r="I48" s="353">
        <f t="shared" si="3"/>
        <v>0</v>
      </c>
      <c r="J48" s="1"/>
    </row>
    <row r="49" spans="1:10" ht="14.5" x14ac:dyDescent="0.35">
      <c r="A49" s="97">
        <v>39</v>
      </c>
      <c r="B49" s="97">
        <v>2057</v>
      </c>
      <c r="C49" s="353">
        <v>0</v>
      </c>
      <c r="D49" s="353">
        <v>0</v>
      </c>
      <c r="E49" s="353">
        <v>0</v>
      </c>
      <c r="F49" s="354">
        <v>0</v>
      </c>
      <c r="G49" s="359">
        <v>0</v>
      </c>
      <c r="H49" s="354">
        <f t="shared" si="5"/>
        <v>0</v>
      </c>
      <c r="I49" s="353">
        <f t="shared" si="3"/>
        <v>0</v>
      </c>
      <c r="J49" s="1"/>
    </row>
    <row r="50" spans="1:10" ht="14.5" x14ac:dyDescent="0.35">
      <c r="A50" s="97">
        <v>40</v>
      </c>
      <c r="B50" s="97">
        <v>2058</v>
      </c>
      <c r="C50" s="353">
        <v>0</v>
      </c>
      <c r="D50" s="353">
        <v>0</v>
      </c>
      <c r="E50" s="353">
        <v>0</v>
      </c>
      <c r="F50" s="354">
        <v>0</v>
      </c>
      <c r="G50" s="359">
        <v>0</v>
      </c>
      <c r="H50" s="354">
        <f t="shared" si="5"/>
        <v>0</v>
      </c>
      <c r="I50" s="353">
        <f t="shared" si="3"/>
        <v>0</v>
      </c>
      <c r="J50" s="1"/>
    </row>
    <row r="51" spans="1:10" ht="14.5" x14ac:dyDescent="0.35">
      <c r="A51" s="97">
        <v>41</v>
      </c>
      <c r="B51" s="97">
        <v>2059</v>
      </c>
      <c r="C51" s="353">
        <v>0</v>
      </c>
      <c r="D51" s="353">
        <v>0</v>
      </c>
      <c r="E51" s="353">
        <v>0</v>
      </c>
      <c r="F51" s="354">
        <v>0</v>
      </c>
      <c r="G51" s="359">
        <v>0</v>
      </c>
      <c r="H51" s="354">
        <f t="shared" si="5"/>
        <v>0</v>
      </c>
      <c r="I51" s="353">
        <f t="shared" si="3"/>
        <v>0</v>
      </c>
      <c r="J51" s="1"/>
    </row>
    <row r="52" spans="1:10" ht="14.5" x14ac:dyDescent="0.35">
      <c r="A52" s="97">
        <v>42</v>
      </c>
      <c r="B52" s="97">
        <v>2060</v>
      </c>
      <c r="C52" s="353">
        <v>0</v>
      </c>
      <c r="D52" s="353">
        <v>0</v>
      </c>
      <c r="E52" s="353">
        <v>0</v>
      </c>
      <c r="F52" s="354">
        <v>0</v>
      </c>
      <c r="G52" s="359">
        <v>0</v>
      </c>
      <c r="H52" s="354">
        <f t="shared" si="5"/>
        <v>0</v>
      </c>
      <c r="I52" s="353">
        <f t="shared" si="3"/>
        <v>0</v>
      </c>
      <c r="J52" s="1"/>
    </row>
    <row r="53" spans="1:10" ht="14.5" x14ac:dyDescent="0.35">
      <c r="A53" s="97">
        <v>43</v>
      </c>
      <c r="B53" s="97">
        <v>2061</v>
      </c>
      <c r="C53" s="353">
        <v>0</v>
      </c>
      <c r="D53" s="353">
        <v>0</v>
      </c>
      <c r="E53" s="353">
        <v>0</v>
      </c>
      <c r="F53" s="354">
        <v>0</v>
      </c>
      <c r="G53" s="359">
        <v>0</v>
      </c>
      <c r="H53" s="354">
        <f t="shared" si="5"/>
        <v>0</v>
      </c>
      <c r="I53" s="353">
        <f t="shared" si="3"/>
        <v>0</v>
      </c>
      <c r="J53" s="1"/>
    </row>
    <row r="54" spans="1:10" ht="14.5" x14ac:dyDescent="0.35">
      <c r="A54" s="97">
        <v>44</v>
      </c>
      <c r="B54" s="97">
        <v>2062</v>
      </c>
      <c r="C54" s="353">
        <v>0</v>
      </c>
      <c r="D54" s="353">
        <v>0</v>
      </c>
      <c r="E54" s="353">
        <v>0</v>
      </c>
      <c r="F54" s="354">
        <v>0</v>
      </c>
      <c r="G54" s="359">
        <v>0</v>
      </c>
      <c r="H54" s="354">
        <f t="shared" si="5"/>
        <v>0</v>
      </c>
      <c r="I54" s="353">
        <f t="shared" si="3"/>
        <v>0</v>
      </c>
      <c r="J54" s="1"/>
    </row>
    <row r="55" spans="1:10" ht="14.5" x14ac:dyDescent="0.35">
      <c r="A55" s="97">
        <v>45</v>
      </c>
      <c r="B55" s="97">
        <v>2063</v>
      </c>
      <c r="C55" s="353">
        <v>0</v>
      </c>
      <c r="D55" s="353">
        <v>0</v>
      </c>
      <c r="E55" s="353">
        <v>0</v>
      </c>
      <c r="F55" s="354">
        <v>0</v>
      </c>
      <c r="G55" s="359">
        <v>0</v>
      </c>
      <c r="H55" s="354">
        <f t="shared" si="5"/>
        <v>0</v>
      </c>
      <c r="I55" s="353">
        <f t="shared" si="3"/>
        <v>0</v>
      </c>
      <c r="J55" s="1"/>
    </row>
    <row r="56" spans="1:10" ht="14.5" x14ac:dyDescent="0.35">
      <c r="A56" s="97">
        <v>46</v>
      </c>
      <c r="B56" s="97">
        <v>2064</v>
      </c>
      <c r="C56" s="353">
        <v>0</v>
      </c>
      <c r="D56" s="353">
        <v>0</v>
      </c>
      <c r="E56" s="353">
        <v>0</v>
      </c>
      <c r="F56" s="354">
        <v>0</v>
      </c>
      <c r="G56" s="359">
        <v>0</v>
      </c>
      <c r="H56" s="354">
        <f t="shared" si="5"/>
        <v>0</v>
      </c>
      <c r="I56" s="353">
        <f t="shared" si="3"/>
        <v>0</v>
      </c>
      <c r="J56" s="1"/>
    </row>
    <row r="57" spans="1:10" ht="14.5" x14ac:dyDescent="0.35">
      <c r="A57" s="97">
        <v>47</v>
      </c>
      <c r="B57" s="97">
        <v>2065</v>
      </c>
      <c r="C57" s="353">
        <v>0</v>
      </c>
      <c r="D57" s="353">
        <v>0</v>
      </c>
      <c r="E57" s="353">
        <v>0</v>
      </c>
      <c r="F57" s="354">
        <v>0</v>
      </c>
      <c r="G57" s="359">
        <v>0</v>
      </c>
      <c r="H57" s="354">
        <f t="shared" si="5"/>
        <v>0</v>
      </c>
      <c r="I57" s="353">
        <f t="shared" si="3"/>
        <v>0</v>
      </c>
      <c r="J57" s="1"/>
    </row>
    <row r="58" spans="1:10" ht="14.5" x14ac:dyDescent="0.35">
      <c r="A58" s="97">
        <v>48</v>
      </c>
      <c r="B58" s="97">
        <v>2066</v>
      </c>
      <c r="C58" s="353">
        <v>0</v>
      </c>
      <c r="D58" s="353">
        <v>0</v>
      </c>
      <c r="E58" s="353">
        <v>0</v>
      </c>
      <c r="F58" s="354">
        <v>0</v>
      </c>
      <c r="G58" s="359">
        <v>0</v>
      </c>
      <c r="H58" s="354">
        <f t="shared" si="5"/>
        <v>0</v>
      </c>
      <c r="I58" s="353">
        <f t="shared" si="3"/>
        <v>0</v>
      </c>
      <c r="J58" s="1"/>
    </row>
    <row r="59" spans="1:10" ht="14.5" x14ac:dyDescent="0.35">
      <c r="A59" s="97">
        <v>49</v>
      </c>
      <c r="B59" s="97">
        <v>2067</v>
      </c>
      <c r="C59" s="353">
        <v>0</v>
      </c>
      <c r="D59" s="353">
        <v>0</v>
      </c>
      <c r="E59" s="353">
        <v>0</v>
      </c>
      <c r="F59" s="354">
        <v>0</v>
      </c>
      <c r="G59" s="359">
        <v>0</v>
      </c>
      <c r="H59" s="354">
        <f t="shared" si="5"/>
        <v>0</v>
      </c>
      <c r="I59" s="353">
        <f t="shared" si="3"/>
        <v>0</v>
      </c>
      <c r="J59" s="1"/>
    </row>
    <row r="60" spans="1:10" ht="14.5" x14ac:dyDescent="0.35">
      <c r="A60" s="97">
        <v>50</v>
      </c>
      <c r="B60" s="97">
        <v>2068</v>
      </c>
      <c r="C60" s="353">
        <v>0</v>
      </c>
      <c r="D60" s="353">
        <v>0</v>
      </c>
      <c r="E60" s="353">
        <v>0</v>
      </c>
      <c r="F60" s="354">
        <v>0</v>
      </c>
      <c r="G60" s="359">
        <v>0</v>
      </c>
      <c r="H60" s="354">
        <f t="shared" si="5"/>
        <v>0</v>
      </c>
      <c r="I60" s="353">
        <f t="shared" si="3"/>
        <v>0</v>
      </c>
      <c r="J60" s="7"/>
    </row>
    <row r="61" spans="1:10" ht="14.5" x14ac:dyDescent="0.35">
      <c r="A61" s="97">
        <v>51</v>
      </c>
      <c r="B61" s="97">
        <v>2069</v>
      </c>
      <c r="C61" s="353">
        <v>0</v>
      </c>
      <c r="D61" s="353">
        <v>0</v>
      </c>
      <c r="E61" s="353">
        <v>0</v>
      </c>
      <c r="F61" s="354">
        <v>0</v>
      </c>
      <c r="G61" s="359">
        <v>0</v>
      </c>
      <c r="H61" s="354">
        <f t="shared" si="5"/>
        <v>0</v>
      </c>
      <c r="I61" s="353">
        <f t="shared" si="3"/>
        <v>0</v>
      </c>
      <c r="J61" s="1"/>
    </row>
    <row r="62" spans="1:10" ht="14.5" x14ac:dyDescent="0.35">
      <c r="A62" s="97">
        <v>52</v>
      </c>
      <c r="B62" s="97">
        <v>2070</v>
      </c>
      <c r="C62" s="353">
        <v>0</v>
      </c>
      <c r="D62" s="353">
        <v>0</v>
      </c>
      <c r="E62" s="353">
        <v>0</v>
      </c>
      <c r="F62" s="354">
        <v>0</v>
      </c>
      <c r="G62" s="359">
        <v>0</v>
      </c>
      <c r="H62" s="354">
        <f t="shared" si="5"/>
        <v>0</v>
      </c>
      <c r="I62" s="353">
        <f t="shared" si="3"/>
        <v>0</v>
      </c>
      <c r="J62" s="1"/>
    </row>
    <row r="63" spans="1:10" ht="14.5" x14ac:dyDescent="0.35">
      <c r="A63" s="97">
        <v>53</v>
      </c>
      <c r="B63" s="97">
        <v>2071</v>
      </c>
      <c r="C63" s="353">
        <v>0</v>
      </c>
      <c r="D63" s="353">
        <v>0</v>
      </c>
      <c r="E63" s="353">
        <v>0</v>
      </c>
      <c r="F63" s="354">
        <v>0</v>
      </c>
      <c r="G63" s="359">
        <v>0</v>
      </c>
      <c r="H63" s="354">
        <f t="shared" si="5"/>
        <v>0</v>
      </c>
      <c r="I63" s="353">
        <f t="shared" si="3"/>
        <v>0</v>
      </c>
      <c r="J63" s="1"/>
    </row>
    <row r="64" spans="1:10" ht="14.5" x14ac:dyDescent="0.35">
      <c r="A64" s="97">
        <v>54</v>
      </c>
      <c r="B64" s="97">
        <v>2072</v>
      </c>
      <c r="C64" s="353">
        <v>0</v>
      </c>
      <c r="D64" s="353">
        <v>0</v>
      </c>
      <c r="E64" s="353">
        <v>0</v>
      </c>
      <c r="F64" s="354">
        <v>0</v>
      </c>
      <c r="G64" s="359">
        <v>0</v>
      </c>
      <c r="H64" s="354">
        <f t="shared" si="5"/>
        <v>0</v>
      </c>
      <c r="I64" s="353">
        <f t="shared" si="3"/>
        <v>0</v>
      </c>
      <c r="J64" s="1"/>
    </row>
    <row r="65" spans="1:10" ht="14.5" x14ac:dyDescent="0.35">
      <c r="A65" s="97">
        <v>55</v>
      </c>
      <c r="B65" s="97">
        <v>2073</v>
      </c>
      <c r="C65" s="353">
        <v>0</v>
      </c>
      <c r="D65" s="353">
        <v>0</v>
      </c>
      <c r="E65" s="353">
        <v>0</v>
      </c>
      <c r="F65" s="354">
        <v>0</v>
      </c>
      <c r="G65" s="359">
        <v>0</v>
      </c>
      <c r="H65" s="354">
        <f t="shared" si="5"/>
        <v>0</v>
      </c>
      <c r="I65" s="353">
        <f t="shared" si="3"/>
        <v>0</v>
      </c>
      <c r="J65" s="1"/>
    </row>
    <row r="66" spans="1:10" ht="14.5" x14ac:dyDescent="0.35">
      <c r="A66" s="97">
        <v>56</v>
      </c>
      <c r="B66" s="97">
        <v>2074</v>
      </c>
      <c r="C66" s="353">
        <v>0</v>
      </c>
      <c r="D66" s="353">
        <v>0</v>
      </c>
      <c r="E66" s="353">
        <v>0</v>
      </c>
      <c r="F66" s="354">
        <v>0</v>
      </c>
      <c r="G66" s="359">
        <v>0</v>
      </c>
      <c r="H66" s="354">
        <f t="shared" si="5"/>
        <v>0</v>
      </c>
      <c r="I66" s="353">
        <f t="shared" si="3"/>
        <v>0</v>
      </c>
      <c r="J66" s="1"/>
    </row>
    <row r="67" spans="1:10" ht="14.5" x14ac:dyDescent="0.35">
      <c r="A67" s="97">
        <v>57</v>
      </c>
      <c r="B67" s="97">
        <v>2075</v>
      </c>
      <c r="C67" s="353">
        <v>0</v>
      </c>
      <c r="D67" s="353">
        <v>0</v>
      </c>
      <c r="E67" s="353">
        <v>0</v>
      </c>
      <c r="F67" s="354">
        <v>0</v>
      </c>
      <c r="G67" s="359">
        <v>0</v>
      </c>
      <c r="H67" s="354">
        <f t="shared" si="5"/>
        <v>0</v>
      </c>
      <c r="I67" s="353">
        <f t="shared" si="3"/>
        <v>0</v>
      </c>
      <c r="J67" s="1"/>
    </row>
    <row r="68" spans="1:10" ht="14.5" x14ac:dyDescent="0.35">
      <c r="A68" s="97">
        <v>58</v>
      </c>
      <c r="B68" s="97">
        <v>2076</v>
      </c>
      <c r="C68" s="353">
        <v>0</v>
      </c>
      <c r="D68" s="353">
        <v>0</v>
      </c>
      <c r="E68" s="353">
        <v>0</v>
      </c>
      <c r="F68" s="354">
        <v>0</v>
      </c>
      <c r="G68" s="359">
        <v>0</v>
      </c>
      <c r="H68" s="354">
        <f t="shared" si="5"/>
        <v>0</v>
      </c>
      <c r="I68" s="353">
        <f t="shared" si="3"/>
        <v>0</v>
      </c>
      <c r="J68" s="1"/>
    </row>
    <row r="69" spans="1:10" ht="14.5" x14ac:dyDescent="0.35">
      <c r="A69" s="97">
        <v>59</v>
      </c>
      <c r="B69" s="97">
        <v>2077</v>
      </c>
      <c r="C69" s="353">
        <v>0</v>
      </c>
      <c r="D69" s="353">
        <v>0</v>
      </c>
      <c r="E69" s="353">
        <v>0</v>
      </c>
      <c r="F69" s="354">
        <v>0</v>
      </c>
      <c r="G69" s="359">
        <v>0</v>
      </c>
      <c r="H69" s="354">
        <f t="shared" si="5"/>
        <v>0</v>
      </c>
      <c r="I69" s="353">
        <f t="shared" si="3"/>
        <v>0</v>
      </c>
      <c r="J69" s="1"/>
    </row>
    <row r="70" spans="1:10" ht="14.5" x14ac:dyDescent="0.35">
      <c r="A70" s="97">
        <v>60</v>
      </c>
      <c r="B70" s="97">
        <v>2078</v>
      </c>
      <c r="C70" s="353">
        <v>0</v>
      </c>
      <c r="D70" s="353">
        <v>0</v>
      </c>
      <c r="E70" s="353">
        <v>0</v>
      </c>
      <c r="F70" s="354">
        <v>0</v>
      </c>
      <c r="G70" s="359">
        <v>0</v>
      </c>
      <c r="H70" s="354">
        <f t="shared" si="5"/>
        <v>0</v>
      </c>
      <c r="I70" s="353">
        <f t="shared" si="3"/>
        <v>0</v>
      </c>
      <c r="J70" s="1"/>
    </row>
    <row r="71" spans="1:10" ht="14.5" x14ac:dyDescent="0.35">
      <c r="A71" s="97">
        <v>61</v>
      </c>
      <c r="B71" s="97">
        <v>2079</v>
      </c>
      <c r="C71" s="353">
        <v>0</v>
      </c>
      <c r="D71" s="353">
        <v>0</v>
      </c>
      <c r="E71" s="353">
        <v>0</v>
      </c>
      <c r="F71" s="354">
        <v>0</v>
      </c>
      <c r="G71" s="359">
        <v>0</v>
      </c>
      <c r="H71" s="354">
        <f t="shared" si="5"/>
        <v>0</v>
      </c>
      <c r="I71" s="353">
        <f t="shared" si="3"/>
        <v>0</v>
      </c>
      <c r="J71" s="1"/>
    </row>
    <row r="72" spans="1:10" ht="14.5" x14ac:dyDescent="0.35">
      <c r="A72" s="97">
        <v>62</v>
      </c>
      <c r="B72" s="97">
        <v>2080</v>
      </c>
      <c r="C72" s="353">
        <v>0</v>
      </c>
      <c r="D72" s="353">
        <v>0</v>
      </c>
      <c r="E72" s="353">
        <v>0</v>
      </c>
      <c r="F72" s="354">
        <v>0</v>
      </c>
      <c r="G72" s="359">
        <v>0</v>
      </c>
      <c r="H72" s="354">
        <f t="shared" si="5"/>
        <v>0</v>
      </c>
      <c r="I72" s="353">
        <f t="shared" si="3"/>
        <v>0</v>
      </c>
      <c r="J72" s="1"/>
    </row>
    <row r="73" spans="1:10" ht="14.5" x14ac:dyDescent="0.35">
      <c r="A73" s="97">
        <v>63</v>
      </c>
      <c r="B73" s="97">
        <v>2081</v>
      </c>
      <c r="C73" s="353">
        <v>0</v>
      </c>
      <c r="D73" s="353">
        <v>0</v>
      </c>
      <c r="E73" s="353">
        <v>0</v>
      </c>
      <c r="F73" s="354">
        <v>0</v>
      </c>
      <c r="G73" s="359">
        <v>0</v>
      </c>
      <c r="H73" s="354">
        <f t="shared" si="5"/>
        <v>0</v>
      </c>
      <c r="I73" s="353">
        <f t="shared" si="3"/>
        <v>0</v>
      </c>
      <c r="J73" s="1"/>
    </row>
    <row r="74" spans="1:10" ht="14.5" x14ac:dyDescent="0.35">
      <c r="A74" s="97">
        <v>64</v>
      </c>
      <c r="B74" s="97">
        <v>2082</v>
      </c>
      <c r="C74" s="353">
        <v>0</v>
      </c>
      <c r="D74" s="353">
        <v>0</v>
      </c>
      <c r="E74" s="353">
        <v>0</v>
      </c>
      <c r="F74" s="354">
        <v>0</v>
      </c>
      <c r="G74" s="359">
        <v>0</v>
      </c>
      <c r="H74" s="354">
        <f t="shared" si="5"/>
        <v>0</v>
      </c>
      <c r="I74" s="353">
        <f t="shared" si="3"/>
        <v>0</v>
      </c>
      <c r="J74" s="1"/>
    </row>
    <row r="75" spans="1:10" ht="14.5" x14ac:dyDescent="0.35">
      <c r="A75" s="97">
        <v>65</v>
      </c>
      <c r="B75" s="97">
        <v>2083</v>
      </c>
      <c r="C75" s="353">
        <v>0</v>
      </c>
      <c r="D75" s="353">
        <v>0</v>
      </c>
      <c r="E75" s="353">
        <v>0</v>
      </c>
      <c r="F75" s="354">
        <v>0</v>
      </c>
      <c r="G75" s="359">
        <v>0</v>
      </c>
      <c r="H75" s="354">
        <f t="shared" si="5"/>
        <v>0</v>
      </c>
      <c r="I75" s="353">
        <f t="shared" ref="I75:I110" si="6">SUM(C75:F75,H75)</f>
        <v>0</v>
      </c>
      <c r="J75" s="1"/>
    </row>
    <row r="76" spans="1:10" ht="14.5" x14ac:dyDescent="0.35">
      <c r="A76" s="97">
        <v>66</v>
      </c>
      <c r="B76" s="97">
        <v>2084</v>
      </c>
      <c r="C76" s="353">
        <v>0</v>
      </c>
      <c r="D76" s="353">
        <v>0</v>
      </c>
      <c r="E76" s="353">
        <v>0</v>
      </c>
      <c r="F76" s="354">
        <v>0</v>
      </c>
      <c r="G76" s="359">
        <v>0</v>
      </c>
      <c r="H76" s="354">
        <f t="shared" si="5"/>
        <v>0</v>
      </c>
      <c r="I76" s="353">
        <f t="shared" si="6"/>
        <v>0</v>
      </c>
      <c r="J76" s="1"/>
    </row>
    <row r="77" spans="1:10" ht="14.5" x14ac:dyDescent="0.35">
      <c r="A77" s="97">
        <v>67</v>
      </c>
      <c r="B77" s="97">
        <v>2085</v>
      </c>
      <c r="C77" s="353">
        <v>0</v>
      </c>
      <c r="D77" s="353">
        <v>0</v>
      </c>
      <c r="E77" s="353">
        <v>0</v>
      </c>
      <c r="F77" s="354">
        <v>0</v>
      </c>
      <c r="G77" s="359">
        <v>0</v>
      </c>
      <c r="H77" s="354">
        <f t="shared" si="5"/>
        <v>0</v>
      </c>
      <c r="I77" s="353">
        <f t="shared" si="6"/>
        <v>0</v>
      </c>
      <c r="J77" s="1"/>
    </row>
    <row r="78" spans="1:10" ht="14.5" x14ac:dyDescent="0.35">
      <c r="A78" s="97">
        <v>68</v>
      </c>
      <c r="B78" s="97">
        <v>2086</v>
      </c>
      <c r="C78" s="353">
        <v>0</v>
      </c>
      <c r="D78" s="353">
        <v>0</v>
      </c>
      <c r="E78" s="353">
        <v>0</v>
      </c>
      <c r="F78" s="354">
        <v>0</v>
      </c>
      <c r="G78" s="359">
        <v>0</v>
      </c>
      <c r="H78" s="354">
        <f t="shared" si="5"/>
        <v>0</v>
      </c>
      <c r="I78" s="353">
        <f t="shared" si="6"/>
        <v>0</v>
      </c>
      <c r="J78" s="1"/>
    </row>
    <row r="79" spans="1:10" ht="14.5" x14ac:dyDescent="0.35">
      <c r="A79" s="97">
        <v>69</v>
      </c>
      <c r="B79" s="97">
        <v>2087</v>
      </c>
      <c r="C79" s="353">
        <v>0</v>
      </c>
      <c r="D79" s="353">
        <v>0</v>
      </c>
      <c r="E79" s="353">
        <v>0</v>
      </c>
      <c r="F79" s="354">
        <v>0</v>
      </c>
      <c r="G79" s="359">
        <v>0</v>
      </c>
      <c r="H79" s="354">
        <f t="shared" si="5"/>
        <v>0</v>
      </c>
      <c r="I79" s="353">
        <f t="shared" si="6"/>
        <v>0</v>
      </c>
      <c r="J79" s="1"/>
    </row>
    <row r="80" spans="1:10" ht="14.5" x14ac:dyDescent="0.35">
      <c r="A80" s="97">
        <v>70</v>
      </c>
      <c r="B80" s="97">
        <v>2088</v>
      </c>
      <c r="C80" s="353">
        <v>0</v>
      </c>
      <c r="D80" s="353">
        <v>0</v>
      </c>
      <c r="E80" s="353">
        <v>0</v>
      </c>
      <c r="F80" s="354">
        <v>0</v>
      </c>
      <c r="G80" s="359">
        <v>0</v>
      </c>
      <c r="H80" s="354">
        <f t="shared" si="5"/>
        <v>0</v>
      </c>
      <c r="I80" s="353">
        <f t="shared" si="6"/>
        <v>0</v>
      </c>
      <c r="J80" s="1"/>
    </row>
    <row r="81" spans="1:10" ht="14.5" x14ac:dyDescent="0.35">
      <c r="A81" s="97">
        <v>71</v>
      </c>
      <c r="B81" s="97">
        <v>2089</v>
      </c>
      <c r="C81" s="353">
        <v>0</v>
      </c>
      <c r="D81" s="353">
        <v>0</v>
      </c>
      <c r="E81" s="353">
        <v>0</v>
      </c>
      <c r="F81" s="354">
        <v>0</v>
      </c>
      <c r="G81" s="359">
        <v>0</v>
      </c>
      <c r="H81" s="354">
        <f t="shared" ref="H81:H110" si="7">G81*0.04</f>
        <v>0</v>
      </c>
      <c r="I81" s="353">
        <f t="shared" si="6"/>
        <v>0</v>
      </c>
      <c r="J81" s="1"/>
    </row>
    <row r="82" spans="1:10" ht="14.5" x14ac:dyDescent="0.35">
      <c r="A82" s="97">
        <v>72</v>
      </c>
      <c r="B82" s="97">
        <v>2090</v>
      </c>
      <c r="C82" s="353">
        <v>0</v>
      </c>
      <c r="D82" s="353">
        <v>0</v>
      </c>
      <c r="E82" s="353">
        <v>0</v>
      </c>
      <c r="F82" s="354">
        <v>0</v>
      </c>
      <c r="G82" s="359">
        <v>0</v>
      </c>
      <c r="H82" s="354">
        <f t="shared" si="7"/>
        <v>0</v>
      </c>
      <c r="I82" s="353">
        <f t="shared" si="6"/>
        <v>0</v>
      </c>
      <c r="J82" s="1"/>
    </row>
    <row r="83" spans="1:10" ht="14.5" x14ac:dyDescent="0.35">
      <c r="A83" s="97">
        <v>73</v>
      </c>
      <c r="B83" s="97">
        <v>2091</v>
      </c>
      <c r="C83" s="353">
        <v>0</v>
      </c>
      <c r="D83" s="353">
        <v>0</v>
      </c>
      <c r="E83" s="353">
        <v>0</v>
      </c>
      <c r="F83" s="354">
        <v>0</v>
      </c>
      <c r="G83" s="359">
        <v>0</v>
      </c>
      <c r="H83" s="354">
        <f t="shared" si="7"/>
        <v>0</v>
      </c>
      <c r="I83" s="353">
        <f t="shared" si="6"/>
        <v>0</v>
      </c>
      <c r="J83" s="1"/>
    </row>
    <row r="84" spans="1:10" ht="14.5" x14ac:dyDescent="0.35">
      <c r="A84" s="97">
        <v>74</v>
      </c>
      <c r="B84" s="97">
        <v>2092</v>
      </c>
      <c r="C84" s="353">
        <v>0</v>
      </c>
      <c r="D84" s="353">
        <v>0</v>
      </c>
      <c r="E84" s="353">
        <v>0</v>
      </c>
      <c r="F84" s="354">
        <v>0</v>
      </c>
      <c r="G84" s="359">
        <v>0</v>
      </c>
      <c r="H84" s="354">
        <f t="shared" si="7"/>
        <v>0</v>
      </c>
      <c r="I84" s="353">
        <f t="shared" si="6"/>
        <v>0</v>
      </c>
      <c r="J84" s="1"/>
    </row>
    <row r="85" spans="1:10" ht="14.5" x14ac:dyDescent="0.35">
      <c r="A85" s="97">
        <v>75</v>
      </c>
      <c r="B85" s="97">
        <v>2093</v>
      </c>
      <c r="C85" s="353">
        <v>0</v>
      </c>
      <c r="D85" s="353">
        <v>0</v>
      </c>
      <c r="E85" s="353">
        <v>0</v>
      </c>
      <c r="F85" s="354">
        <v>0</v>
      </c>
      <c r="G85" s="359">
        <v>0</v>
      </c>
      <c r="H85" s="354">
        <f t="shared" si="7"/>
        <v>0</v>
      </c>
      <c r="I85" s="353">
        <f t="shared" si="6"/>
        <v>0</v>
      </c>
      <c r="J85" s="1"/>
    </row>
    <row r="86" spans="1:10" ht="14.5" x14ac:dyDescent="0.35">
      <c r="A86" s="97">
        <v>76</v>
      </c>
      <c r="B86" s="97">
        <v>2094</v>
      </c>
      <c r="C86" s="353">
        <v>0</v>
      </c>
      <c r="D86" s="353">
        <v>0</v>
      </c>
      <c r="E86" s="353">
        <v>0</v>
      </c>
      <c r="F86" s="354">
        <v>0</v>
      </c>
      <c r="G86" s="359">
        <v>0</v>
      </c>
      <c r="H86" s="354">
        <f t="shared" si="7"/>
        <v>0</v>
      </c>
      <c r="I86" s="353">
        <f t="shared" si="6"/>
        <v>0</v>
      </c>
      <c r="J86" s="1"/>
    </row>
    <row r="87" spans="1:10" ht="14.5" x14ac:dyDescent="0.35">
      <c r="A87" s="97">
        <v>77</v>
      </c>
      <c r="B87" s="97">
        <v>2095</v>
      </c>
      <c r="C87" s="353">
        <v>0</v>
      </c>
      <c r="D87" s="353">
        <v>0</v>
      </c>
      <c r="E87" s="353">
        <v>0</v>
      </c>
      <c r="F87" s="354">
        <v>0</v>
      </c>
      <c r="G87" s="359">
        <v>0</v>
      </c>
      <c r="H87" s="354">
        <f t="shared" si="7"/>
        <v>0</v>
      </c>
      <c r="I87" s="353">
        <f t="shared" si="6"/>
        <v>0</v>
      </c>
      <c r="J87" s="1"/>
    </row>
    <row r="88" spans="1:10" ht="14.5" x14ac:dyDescent="0.35">
      <c r="A88" s="97">
        <v>78</v>
      </c>
      <c r="B88" s="97">
        <v>2096</v>
      </c>
      <c r="C88" s="353">
        <v>0</v>
      </c>
      <c r="D88" s="353">
        <v>0</v>
      </c>
      <c r="E88" s="353">
        <v>0</v>
      </c>
      <c r="F88" s="354">
        <v>0</v>
      </c>
      <c r="G88" s="359">
        <v>0</v>
      </c>
      <c r="H88" s="354">
        <f t="shared" si="7"/>
        <v>0</v>
      </c>
      <c r="I88" s="353">
        <f t="shared" si="6"/>
        <v>0</v>
      </c>
      <c r="J88" s="1"/>
    </row>
    <row r="89" spans="1:10" ht="14.5" x14ac:dyDescent="0.35">
      <c r="A89" s="97">
        <v>79</v>
      </c>
      <c r="B89" s="97">
        <v>2097</v>
      </c>
      <c r="C89" s="353">
        <v>0</v>
      </c>
      <c r="D89" s="353">
        <v>0</v>
      </c>
      <c r="E89" s="353">
        <v>0</v>
      </c>
      <c r="F89" s="354">
        <v>0</v>
      </c>
      <c r="G89" s="359">
        <v>0</v>
      </c>
      <c r="H89" s="354">
        <f t="shared" si="7"/>
        <v>0</v>
      </c>
      <c r="I89" s="353">
        <f t="shared" si="6"/>
        <v>0</v>
      </c>
      <c r="J89" s="1"/>
    </row>
    <row r="90" spans="1:10" ht="14.5" x14ac:dyDescent="0.35">
      <c r="A90" s="97">
        <v>80</v>
      </c>
      <c r="B90" s="97">
        <v>2098</v>
      </c>
      <c r="C90" s="353">
        <v>0</v>
      </c>
      <c r="D90" s="353">
        <v>0</v>
      </c>
      <c r="E90" s="353">
        <v>0</v>
      </c>
      <c r="F90" s="354">
        <v>0</v>
      </c>
      <c r="G90" s="359">
        <v>0</v>
      </c>
      <c r="H90" s="354">
        <f t="shared" si="7"/>
        <v>0</v>
      </c>
      <c r="I90" s="353">
        <f t="shared" si="6"/>
        <v>0</v>
      </c>
      <c r="J90" s="1"/>
    </row>
    <row r="91" spans="1:10" ht="14.5" x14ac:dyDescent="0.35">
      <c r="A91" s="97">
        <v>81</v>
      </c>
      <c r="B91" s="97">
        <v>2099</v>
      </c>
      <c r="C91" s="353">
        <v>0</v>
      </c>
      <c r="D91" s="353">
        <v>0</v>
      </c>
      <c r="E91" s="353">
        <v>0</v>
      </c>
      <c r="F91" s="354">
        <v>0</v>
      </c>
      <c r="G91" s="359">
        <v>0</v>
      </c>
      <c r="H91" s="354">
        <f t="shared" si="7"/>
        <v>0</v>
      </c>
      <c r="I91" s="353">
        <f t="shared" si="6"/>
        <v>0</v>
      </c>
      <c r="J91" s="1"/>
    </row>
    <row r="92" spans="1:10" ht="14.5" x14ac:dyDescent="0.35">
      <c r="A92" s="97">
        <v>82</v>
      </c>
      <c r="B92" s="97">
        <v>2100</v>
      </c>
      <c r="C92" s="353">
        <v>0</v>
      </c>
      <c r="D92" s="353">
        <v>0</v>
      </c>
      <c r="E92" s="353">
        <v>0</v>
      </c>
      <c r="F92" s="354">
        <v>0</v>
      </c>
      <c r="G92" s="359">
        <v>0</v>
      </c>
      <c r="H92" s="354">
        <f t="shared" si="7"/>
        <v>0</v>
      </c>
      <c r="I92" s="353">
        <f t="shared" si="6"/>
        <v>0</v>
      </c>
      <c r="J92" s="1"/>
    </row>
    <row r="93" spans="1:10" ht="14.5" x14ac:dyDescent="0.35">
      <c r="A93" s="97">
        <v>83</v>
      </c>
      <c r="B93" s="97">
        <v>2101</v>
      </c>
      <c r="C93" s="353">
        <v>0</v>
      </c>
      <c r="D93" s="353">
        <v>0</v>
      </c>
      <c r="E93" s="353">
        <v>0</v>
      </c>
      <c r="F93" s="354">
        <v>0</v>
      </c>
      <c r="G93" s="359">
        <v>0</v>
      </c>
      <c r="H93" s="354">
        <f t="shared" si="7"/>
        <v>0</v>
      </c>
      <c r="I93" s="353">
        <f t="shared" si="6"/>
        <v>0</v>
      </c>
      <c r="J93" s="1"/>
    </row>
    <row r="94" spans="1:10" ht="14.5" x14ac:dyDescent="0.35">
      <c r="A94" s="97">
        <v>84</v>
      </c>
      <c r="B94" s="97">
        <v>2102</v>
      </c>
      <c r="C94" s="353">
        <v>0</v>
      </c>
      <c r="D94" s="353">
        <v>0</v>
      </c>
      <c r="E94" s="353">
        <v>0</v>
      </c>
      <c r="F94" s="354">
        <v>0</v>
      </c>
      <c r="G94" s="359">
        <v>0</v>
      </c>
      <c r="H94" s="354">
        <f t="shared" si="7"/>
        <v>0</v>
      </c>
      <c r="I94" s="353">
        <f t="shared" si="6"/>
        <v>0</v>
      </c>
      <c r="J94" s="1"/>
    </row>
    <row r="95" spans="1:10" ht="14.5" x14ac:dyDescent="0.35">
      <c r="A95" s="97">
        <v>85</v>
      </c>
      <c r="B95" s="97">
        <v>2103</v>
      </c>
      <c r="C95" s="353">
        <v>0</v>
      </c>
      <c r="D95" s="353">
        <v>0</v>
      </c>
      <c r="E95" s="353">
        <v>0</v>
      </c>
      <c r="F95" s="354">
        <v>0</v>
      </c>
      <c r="G95" s="359">
        <v>0</v>
      </c>
      <c r="H95" s="354">
        <f t="shared" si="7"/>
        <v>0</v>
      </c>
      <c r="I95" s="353">
        <f t="shared" si="6"/>
        <v>0</v>
      </c>
      <c r="J95" s="1"/>
    </row>
    <row r="96" spans="1:10" ht="14.5" x14ac:dyDescent="0.35">
      <c r="A96" s="97">
        <v>86</v>
      </c>
      <c r="B96" s="97">
        <v>2104</v>
      </c>
      <c r="C96" s="353">
        <v>0</v>
      </c>
      <c r="D96" s="353">
        <v>0</v>
      </c>
      <c r="E96" s="353">
        <v>0</v>
      </c>
      <c r="F96" s="354">
        <v>0</v>
      </c>
      <c r="G96" s="359">
        <v>0</v>
      </c>
      <c r="H96" s="354">
        <f t="shared" si="7"/>
        <v>0</v>
      </c>
      <c r="I96" s="353">
        <f t="shared" si="6"/>
        <v>0</v>
      </c>
      <c r="J96" s="1"/>
    </row>
    <row r="97" spans="1:10" ht="14.5" x14ac:dyDescent="0.35">
      <c r="A97" s="97">
        <v>87</v>
      </c>
      <c r="B97" s="97">
        <v>2105</v>
      </c>
      <c r="C97" s="353">
        <v>0</v>
      </c>
      <c r="D97" s="353">
        <v>0</v>
      </c>
      <c r="E97" s="353">
        <v>0</v>
      </c>
      <c r="F97" s="354">
        <v>0</v>
      </c>
      <c r="G97" s="359">
        <v>0</v>
      </c>
      <c r="H97" s="354">
        <f t="shared" si="7"/>
        <v>0</v>
      </c>
      <c r="I97" s="353">
        <f t="shared" si="6"/>
        <v>0</v>
      </c>
      <c r="J97" s="1"/>
    </row>
    <row r="98" spans="1:10" ht="14.5" x14ac:dyDescent="0.35">
      <c r="A98" s="97">
        <v>88</v>
      </c>
      <c r="B98" s="97">
        <v>2106</v>
      </c>
      <c r="C98" s="353">
        <v>0</v>
      </c>
      <c r="D98" s="353">
        <v>0</v>
      </c>
      <c r="E98" s="353">
        <v>0</v>
      </c>
      <c r="F98" s="354">
        <v>0</v>
      </c>
      <c r="G98" s="359">
        <v>0</v>
      </c>
      <c r="H98" s="354">
        <f t="shared" si="7"/>
        <v>0</v>
      </c>
      <c r="I98" s="353">
        <f t="shared" si="6"/>
        <v>0</v>
      </c>
      <c r="J98" s="1"/>
    </row>
    <row r="99" spans="1:10" ht="14.5" x14ac:dyDescent="0.35">
      <c r="A99" s="97">
        <v>89</v>
      </c>
      <c r="B99" s="97">
        <v>2107</v>
      </c>
      <c r="C99" s="353">
        <v>0</v>
      </c>
      <c r="D99" s="353">
        <v>0</v>
      </c>
      <c r="E99" s="353">
        <v>0</v>
      </c>
      <c r="F99" s="354">
        <v>0</v>
      </c>
      <c r="G99" s="359">
        <v>0</v>
      </c>
      <c r="H99" s="354">
        <f t="shared" si="7"/>
        <v>0</v>
      </c>
      <c r="I99" s="353">
        <f t="shared" si="6"/>
        <v>0</v>
      </c>
      <c r="J99" s="1"/>
    </row>
    <row r="100" spans="1:10" ht="14.5" x14ac:dyDescent="0.35">
      <c r="A100" s="97">
        <v>90</v>
      </c>
      <c r="B100" s="97">
        <v>2108</v>
      </c>
      <c r="C100" s="353">
        <v>0</v>
      </c>
      <c r="D100" s="353">
        <v>0</v>
      </c>
      <c r="E100" s="353">
        <v>0</v>
      </c>
      <c r="F100" s="354">
        <v>0</v>
      </c>
      <c r="G100" s="359">
        <v>0</v>
      </c>
      <c r="H100" s="354">
        <f t="shared" si="7"/>
        <v>0</v>
      </c>
      <c r="I100" s="353">
        <f t="shared" si="6"/>
        <v>0</v>
      </c>
      <c r="J100" s="1"/>
    </row>
    <row r="101" spans="1:10" ht="14.5" x14ac:dyDescent="0.35">
      <c r="A101" s="97">
        <v>91</v>
      </c>
      <c r="B101" s="97">
        <v>2109</v>
      </c>
      <c r="C101" s="353">
        <v>0</v>
      </c>
      <c r="D101" s="353">
        <v>0</v>
      </c>
      <c r="E101" s="353">
        <v>0</v>
      </c>
      <c r="F101" s="354">
        <v>0</v>
      </c>
      <c r="G101" s="359">
        <v>0</v>
      </c>
      <c r="H101" s="354">
        <f t="shared" si="7"/>
        <v>0</v>
      </c>
      <c r="I101" s="353">
        <f t="shared" si="6"/>
        <v>0</v>
      </c>
      <c r="J101" s="1"/>
    </row>
    <row r="102" spans="1:10" ht="14.5" x14ac:dyDescent="0.35">
      <c r="A102" s="97">
        <v>92</v>
      </c>
      <c r="B102" s="97">
        <v>2110</v>
      </c>
      <c r="C102" s="353">
        <v>0</v>
      </c>
      <c r="D102" s="353">
        <v>0</v>
      </c>
      <c r="E102" s="353">
        <v>0</v>
      </c>
      <c r="F102" s="354">
        <v>0</v>
      </c>
      <c r="G102" s="359">
        <v>0</v>
      </c>
      <c r="H102" s="354">
        <f t="shared" si="7"/>
        <v>0</v>
      </c>
      <c r="I102" s="353">
        <f t="shared" si="6"/>
        <v>0</v>
      </c>
      <c r="J102" s="1"/>
    </row>
    <row r="103" spans="1:10" ht="14.5" x14ac:dyDescent="0.35">
      <c r="A103" s="97">
        <v>93</v>
      </c>
      <c r="B103" s="97">
        <v>2111</v>
      </c>
      <c r="C103" s="353">
        <v>0</v>
      </c>
      <c r="D103" s="353">
        <v>0</v>
      </c>
      <c r="E103" s="353">
        <v>0</v>
      </c>
      <c r="F103" s="354">
        <v>0</v>
      </c>
      <c r="G103" s="359">
        <v>0</v>
      </c>
      <c r="H103" s="354">
        <f t="shared" si="7"/>
        <v>0</v>
      </c>
      <c r="I103" s="353">
        <f t="shared" si="6"/>
        <v>0</v>
      </c>
      <c r="J103" s="1"/>
    </row>
    <row r="104" spans="1:10" ht="14.5" x14ac:dyDescent="0.35">
      <c r="A104" s="97">
        <v>94</v>
      </c>
      <c r="B104" s="97">
        <v>2112</v>
      </c>
      <c r="C104" s="353">
        <v>0</v>
      </c>
      <c r="D104" s="353">
        <v>0</v>
      </c>
      <c r="E104" s="353">
        <v>0</v>
      </c>
      <c r="F104" s="354">
        <v>0</v>
      </c>
      <c r="G104" s="359">
        <v>0</v>
      </c>
      <c r="H104" s="354">
        <f t="shared" si="7"/>
        <v>0</v>
      </c>
      <c r="I104" s="353">
        <f t="shared" si="6"/>
        <v>0</v>
      </c>
      <c r="J104" s="1"/>
    </row>
    <row r="105" spans="1:10" ht="14.5" x14ac:dyDescent="0.35">
      <c r="A105" s="97">
        <v>95</v>
      </c>
      <c r="B105" s="97">
        <v>2113</v>
      </c>
      <c r="C105" s="353">
        <v>0</v>
      </c>
      <c r="D105" s="353">
        <v>0</v>
      </c>
      <c r="E105" s="353">
        <v>0</v>
      </c>
      <c r="F105" s="354">
        <v>0</v>
      </c>
      <c r="G105" s="359">
        <v>0</v>
      </c>
      <c r="H105" s="354">
        <f t="shared" si="7"/>
        <v>0</v>
      </c>
      <c r="I105" s="353">
        <f t="shared" si="6"/>
        <v>0</v>
      </c>
      <c r="J105" s="1"/>
    </row>
    <row r="106" spans="1:10" ht="14.5" x14ac:dyDescent="0.35">
      <c r="A106" s="97">
        <v>96</v>
      </c>
      <c r="B106" s="97">
        <v>2114</v>
      </c>
      <c r="C106" s="353">
        <v>0</v>
      </c>
      <c r="D106" s="353">
        <v>0</v>
      </c>
      <c r="E106" s="353">
        <v>0</v>
      </c>
      <c r="F106" s="354">
        <v>0</v>
      </c>
      <c r="G106" s="359">
        <v>0</v>
      </c>
      <c r="H106" s="354">
        <f t="shared" si="7"/>
        <v>0</v>
      </c>
      <c r="I106" s="353">
        <f t="shared" si="6"/>
        <v>0</v>
      </c>
      <c r="J106" s="1"/>
    </row>
    <row r="107" spans="1:10" ht="14.5" x14ac:dyDescent="0.35">
      <c r="A107" s="97">
        <v>97</v>
      </c>
      <c r="B107" s="97">
        <v>2115</v>
      </c>
      <c r="C107" s="353">
        <v>0</v>
      </c>
      <c r="D107" s="353">
        <v>0</v>
      </c>
      <c r="E107" s="353">
        <v>0</v>
      </c>
      <c r="F107" s="354">
        <v>0</v>
      </c>
      <c r="G107" s="359">
        <v>0</v>
      </c>
      <c r="H107" s="354">
        <f t="shared" si="7"/>
        <v>0</v>
      </c>
      <c r="I107" s="353">
        <f t="shared" si="6"/>
        <v>0</v>
      </c>
      <c r="J107" s="1"/>
    </row>
    <row r="108" spans="1:10" ht="14.5" x14ac:dyDescent="0.35">
      <c r="A108" s="97">
        <v>98</v>
      </c>
      <c r="B108" s="97">
        <v>2116</v>
      </c>
      <c r="C108" s="353">
        <v>0</v>
      </c>
      <c r="D108" s="353">
        <v>0</v>
      </c>
      <c r="E108" s="353">
        <v>0</v>
      </c>
      <c r="F108" s="354">
        <v>0</v>
      </c>
      <c r="G108" s="359">
        <v>0</v>
      </c>
      <c r="H108" s="354">
        <f t="shared" si="7"/>
        <v>0</v>
      </c>
      <c r="I108" s="353">
        <f t="shared" si="6"/>
        <v>0</v>
      </c>
      <c r="J108" s="1"/>
    </row>
    <row r="109" spans="1:10" ht="14.5" x14ac:dyDescent="0.35">
      <c r="A109" s="97">
        <v>99</v>
      </c>
      <c r="B109" s="97">
        <v>2117</v>
      </c>
      <c r="C109" s="353">
        <v>0</v>
      </c>
      <c r="D109" s="353">
        <v>0</v>
      </c>
      <c r="E109" s="353">
        <v>0</v>
      </c>
      <c r="F109" s="354">
        <v>0</v>
      </c>
      <c r="G109" s="359">
        <v>0</v>
      </c>
      <c r="H109" s="354">
        <f t="shared" si="7"/>
        <v>0</v>
      </c>
      <c r="I109" s="353">
        <f t="shared" si="6"/>
        <v>0</v>
      </c>
      <c r="J109" s="1"/>
    </row>
    <row r="110" spans="1:10" ht="14.5" x14ac:dyDescent="0.35">
      <c r="A110" s="97">
        <v>100</v>
      </c>
      <c r="B110" s="97">
        <v>2118</v>
      </c>
      <c r="C110" s="353">
        <v>0</v>
      </c>
      <c r="D110" s="353">
        <v>0</v>
      </c>
      <c r="E110" s="353">
        <v>0</v>
      </c>
      <c r="F110" s="355">
        <v>0</v>
      </c>
      <c r="G110" s="360">
        <v>0</v>
      </c>
      <c r="H110" s="355">
        <f t="shared" si="7"/>
        <v>0</v>
      </c>
      <c r="I110" s="353">
        <f t="shared" si="6"/>
        <v>0</v>
      </c>
      <c r="J110" s="7"/>
    </row>
    <row r="111" spans="1:10" x14ac:dyDescent="0.3">
      <c r="A111" s="545" t="s">
        <v>57</v>
      </c>
      <c r="B111" s="545"/>
      <c r="C111" s="356">
        <f t="shared" ref="C111:I111" si="8">SUM(C10:C110)</f>
        <v>1908800</v>
      </c>
      <c r="D111" s="356">
        <f t="shared" si="8"/>
        <v>0</v>
      </c>
      <c r="E111" s="356">
        <f t="shared" si="8"/>
        <v>171792</v>
      </c>
      <c r="F111" s="356">
        <f t="shared" si="8"/>
        <v>768861.6</v>
      </c>
      <c r="G111" s="361">
        <f t="shared" si="8"/>
        <v>275712432.89680797</v>
      </c>
      <c r="H111" s="356">
        <f>SUM(H10:H110)</f>
        <v>12236266.321436564</v>
      </c>
      <c r="I111" s="356">
        <f t="shared" si="8"/>
        <v>15085719.921436563</v>
      </c>
      <c r="J111" s="203"/>
    </row>
    <row r="112" spans="1:10" x14ac:dyDescent="0.3">
      <c r="A112" s="94" t="s">
        <v>69</v>
      </c>
      <c r="I112" s="454"/>
    </row>
    <row r="113" spans="1:9" ht="27.65" customHeight="1" x14ac:dyDescent="0.3">
      <c r="A113" s="546" t="s">
        <v>84</v>
      </c>
      <c r="B113" s="546"/>
      <c r="C113" s="546"/>
      <c r="D113" s="546"/>
      <c r="E113" s="546"/>
      <c r="F113" s="546"/>
      <c r="G113" s="546"/>
      <c r="H113" s="546"/>
      <c r="I113" s="546"/>
    </row>
    <row r="114" spans="1:9" x14ac:dyDescent="0.3">
      <c r="A114" s="95" t="s">
        <v>85</v>
      </c>
    </row>
    <row r="115" spans="1:9" x14ac:dyDescent="0.3">
      <c r="A115" s="95" t="s">
        <v>86</v>
      </c>
    </row>
  </sheetData>
  <mergeCells count="7">
    <mergeCell ref="H3:I3"/>
    <mergeCell ref="A111:B111"/>
    <mergeCell ref="A113:I113"/>
    <mergeCell ref="A4:B4"/>
    <mergeCell ref="A5:B5"/>
    <mergeCell ref="A6:B6"/>
    <mergeCell ref="A7:B7"/>
  </mergeCells>
  <pageMargins left="0.7" right="0.7" top="0.75" bottom="0.75" header="0.3" footer="0.3"/>
  <pageSetup scale="65"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B154-19A6-4D11-88EF-9A0A3C4C7818}">
  <sheetPr>
    <tabColor theme="5"/>
  </sheetPr>
  <dimension ref="A1:H34"/>
  <sheetViews>
    <sheetView topLeftCell="A13" zoomScaleNormal="100" zoomScaleSheetLayoutView="85" workbookViewId="0">
      <selection activeCell="B25" sqref="B25"/>
    </sheetView>
  </sheetViews>
  <sheetFormatPr defaultColWidth="9.1796875" defaultRowHeight="12.5" x14ac:dyDescent="0.25"/>
  <cols>
    <col min="1" max="1" width="25" style="94" customWidth="1"/>
    <col min="2" max="2" width="12.453125" style="94" customWidth="1"/>
    <col min="3" max="3" width="6.26953125" style="94" customWidth="1"/>
    <col min="4" max="4" width="9.1796875" style="94"/>
    <col min="5" max="5" width="14.26953125" style="94" customWidth="1"/>
    <col min="6" max="6" width="11.54296875" style="94" bestFit="1" customWidth="1"/>
    <col min="7" max="16384" width="9.1796875" style="94"/>
  </cols>
  <sheetData>
    <row r="1" spans="1:6" x14ac:dyDescent="0.25">
      <c r="A1" s="7"/>
    </row>
    <row r="2" spans="1:6" x14ac:dyDescent="0.25">
      <c r="A2" s="7"/>
    </row>
    <row r="3" spans="1:6" ht="21" customHeight="1" x14ac:dyDescent="0.25">
      <c r="A3" s="3"/>
    </row>
    <row r="4" spans="1:6" ht="13" x14ac:dyDescent="0.3">
      <c r="A4" s="455" t="s">
        <v>1</v>
      </c>
      <c r="B4" s="125">
        <f>'2019 CCP Summary'!B4</f>
        <v>43536</v>
      </c>
      <c r="E4" s="5"/>
      <c r="F4" s="24"/>
    </row>
    <row r="5" spans="1:6" ht="13" x14ac:dyDescent="0.3">
      <c r="A5" s="456" t="s">
        <v>2</v>
      </c>
      <c r="B5" s="6" t="s">
        <v>3</v>
      </c>
      <c r="E5" s="5"/>
      <c r="F5" s="24"/>
    </row>
    <row r="6" spans="1:6" ht="13" x14ac:dyDescent="0.3">
      <c r="A6" s="456" t="s">
        <v>4</v>
      </c>
      <c r="B6" s="6" t="s">
        <v>87</v>
      </c>
    </row>
    <row r="7" spans="1:6" ht="14.5" customHeight="1" x14ac:dyDescent="0.3">
      <c r="A7" s="457" t="s">
        <v>6</v>
      </c>
      <c r="B7" s="6" t="s">
        <v>7</v>
      </c>
    </row>
    <row r="8" spans="1:6" ht="13" thickBot="1" x14ac:dyDescent="0.3"/>
    <row r="9" spans="1:6" ht="51" customHeight="1" thickBot="1" x14ac:dyDescent="0.35">
      <c r="A9" s="429" t="s">
        <v>38</v>
      </c>
      <c r="B9" s="430"/>
      <c r="C9" s="431"/>
      <c r="D9" s="88"/>
    </row>
    <row r="10" spans="1:6" x14ac:dyDescent="0.25">
      <c r="A10" s="552" t="s">
        <v>88</v>
      </c>
      <c r="B10" s="553"/>
      <c r="C10" s="554"/>
      <c r="D10" s="88"/>
    </row>
    <row r="11" spans="1:6" x14ac:dyDescent="0.25">
      <c r="A11" s="392" t="s">
        <v>89</v>
      </c>
      <c r="B11" s="446">
        <v>1.5</v>
      </c>
      <c r="C11" s="393"/>
      <c r="D11" s="88"/>
    </row>
    <row r="12" spans="1:6" ht="14.5" x14ac:dyDescent="0.25">
      <c r="A12" s="392" t="s">
        <v>90</v>
      </c>
      <c r="B12" s="106">
        <f>'STS O&amp;M Input'!$C$27</f>
        <v>18.600000000000001</v>
      </c>
      <c r="C12" s="393" t="s">
        <v>91</v>
      </c>
      <c r="D12" s="88"/>
    </row>
    <row r="13" spans="1:6" x14ac:dyDescent="0.25">
      <c r="A13" s="392" t="s">
        <v>92</v>
      </c>
      <c r="B13" s="105">
        <v>2080</v>
      </c>
      <c r="C13" s="393" t="s">
        <v>93</v>
      </c>
      <c r="D13" s="88"/>
    </row>
    <row r="14" spans="1:6" x14ac:dyDescent="0.25">
      <c r="A14" s="424" t="s">
        <v>94</v>
      </c>
      <c r="B14" s="368">
        <f>B11*B12*B13</f>
        <v>58032.000000000007</v>
      </c>
      <c r="C14" s="425"/>
      <c r="D14" s="88"/>
    </row>
    <row r="15" spans="1:6" ht="13.5" thickBot="1" x14ac:dyDescent="0.35">
      <c r="A15" s="426" t="s">
        <v>95</v>
      </c>
      <c r="B15" s="427">
        <f>B14</f>
        <v>58032.000000000007</v>
      </c>
      <c r="C15" s="428"/>
      <c r="D15" s="88"/>
    </row>
    <row r="16" spans="1:6" x14ac:dyDescent="0.25">
      <c r="A16" s="389" t="s">
        <v>96</v>
      </c>
      <c r="B16" s="398">
        <v>0.15</v>
      </c>
      <c r="C16" s="391"/>
      <c r="D16" s="88"/>
    </row>
    <row r="17" spans="1:8" x14ac:dyDescent="0.25">
      <c r="A17" s="392" t="s">
        <v>97</v>
      </c>
      <c r="B17" s="399">
        <f>B11*B13*B16</f>
        <v>468</v>
      </c>
      <c r="C17" s="393"/>
      <c r="D17" s="88"/>
    </row>
    <row r="18" spans="1:8" ht="13" thickBot="1" x14ac:dyDescent="0.3">
      <c r="A18" s="394" t="s">
        <v>98</v>
      </c>
      <c r="B18" s="400">
        <f>B12*1.5*B17</f>
        <v>13057.2</v>
      </c>
      <c r="C18" s="395"/>
      <c r="D18" s="88"/>
    </row>
    <row r="19" spans="1:8" ht="13.5" thickBot="1" x14ac:dyDescent="0.35">
      <c r="A19" s="396" t="s">
        <v>99</v>
      </c>
      <c r="B19" s="402">
        <f>G12+G15+B18</f>
        <v>13057.2</v>
      </c>
      <c r="C19" s="397"/>
      <c r="D19" s="88"/>
    </row>
    <row r="20" spans="1:8" x14ac:dyDescent="0.25">
      <c r="A20" s="389" t="s">
        <v>100</v>
      </c>
      <c r="B20" s="447">
        <v>0.5</v>
      </c>
      <c r="C20" s="391"/>
      <c r="D20" s="88"/>
    </row>
    <row r="21" spans="1:8" ht="14.5" x14ac:dyDescent="0.25">
      <c r="A21" s="392" t="s">
        <v>101</v>
      </c>
      <c r="B21" s="106">
        <f>'STS O&amp;M Input'!$C$28</f>
        <v>31.1</v>
      </c>
      <c r="C21" s="393" t="s">
        <v>91</v>
      </c>
      <c r="D21" s="88"/>
    </row>
    <row r="22" spans="1:8" x14ac:dyDescent="0.25">
      <c r="A22" s="392" t="s">
        <v>102</v>
      </c>
      <c r="B22" s="399">
        <f>52*40*B20</f>
        <v>1040</v>
      </c>
      <c r="C22" s="393" t="s">
        <v>103</v>
      </c>
      <c r="D22" s="88"/>
    </row>
    <row r="23" spans="1:8" ht="13" thickBot="1" x14ac:dyDescent="0.3">
      <c r="A23" s="394" t="s">
        <v>104</v>
      </c>
      <c r="B23" s="400">
        <f>B21*B22</f>
        <v>32344</v>
      </c>
      <c r="C23" s="395"/>
      <c r="D23" s="88"/>
    </row>
    <row r="24" spans="1:8" ht="14.5" x14ac:dyDescent="0.25">
      <c r="A24" s="389" t="s">
        <v>105</v>
      </c>
      <c r="B24" s="403">
        <f>'STS O&amp;M Input'!C30</f>
        <v>5.94</v>
      </c>
      <c r="C24" s="391" t="s">
        <v>91</v>
      </c>
      <c r="D24" s="88"/>
    </row>
    <row r="25" spans="1:8" ht="13" thickBot="1" x14ac:dyDescent="0.3">
      <c r="A25" s="406" t="s">
        <v>106</v>
      </c>
      <c r="B25" s="407">
        <f>B13*B11+B22</f>
        <v>4160</v>
      </c>
      <c r="C25" s="408" t="s">
        <v>107</v>
      </c>
      <c r="D25" s="88"/>
    </row>
    <row r="26" spans="1:8" ht="15.75" customHeight="1" thickBot="1" x14ac:dyDescent="0.3">
      <c r="A26" s="409" t="s">
        <v>108</v>
      </c>
      <c r="B26" s="410">
        <f>B25*B24</f>
        <v>24710.400000000001</v>
      </c>
      <c r="C26" s="411"/>
      <c r="D26" s="110"/>
    </row>
    <row r="27" spans="1:8" ht="13.5" thickBot="1" x14ac:dyDescent="0.35">
      <c r="A27" s="396" t="s">
        <v>108</v>
      </c>
      <c r="B27" s="402">
        <f>B26</f>
        <v>24710.400000000001</v>
      </c>
      <c r="C27" s="397"/>
      <c r="D27" s="110"/>
    </row>
    <row r="28" spans="1:8" ht="13.5" thickBot="1" x14ac:dyDescent="0.35">
      <c r="A28" s="426" t="s">
        <v>109</v>
      </c>
      <c r="B28" s="427">
        <f>B27+B19+B15+B23</f>
        <v>128143.6</v>
      </c>
      <c r="C28" s="428"/>
      <c r="D28" s="110"/>
      <c r="F28" s="422"/>
      <c r="G28" s="423"/>
      <c r="H28" s="422"/>
    </row>
    <row r="29" spans="1:8" ht="13" x14ac:dyDescent="0.3">
      <c r="A29" s="422"/>
      <c r="B29" s="423"/>
      <c r="C29" s="422"/>
      <c r="D29" s="110"/>
      <c r="F29" s="422"/>
      <c r="G29" s="423"/>
      <c r="H29" s="422"/>
    </row>
    <row r="30" spans="1:8" ht="13" x14ac:dyDescent="0.3">
      <c r="A30" s="108" t="s">
        <v>69</v>
      </c>
      <c r="B30" s="109"/>
      <c r="C30" s="110"/>
      <c r="D30" s="110"/>
    </row>
    <row r="31" spans="1:8" ht="29.25" customHeight="1" x14ac:dyDescent="0.25">
      <c r="A31" s="551" t="s">
        <v>110</v>
      </c>
      <c r="B31" s="551"/>
      <c r="C31" s="551"/>
      <c r="D31" s="110"/>
    </row>
    <row r="32" spans="1:8" ht="70.5" customHeight="1" x14ac:dyDescent="0.25">
      <c r="A32" s="551" t="s">
        <v>111</v>
      </c>
      <c r="B32" s="551"/>
      <c r="C32" s="551"/>
    </row>
    <row r="33" spans="1:3" ht="70.5" customHeight="1" x14ac:dyDescent="0.25">
      <c r="A33" s="551" t="s">
        <v>112</v>
      </c>
      <c r="B33" s="551"/>
      <c r="C33" s="551"/>
    </row>
    <row r="34" spans="1:3" x14ac:dyDescent="0.25">
      <c r="A34" s="94" t="s">
        <v>86</v>
      </c>
      <c r="B34" s="110"/>
      <c r="C34" s="110"/>
    </row>
  </sheetData>
  <mergeCells count="4">
    <mergeCell ref="A32:C32"/>
    <mergeCell ref="A10:C10"/>
    <mergeCell ref="A31:C31"/>
    <mergeCell ref="A33:C33"/>
  </mergeCells>
  <pageMargins left="1.2" right="0.7" top="0.75" bottom="0.75" header="0.3" footer="0.3"/>
  <pageSetup scale="59"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CDA1-ACD0-457D-9EF6-46487B5A4BE5}">
  <sheetPr>
    <tabColor rgb="FF00B0F0"/>
    <pageSetUpPr fitToPage="1"/>
  </sheetPr>
  <dimension ref="A1:P120"/>
  <sheetViews>
    <sheetView view="pageBreakPreview" zoomScale="85" zoomScaleNormal="100" zoomScaleSheetLayoutView="85" workbookViewId="0">
      <pane xSplit="2" ySplit="9" topLeftCell="C25" activePane="bottomRight" state="frozen"/>
      <selection pane="topRight" activeCell="M112" sqref="M112"/>
      <selection pane="bottomLeft" activeCell="M112" sqref="M112"/>
      <selection pane="bottomRight" activeCell="A3" sqref="A3"/>
    </sheetView>
  </sheetViews>
  <sheetFormatPr defaultColWidth="9.1796875" defaultRowHeight="14" x14ac:dyDescent="0.3"/>
  <cols>
    <col min="1" max="1" width="10.1796875" style="94" customWidth="1"/>
    <col min="2" max="2" width="9.1796875" style="94" customWidth="1"/>
    <col min="3" max="3" width="12.54296875" style="94" bestFit="1" customWidth="1"/>
    <col min="4" max="9" width="18.453125" style="94" customWidth="1"/>
    <col min="10" max="10" width="28.453125" style="94" customWidth="1"/>
    <col min="11" max="11" width="14.26953125" style="94" customWidth="1"/>
    <col min="12" max="12" width="17" style="94" customWidth="1"/>
    <col min="13" max="13" width="16.1796875" style="94" customWidth="1"/>
    <col min="14" max="14" width="15.453125" style="94" customWidth="1"/>
    <col min="15" max="15" width="13.1796875" style="93" customWidth="1"/>
    <col min="16" max="16384" width="9.1796875" style="72"/>
  </cols>
  <sheetData>
    <row r="1" spans="1:16" x14ac:dyDescent="0.3">
      <c r="A1" s="7"/>
      <c r="B1" s="7"/>
      <c r="C1" s="7"/>
      <c r="P1" s="467"/>
    </row>
    <row r="2" spans="1:16" x14ac:dyDescent="0.3">
      <c r="A2" s="7"/>
      <c r="B2" s="7"/>
      <c r="C2" s="7"/>
      <c r="M2" s="544" t="s">
        <v>11</v>
      </c>
      <c r="N2" s="544"/>
      <c r="P2" s="467"/>
    </row>
    <row r="3" spans="1:16" ht="20.25" customHeight="1" x14ac:dyDescent="0.35">
      <c r="A3" s="3"/>
      <c r="B3" s="3"/>
      <c r="C3" s="3"/>
      <c r="F3" s="286"/>
      <c r="M3" s="432" t="s">
        <v>113</v>
      </c>
      <c r="N3" s="433">
        <v>638400</v>
      </c>
      <c r="P3" s="467"/>
    </row>
    <row r="4" spans="1:16" x14ac:dyDescent="0.3">
      <c r="A4" s="547" t="s">
        <v>1</v>
      </c>
      <c r="B4" s="548"/>
      <c r="C4" s="125">
        <f>'2019 CCP Summary'!B4</f>
        <v>43536</v>
      </c>
      <c r="E4" s="125"/>
      <c r="F4" s="125"/>
      <c r="G4" s="125"/>
      <c r="H4" s="125"/>
      <c r="I4" s="125"/>
      <c r="J4" s="463"/>
      <c r="K4" s="463"/>
      <c r="L4" s="463"/>
      <c r="M4" s="432" t="s">
        <v>114</v>
      </c>
      <c r="N4" s="436">
        <v>186874</v>
      </c>
      <c r="P4" s="467"/>
    </row>
    <row r="5" spans="1:16" x14ac:dyDescent="0.3">
      <c r="A5" s="549" t="s">
        <v>2</v>
      </c>
      <c r="B5" s="548"/>
      <c r="C5" s="6" t="s">
        <v>3</v>
      </c>
      <c r="E5" s="6"/>
      <c r="F5" s="6"/>
      <c r="G5" s="6"/>
      <c r="H5" s="6"/>
      <c r="I5" s="6"/>
      <c r="J5" s="6"/>
      <c r="K5" s="6"/>
      <c r="L5" s="6"/>
      <c r="M5" s="432" t="s">
        <v>115</v>
      </c>
      <c r="N5" s="433">
        <v>841307</v>
      </c>
      <c r="O5" s="104"/>
      <c r="P5" s="101"/>
    </row>
    <row r="6" spans="1:16" x14ac:dyDescent="0.3">
      <c r="A6" s="549" t="s">
        <v>4</v>
      </c>
      <c r="B6" s="548"/>
      <c r="C6" s="6" t="s">
        <v>116</v>
      </c>
      <c r="E6" s="6"/>
      <c r="F6" s="6"/>
      <c r="G6" s="6"/>
      <c r="H6" s="6"/>
      <c r="I6" s="6"/>
      <c r="J6" s="6"/>
      <c r="K6" s="6"/>
      <c r="L6" s="6"/>
      <c r="M6" s="432" t="s">
        <v>117</v>
      </c>
      <c r="N6" s="434">
        <v>1.7999999999999999E-2</v>
      </c>
      <c r="O6" s="99"/>
      <c r="P6" s="101"/>
    </row>
    <row r="7" spans="1:16" ht="14.5" customHeight="1" x14ac:dyDescent="0.3">
      <c r="A7" s="550" t="s">
        <v>6</v>
      </c>
      <c r="B7" s="548"/>
      <c r="C7" s="6" t="s">
        <v>7</v>
      </c>
      <c r="E7" s="6"/>
      <c r="F7" s="6"/>
      <c r="G7" s="6"/>
      <c r="H7" s="6"/>
      <c r="I7" s="6"/>
      <c r="J7" s="6"/>
      <c r="K7" s="6"/>
      <c r="L7" s="6"/>
      <c r="M7" s="432" t="s">
        <v>73</v>
      </c>
      <c r="N7" s="434">
        <v>1.4999999999999999E-2</v>
      </c>
      <c r="O7" s="126"/>
      <c r="P7" s="467"/>
    </row>
    <row r="8" spans="1:16" ht="14.5" customHeight="1" x14ac:dyDescent="0.3">
      <c r="A8" s="213"/>
      <c r="B8" s="96"/>
      <c r="D8" s="6"/>
      <c r="E8" s="6"/>
      <c r="F8" s="6"/>
      <c r="G8" s="6"/>
      <c r="H8" s="6"/>
      <c r="I8" s="6"/>
      <c r="J8" s="6"/>
      <c r="K8" s="6"/>
      <c r="M8" s="432" t="s">
        <v>75</v>
      </c>
      <c r="N8" s="435">
        <v>4.4731460893662263E-2</v>
      </c>
      <c r="P8" s="467"/>
    </row>
    <row r="9" spans="1:16" ht="52" x14ac:dyDescent="0.3">
      <c r="A9" s="460" t="s">
        <v>76</v>
      </c>
      <c r="B9" s="236" t="s">
        <v>52</v>
      </c>
      <c r="C9" s="236" t="s">
        <v>77</v>
      </c>
      <c r="D9" s="236" t="s">
        <v>118</v>
      </c>
      <c r="E9" s="236" t="s">
        <v>119</v>
      </c>
      <c r="F9" s="236" t="s">
        <v>120</v>
      </c>
      <c r="G9" s="236" t="s">
        <v>121</v>
      </c>
      <c r="H9" s="236" t="s">
        <v>122</v>
      </c>
      <c r="I9" s="236" t="s">
        <v>123</v>
      </c>
      <c r="J9" s="236" t="s">
        <v>124</v>
      </c>
      <c r="K9" s="236" t="s">
        <v>125</v>
      </c>
      <c r="L9" s="236" t="s">
        <v>126</v>
      </c>
      <c r="M9" s="236" t="s">
        <v>82</v>
      </c>
      <c r="N9" s="235" t="s">
        <v>83</v>
      </c>
      <c r="P9" s="467"/>
    </row>
    <row r="10" spans="1:16" ht="14.5" x14ac:dyDescent="0.35">
      <c r="A10" s="97">
        <v>1</v>
      </c>
      <c r="B10" s="97">
        <v>2019</v>
      </c>
      <c r="C10" s="353">
        <f>0</f>
        <v>0</v>
      </c>
      <c r="D10" s="353">
        <v>0</v>
      </c>
      <c r="E10" s="353">
        <v>0</v>
      </c>
      <c r="F10" s="353">
        <v>0</v>
      </c>
      <c r="G10" s="353">
        <v>0</v>
      </c>
      <c r="H10" s="353">
        <v>0</v>
      </c>
      <c r="I10" s="353">
        <v>0</v>
      </c>
      <c r="J10" s="353">
        <v>0</v>
      </c>
      <c r="K10" s="365">
        <v>0</v>
      </c>
      <c r="L10" s="365">
        <v>0</v>
      </c>
      <c r="M10" s="353">
        <f>(K10+L10)*0.04</f>
        <v>0</v>
      </c>
      <c r="N10" s="353">
        <f>SUM(C10:J10,M10)</f>
        <v>0</v>
      </c>
      <c r="P10" s="467"/>
    </row>
    <row r="11" spans="1:16" ht="14.5" x14ac:dyDescent="0.35">
      <c r="A11" s="97">
        <v>2</v>
      </c>
      <c r="B11" s="97">
        <v>2020</v>
      </c>
      <c r="C11" s="353">
        <f>0</f>
        <v>0</v>
      </c>
      <c r="D11" s="353">
        <v>0</v>
      </c>
      <c r="E11" s="353">
        <v>0</v>
      </c>
      <c r="F11" s="353">
        <v>0</v>
      </c>
      <c r="G11" s="353">
        <v>0</v>
      </c>
      <c r="H11" s="353">
        <v>0</v>
      </c>
      <c r="I11" s="353">
        <v>0</v>
      </c>
      <c r="J11" s="353">
        <v>0</v>
      </c>
      <c r="K11" s="365">
        <v>0</v>
      </c>
      <c r="L11" s="365">
        <v>0</v>
      </c>
      <c r="M11" s="353">
        <f t="shared" ref="M11:M15" si="0">(K11+L11)*0.04</f>
        <v>0</v>
      </c>
      <c r="N11" s="353">
        <f t="shared" ref="N11:N74" si="1">SUM(C11:J11,M11)</f>
        <v>0</v>
      </c>
      <c r="P11" s="467"/>
    </row>
    <row r="12" spans="1:16" ht="14.5" x14ac:dyDescent="0.35">
      <c r="A12" s="97">
        <v>3</v>
      </c>
      <c r="B12" s="97">
        <v>2021</v>
      </c>
      <c r="C12" s="353">
        <f>0</f>
        <v>0</v>
      </c>
      <c r="D12" s="353">
        <v>0</v>
      </c>
      <c r="E12" s="353">
        <v>0</v>
      </c>
      <c r="F12" s="353">
        <v>0</v>
      </c>
      <c r="G12" s="353">
        <v>0</v>
      </c>
      <c r="H12" s="353">
        <v>0</v>
      </c>
      <c r="I12" s="353">
        <v>0</v>
      </c>
      <c r="J12" s="353">
        <v>0</v>
      </c>
      <c r="K12" s="365">
        <v>0</v>
      </c>
      <c r="L12" s="365">
        <v>0</v>
      </c>
      <c r="M12" s="353">
        <f t="shared" si="0"/>
        <v>0</v>
      </c>
      <c r="N12" s="353">
        <f t="shared" si="1"/>
        <v>0</v>
      </c>
      <c r="P12" s="467"/>
    </row>
    <row r="13" spans="1:16" ht="14.5" x14ac:dyDescent="0.35">
      <c r="A13" s="97">
        <v>4</v>
      </c>
      <c r="B13" s="97">
        <v>2022</v>
      </c>
      <c r="C13" s="353">
        <f>0</f>
        <v>0</v>
      </c>
      <c r="D13" s="353">
        <v>0</v>
      </c>
      <c r="E13" s="353">
        <v>0</v>
      </c>
      <c r="F13" s="353">
        <v>0</v>
      </c>
      <c r="G13" s="353">
        <v>0</v>
      </c>
      <c r="H13" s="353">
        <v>0</v>
      </c>
      <c r="I13" s="353">
        <v>0</v>
      </c>
      <c r="J13" s="353">
        <v>0</v>
      </c>
      <c r="K13" s="365">
        <v>0</v>
      </c>
      <c r="L13" s="365">
        <v>0</v>
      </c>
      <c r="M13" s="353">
        <f t="shared" si="0"/>
        <v>0</v>
      </c>
      <c r="N13" s="353">
        <f t="shared" si="1"/>
        <v>0</v>
      </c>
      <c r="P13" s="467"/>
    </row>
    <row r="14" spans="1:16" ht="14.5" x14ac:dyDescent="0.35">
      <c r="A14" s="97">
        <v>5</v>
      </c>
      <c r="B14" s="97">
        <v>2023</v>
      </c>
      <c r="C14" s="353">
        <f>0</f>
        <v>0</v>
      </c>
      <c r="D14" s="353">
        <v>0</v>
      </c>
      <c r="E14" s="353">
        <v>0</v>
      </c>
      <c r="F14" s="353">
        <v>0</v>
      </c>
      <c r="G14" s="353">
        <v>0</v>
      </c>
      <c r="H14" s="353">
        <v>0</v>
      </c>
      <c r="I14" s="353">
        <v>0</v>
      </c>
      <c r="J14" s="353">
        <v>0</v>
      </c>
      <c r="K14" s="365">
        <v>0</v>
      </c>
      <c r="L14" s="365">
        <v>0</v>
      </c>
      <c r="M14" s="353">
        <f t="shared" si="0"/>
        <v>0</v>
      </c>
      <c r="N14" s="353">
        <f t="shared" si="1"/>
        <v>0</v>
      </c>
      <c r="P14" s="467"/>
    </row>
    <row r="15" spans="1:16" ht="14.5" x14ac:dyDescent="0.35">
      <c r="A15" s="97">
        <v>6</v>
      </c>
      <c r="B15" s="97">
        <v>2024</v>
      </c>
      <c r="C15" s="353">
        <v>0</v>
      </c>
      <c r="D15" s="353">
        <v>0</v>
      </c>
      <c r="E15" s="353">
        <v>0</v>
      </c>
      <c r="F15" s="353">
        <v>0</v>
      </c>
      <c r="G15" s="353">
        <v>0</v>
      </c>
      <c r="H15" s="353">
        <v>0</v>
      </c>
      <c r="I15" s="353">
        <v>0</v>
      </c>
      <c r="J15" s="353">
        <v>0</v>
      </c>
      <c r="K15" s="365">
        <v>0</v>
      </c>
      <c r="L15" s="366">
        <v>0</v>
      </c>
      <c r="M15" s="353">
        <f t="shared" si="0"/>
        <v>0</v>
      </c>
      <c r="N15" s="353">
        <f t="shared" si="1"/>
        <v>0</v>
      </c>
      <c r="O15" s="7"/>
      <c r="P15" s="467"/>
    </row>
    <row r="16" spans="1:16" ht="14.5" x14ac:dyDescent="0.35">
      <c r="A16" s="97">
        <v>7</v>
      </c>
      <c r="B16" s="97">
        <v>2025</v>
      </c>
      <c r="C16" s="353">
        <f>186874+242959</f>
        <v>429833</v>
      </c>
      <c r="D16" s="353">
        <f>$N$3*$N$6</f>
        <v>11491.199999999999</v>
      </c>
      <c r="E16" s="353">
        <f>$N$4*$N$6</f>
        <v>3363.732</v>
      </c>
      <c r="F16" s="353">
        <f>$N$5*$N$6</f>
        <v>15143.525999999998</v>
      </c>
      <c r="G16" s="353">
        <f t="shared" ref="G16:G47" si="2">$N$3*$N$7</f>
        <v>9576</v>
      </c>
      <c r="H16" s="353">
        <f t="shared" ref="H16:H35" si="3">$N$4*$N$7</f>
        <v>2803.1099999999997</v>
      </c>
      <c r="I16" s="353">
        <f t="shared" ref="I16:I47" si="4">$N$5*$N$7</f>
        <v>12619.605</v>
      </c>
      <c r="J16" s="103" t="s">
        <v>127</v>
      </c>
      <c r="K16" s="372">
        <v>207457.67225032323</v>
      </c>
      <c r="L16" s="373">
        <v>823890.37349999987</v>
      </c>
      <c r="M16" s="353">
        <f t="shared" ref="M16:M47" si="5">(K16+L16)*$N$8</f>
        <v>46133.70477623558</v>
      </c>
      <c r="N16" s="353">
        <f t="shared" si="1"/>
        <v>530963.87777623557</v>
      </c>
      <c r="O16" s="7"/>
      <c r="P16" s="467"/>
    </row>
    <row r="17" spans="1:15" ht="14.5" x14ac:dyDescent="0.35">
      <c r="A17" s="97">
        <v>8</v>
      </c>
      <c r="B17" s="97">
        <v>2026</v>
      </c>
      <c r="C17" s="353">
        <f>0</f>
        <v>0</v>
      </c>
      <c r="D17" s="353">
        <f t="shared" ref="D17:D80" si="6">$N$3*$N$6</f>
        <v>11491.199999999999</v>
      </c>
      <c r="E17" s="353">
        <f t="shared" ref="E17:E80" si="7">$N$4*$N$6</f>
        <v>3363.732</v>
      </c>
      <c r="F17" s="353">
        <f t="shared" ref="F17:F80" si="8">$N$5*$N$6</f>
        <v>15143.525999999998</v>
      </c>
      <c r="G17" s="353">
        <f t="shared" si="2"/>
        <v>9576</v>
      </c>
      <c r="H17" s="353">
        <f t="shared" si="3"/>
        <v>2803.1099999999997</v>
      </c>
      <c r="I17" s="353">
        <f t="shared" si="4"/>
        <v>12619.605</v>
      </c>
      <c r="J17" s="103" t="s">
        <v>127</v>
      </c>
      <c r="K17" s="372">
        <v>207457.67225032323</v>
      </c>
      <c r="L17" s="373">
        <v>823890.37349999987</v>
      </c>
      <c r="M17" s="353">
        <f t="shared" si="5"/>
        <v>46133.70477623558</v>
      </c>
      <c r="N17" s="353">
        <f t="shared" si="1"/>
        <v>101130.87777623557</v>
      </c>
      <c r="O17" s="1"/>
    </row>
    <row r="18" spans="1:15" ht="14.5" x14ac:dyDescent="0.35">
      <c r="A18" s="97">
        <v>9</v>
      </c>
      <c r="B18" s="97">
        <v>2027</v>
      </c>
      <c r="C18" s="353">
        <f>0</f>
        <v>0</v>
      </c>
      <c r="D18" s="353">
        <f t="shared" si="6"/>
        <v>11491.199999999999</v>
      </c>
      <c r="E18" s="353">
        <f t="shared" si="7"/>
        <v>3363.732</v>
      </c>
      <c r="F18" s="353">
        <f t="shared" si="8"/>
        <v>15143.525999999998</v>
      </c>
      <c r="G18" s="353">
        <f t="shared" si="2"/>
        <v>9576</v>
      </c>
      <c r="H18" s="353">
        <f t="shared" si="3"/>
        <v>2803.1099999999997</v>
      </c>
      <c r="I18" s="353">
        <f t="shared" si="4"/>
        <v>12619.605</v>
      </c>
      <c r="J18" s="103" t="s">
        <v>127</v>
      </c>
      <c r="K18" s="372">
        <v>207457.67225032323</v>
      </c>
      <c r="L18" s="373">
        <v>823890.37349999987</v>
      </c>
      <c r="M18" s="353">
        <f t="shared" si="5"/>
        <v>46133.70477623558</v>
      </c>
      <c r="N18" s="353">
        <f t="shared" si="1"/>
        <v>101130.87777623557</v>
      </c>
      <c r="O18" s="1"/>
    </row>
    <row r="19" spans="1:15" ht="14.5" x14ac:dyDescent="0.35">
      <c r="A19" s="97">
        <v>10</v>
      </c>
      <c r="B19" s="97">
        <v>2028</v>
      </c>
      <c r="C19" s="353">
        <f>0</f>
        <v>0</v>
      </c>
      <c r="D19" s="353">
        <f t="shared" si="6"/>
        <v>11491.199999999999</v>
      </c>
      <c r="E19" s="353">
        <f t="shared" si="7"/>
        <v>3363.732</v>
      </c>
      <c r="F19" s="353">
        <f t="shared" si="8"/>
        <v>15143.525999999998</v>
      </c>
      <c r="G19" s="353">
        <f t="shared" si="2"/>
        <v>9576</v>
      </c>
      <c r="H19" s="353">
        <f t="shared" si="3"/>
        <v>2803.1099999999997</v>
      </c>
      <c r="I19" s="353">
        <f t="shared" si="4"/>
        <v>12619.605</v>
      </c>
      <c r="J19" s="103" t="s">
        <v>127</v>
      </c>
      <c r="K19" s="372">
        <v>207457.67225032323</v>
      </c>
      <c r="L19" s="373">
        <v>823890.37349999987</v>
      </c>
      <c r="M19" s="353">
        <f t="shared" si="5"/>
        <v>46133.70477623558</v>
      </c>
      <c r="N19" s="353">
        <f t="shared" si="1"/>
        <v>101130.87777623557</v>
      </c>
      <c r="O19" s="1"/>
    </row>
    <row r="20" spans="1:15" ht="14.5" x14ac:dyDescent="0.35">
      <c r="A20" s="97">
        <v>11</v>
      </c>
      <c r="B20" s="97">
        <v>2029</v>
      </c>
      <c r="C20" s="353">
        <f>0</f>
        <v>0</v>
      </c>
      <c r="D20" s="353">
        <f t="shared" si="6"/>
        <v>11491.199999999999</v>
      </c>
      <c r="E20" s="353">
        <f t="shared" si="7"/>
        <v>3363.732</v>
      </c>
      <c r="F20" s="353">
        <f t="shared" si="8"/>
        <v>15143.525999999998</v>
      </c>
      <c r="G20" s="353">
        <f t="shared" si="2"/>
        <v>9576</v>
      </c>
      <c r="H20" s="353">
        <f t="shared" si="3"/>
        <v>2803.1099999999997</v>
      </c>
      <c r="I20" s="353">
        <f t="shared" si="4"/>
        <v>12619.605</v>
      </c>
      <c r="J20" s="103" t="s">
        <v>127</v>
      </c>
      <c r="K20" s="372">
        <v>207457.67225032323</v>
      </c>
      <c r="L20" s="373">
        <v>823890.37349999987</v>
      </c>
      <c r="M20" s="353">
        <f t="shared" si="5"/>
        <v>46133.70477623558</v>
      </c>
      <c r="N20" s="353">
        <f t="shared" si="1"/>
        <v>101130.87777623557</v>
      </c>
      <c r="O20" s="1"/>
    </row>
    <row r="21" spans="1:15" ht="14.5" x14ac:dyDescent="0.35">
      <c r="A21" s="97">
        <v>12</v>
      </c>
      <c r="B21" s="97">
        <v>2030</v>
      </c>
      <c r="C21" s="353">
        <f>0</f>
        <v>0</v>
      </c>
      <c r="D21" s="353">
        <f t="shared" si="6"/>
        <v>11491.199999999999</v>
      </c>
      <c r="E21" s="353">
        <f t="shared" si="7"/>
        <v>3363.732</v>
      </c>
      <c r="F21" s="353">
        <f t="shared" si="8"/>
        <v>15143.525999999998</v>
      </c>
      <c r="G21" s="353">
        <f t="shared" si="2"/>
        <v>9576</v>
      </c>
      <c r="H21" s="353">
        <f t="shared" si="3"/>
        <v>2803.1099999999997</v>
      </c>
      <c r="I21" s="353">
        <f t="shared" si="4"/>
        <v>12619.605</v>
      </c>
      <c r="J21" s="103" t="s">
        <v>127</v>
      </c>
      <c r="K21" s="372">
        <v>207457.67225032323</v>
      </c>
      <c r="L21" s="373">
        <v>823890.37349999987</v>
      </c>
      <c r="M21" s="353">
        <f t="shared" si="5"/>
        <v>46133.70477623558</v>
      </c>
      <c r="N21" s="353">
        <f t="shared" si="1"/>
        <v>101130.87777623557</v>
      </c>
      <c r="O21" s="1"/>
    </row>
    <row r="22" spans="1:15" ht="14.5" x14ac:dyDescent="0.35">
      <c r="A22" s="97">
        <v>13</v>
      </c>
      <c r="B22" s="97">
        <v>2031</v>
      </c>
      <c r="C22" s="353">
        <f>0</f>
        <v>0</v>
      </c>
      <c r="D22" s="353">
        <f t="shared" si="6"/>
        <v>11491.199999999999</v>
      </c>
      <c r="E22" s="353">
        <f t="shared" si="7"/>
        <v>3363.732</v>
      </c>
      <c r="F22" s="353">
        <f t="shared" si="8"/>
        <v>15143.525999999998</v>
      </c>
      <c r="G22" s="353">
        <f t="shared" si="2"/>
        <v>9576</v>
      </c>
      <c r="H22" s="353">
        <f t="shared" si="3"/>
        <v>2803.1099999999997</v>
      </c>
      <c r="I22" s="353">
        <f t="shared" si="4"/>
        <v>12619.605</v>
      </c>
      <c r="J22" s="103" t="s">
        <v>127</v>
      </c>
      <c r="K22" s="372">
        <v>122601.44127205794</v>
      </c>
      <c r="L22" s="373">
        <v>465820.59491999994</v>
      </c>
      <c r="M22" s="353">
        <f t="shared" si="5"/>
        <v>26320.977300894159</v>
      </c>
      <c r="N22" s="353">
        <f t="shared" si="1"/>
        <v>81318.150300894151</v>
      </c>
      <c r="O22" s="1"/>
    </row>
    <row r="23" spans="1:15" ht="14.5" x14ac:dyDescent="0.35">
      <c r="A23" s="97">
        <v>14</v>
      </c>
      <c r="B23" s="97">
        <v>2032</v>
      </c>
      <c r="C23" s="353">
        <f>0</f>
        <v>0</v>
      </c>
      <c r="D23" s="353">
        <f t="shared" si="6"/>
        <v>11491.199999999999</v>
      </c>
      <c r="E23" s="353">
        <f t="shared" si="7"/>
        <v>3363.732</v>
      </c>
      <c r="F23" s="353">
        <f t="shared" si="8"/>
        <v>15143.525999999998</v>
      </c>
      <c r="G23" s="353">
        <f t="shared" si="2"/>
        <v>9576</v>
      </c>
      <c r="H23" s="353">
        <f t="shared" si="3"/>
        <v>2803.1099999999997</v>
      </c>
      <c r="I23" s="353">
        <f t="shared" si="4"/>
        <v>12619.605</v>
      </c>
      <c r="J23" s="103" t="s">
        <v>127</v>
      </c>
      <c r="K23" s="372">
        <v>117398.22338327912</v>
      </c>
      <c r="L23" s="373">
        <v>465820.59491999994</v>
      </c>
      <c r="M23" s="353">
        <f t="shared" si="5"/>
        <v>26088.229763381045</v>
      </c>
      <c r="N23" s="353">
        <f t="shared" si="1"/>
        <v>81085.402763381047</v>
      </c>
      <c r="O23" s="7"/>
    </row>
    <row r="24" spans="1:15" ht="14.5" x14ac:dyDescent="0.35">
      <c r="A24" s="97">
        <v>15</v>
      </c>
      <c r="B24" s="97">
        <v>2033</v>
      </c>
      <c r="C24" s="353">
        <f>0</f>
        <v>0</v>
      </c>
      <c r="D24" s="353">
        <f t="shared" si="6"/>
        <v>11491.199999999999</v>
      </c>
      <c r="E24" s="353">
        <f t="shared" si="7"/>
        <v>3363.732</v>
      </c>
      <c r="F24" s="353">
        <f t="shared" si="8"/>
        <v>15143.525999999998</v>
      </c>
      <c r="G24" s="353">
        <f t="shared" si="2"/>
        <v>9576</v>
      </c>
      <c r="H24" s="353">
        <f t="shared" si="3"/>
        <v>2803.1099999999997</v>
      </c>
      <c r="I24" s="353">
        <f t="shared" si="4"/>
        <v>12619.605</v>
      </c>
      <c r="J24" s="103" t="s">
        <v>127</v>
      </c>
      <c r="K24" s="372">
        <v>112195.00549450032</v>
      </c>
      <c r="L24" s="373">
        <v>465820.59491999994</v>
      </c>
      <c r="M24" s="353">
        <f t="shared" si="5"/>
        <v>25855.482225867931</v>
      </c>
      <c r="N24" s="353">
        <f t="shared" si="1"/>
        <v>80852.655225867929</v>
      </c>
      <c r="O24" s="1"/>
    </row>
    <row r="25" spans="1:15" ht="14.5" x14ac:dyDescent="0.35">
      <c r="A25" s="97">
        <v>16</v>
      </c>
      <c r="B25" s="97">
        <v>2034</v>
      </c>
      <c r="C25" s="353">
        <f>0</f>
        <v>0</v>
      </c>
      <c r="D25" s="353">
        <f t="shared" si="6"/>
        <v>11491.199999999999</v>
      </c>
      <c r="E25" s="353">
        <f t="shared" si="7"/>
        <v>3363.732</v>
      </c>
      <c r="F25" s="353">
        <f t="shared" si="8"/>
        <v>15143.525999999998</v>
      </c>
      <c r="G25" s="353">
        <f t="shared" si="2"/>
        <v>9576</v>
      </c>
      <c r="H25" s="353">
        <f t="shared" si="3"/>
        <v>2803.1099999999997</v>
      </c>
      <c r="I25" s="353">
        <f t="shared" si="4"/>
        <v>12619.605</v>
      </c>
      <c r="J25" s="103" t="s">
        <v>127</v>
      </c>
      <c r="K25" s="372">
        <v>106991.7876057215</v>
      </c>
      <c r="L25" s="373">
        <v>465820.59491999994</v>
      </c>
      <c r="M25" s="353">
        <f t="shared" si="5"/>
        <v>25622.734688354816</v>
      </c>
      <c r="N25" s="353">
        <f t="shared" si="1"/>
        <v>80619.907688354811</v>
      </c>
      <c r="O25" s="1"/>
    </row>
    <row r="26" spans="1:15" ht="14.5" x14ac:dyDescent="0.35">
      <c r="A26" s="97">
        <v>17</v>
      </c>
      <c r="B26" s="97">
        <v>2035</v>
      </c>
      <c r="C26" s="353">
        <f>0</f>
        <v>0</v>
      </c>
      <c r="D26" s="353">
        <f t="shared" si="6"/>
        <v>11491.199999999999</v>
      </c>
      <c r="E26" s="353">
        <f t="shared" si="7"/>
        <v>3363.732</v>
      </c>
      <c r="F26" s="353">
        <f t="shared" si="8"/>
        <v>15143.525999999998</v>
      </c>
      <c r="G26" s="353">
        <f t="shared" si="2"/>
        <v>9576</v>
      </c>
      <c r="H26" s="353">
        <f t="shared" si="3"/>
        <v>2803.1099999999997</v>
      </c>
      <c r="I26" s="353">
        <f t="shared" si="4"/>
        <v>12619.605</v>
      </c>
      <c r="J26" s="103" t="s">
        <v>127</v>
      </c>
      <c r="K26" s="372">
        <v>101788.56971694267</v>
      </c>
      <c r="L26" s="373">
        <v>465820.59491999994</v>
      </c>
      <c r="M26" s="353">
        <f t="shared" si="5"/>
        <v>25389.987150841702</v>
      </c>
      <c r="N26" s="353">
        <f t="shared" si="1"/>
        <v>80387.160150841693</v>
      </c>
      <c r="O26" s="1"/>
    </row>
    <row r="27" spans="1:15" ht="14.5" x14ac:dyDescent="0.35">
      <c r="A27" s="97">
        <v>18</v>
      </c>
      <c r="B27" s="97">
        <v>2036</v>
      </c>
      <c r="C27" s="353">
        <f>0</f>
        <v>0</v>
      </c>
      <c r="D27" s="353">
        <f t="shared" si="6"/>
        <v>11491.199999999999</v>
      </c>
      <c r="E27" s="353">
        <f t="shared" si="7"/>
        <v>3363.732</v>
      </c>
      <c r="F27" s="353">
        <f t="shared" si="8"/>
        <v>15143.525999999998</v>
      </c>
      <c r="G27" s="353">
        <f t="shared" si="2"/>
        <v>9576</v>
      </c>
      <c r="H27" s="353">
        <f t="shared" si="3"/>
        <v>2803.1099999999997</v>
      </c>
      <c r="I27" s="353">
        <f t="shared" si="4"/>
        <v>12619.605</v>
      </c>
      <c r="J27" s="103" t="s">
        <v>127</v>
      </c>
      <c r="K27" s="372">
        <v>96585.351828163868</v>
      </c>
      <c r="L27" s="373">
        <v>453082.54752000002</v>
      </c>
      <c r="M27" s="353">
        <f t="shared" si="5"/>
        <v>24587.448144193877</v>
      </c>
      <c r="N27" s="353">
        <f t="shared" si="1"/>
        <v>79584.621144193865</v>
      </c>
      <c r="O27" s="1"/>
    </row>
    <row r="28" spans="1:15" ht="14.5" x14ac:dyDescent="0.35">
      <c r="A28" s="97">
        <v>19</v>
      </c>
      <c r="B28" s="97">
        <v>2037</v>
      </c>
      <c r="C28" s="353">
        <f>0</f>
        <v>0</v>
      </c>
      <c r="D28" s="353">
        <f t="shared" si="6"/>
        <v>11491.199999999999</v>
      </c>
      <c r="E28" s="353">
        <f t="shared" si="7"/>
        <v>3363.732</v>
      </c>
      <c r="F28" s="353">
        <f t="shared" si="8"/>
        <v>15143.525999999998</v>
      </c>
      <c r="G28" s="353">
        <f t="shared" si="2"/>
        <v>9576</v>
      </c>
      <c r="H28" s="353">
        <f t="shared" si="3"/>
        <v>2803.1099999999997</v>
      </c>
      <c r="I28" s="353">
        <f t="shared" si="4"/>
        <v>12619.605</v>
      </c>
      <c r="J28" s="103" t="s">
        <v>127</v>
      </c>
      <c r="K28" s="372">
        <v>91382.133939385036</v>
      </c>
      <c r="L28" s="373">
        <v>427606.45272</v>
      </c>
      <c r="M28" s="353">
        <f t="shared" si="5"/>
        <v>23215.117668411331</v>
      </c>
      <c r="N28" s="353">
        <f t="shared" si="1"/>
        <v>78212.290668411326</v>
      </c>
      <c r="O28" s="1"/>
    </row>
    <row r="29" spans="1:15" ht="14.5" x14ac:dyDescent="0.35">
      <c r="A29" s="97">
        <v>20</v>
      </c>
      <c r="B29" s="97">
        <v>2038</v>
      </c>
      <c r="C29" s="353">
        <f>0</f>
        <v>0</v>
      </c>
      <c r="D29" s="353">
        <f t="shared" si="6"/>
        <v>11491.199999999999</v>
      </c>
      <c r="E29" s="353">
        <f t="shared" si="7"/>
        <v>3363.732</v>
      </c>
      <c r="F29" s="353">
        <f t="shared" si="8"/>
        <v>15143.525999999998</v>
      </c>
      <c r="G29" s="353">
        <f t="shared" si="2"/>
        <v>9576</v>
      </c>
      <c r="H29" s="353">
        <f t="shared" si="3"/>
        <v>2803.1099999999997</v>
      </c>
      <c r="I29" s="353">
        <f t="shared" si="4"/>
        <v>12619.605</v>
      </c>
      <c r="J29" s="103" t="s">
        <v>127</v>
      </c>
      <c r="K29" s="372">
        <v>86178.916050606218</v>
      </c>
      <c r="L29" s="373">
        <v>400007.35002000001</v>
      </c>
      <c r="M29" s="353">
        <f t="shared" si="5"/>
        <v>21747.821947772998</v>
      </c>
      <c r="N29" s="353">
        <f t="shared" si="1"/>
        <v>76744.994947772997</v>
      </c>
      <c r="O29" s="1"/>
    </row>
    <row r="30" spans="1:15" ht="14.5" x14ac:dyDescent="0.35">
      <c r="A30" s="97">
        <v>21</v>
      </c>
      <c r="B30" s="97">
        <v>2039</v>
      </c>
      <c r="C30" s="353">
        <f>0</f>
        <v>0</v>
      </c>
      <c r="D30" s="353">
        <f t="shared" si="6"/>
        <v>11491.199999999999</v>
      </c>
      <c r="E30" s="353">
        <f t="shared" si="7"/>
        <v>3363.732</v>
      </c>
      <c r="F30" s="353">
        <f t="shared" si="8"/>
        <v>15143.525999999998</v>
      </c>
      <c r="G30" s="353">
        <f t="shared" si="2"/>
        <v>9576</v>
      </c>
      <c r="H30" s="353">
        <f t="shared" si="3"/>
        <v>2803.1099999999997</v>
      </c>
      <c r="I30" s="353">
        <f t="shared" si="4"/>
        <v>12619.605</v>
      </c>
      <c r="J30" s="103" t="s">
        <v>127</v>
      </c>
      <c r="K30" s="372">
        <v>80975.6981618274</v>
      </c>
      <c r="L30" s="373">
        <v>372408.24731999997</v>
      </c>
      <c r="M30" s="353">
        <f t="shared" si="5"/>
        <v>20280.526227134666</v>
      </c>
      <c r="N30" s="353">
        <f t="shared" si="1"/>
        <v>75277.699227134668</v>
      </c>
      <c r="O30" s="1"/>
    </row>
    <row r="31" spans="1:15" ht="14.5" x14ac:dyDescent="0.35">
      <c r="A31" s="97">
        <v>22</v>
      </c>
      <c r="B31" s="97">
        <v>2040</v>
      </c>
      <c r="C31" s="353">
        <f>0</f>
        <v>0</v>
      </c>
      <c r="D31" s="353">
        <f t="shared" si="6"/>
        <v>11491.199999999999</v>
      </c>
      <c r="E31" s="353">
        <f t="shared" si="7"/>
        <v>3363.732</v>
      </c>
      <c r="F31" s="353">
        <f t="shared" si="8"/>
        <v>15143.525999999998</v>
      </c>
      <c r="G31" s="353">
        <f t="shared" si="2"/>
        <v>9576</v>
      </c>
      <c r="H31" s="353">
        <f t="shared" si="3"/>
        <v>2803.1099999999997</v>
      </c>
      <c r="I31" s="353">
        <f t="shared" si="4"/>
        <v>12619.605</v>
      </c>
      <c r="J31" s="103" t="s">
        <v>127</v>
      </c>
      <c r="K31" s="372">
        <v>75772.480273048568</v>
      </c>
      <c r="L31" s="373">
        <v>346932.15252</v>
      </c>
      <c r="M31" s="353">
        <f t="shared" si="5"/>
        <v>18908.195751352119</v>
      </c>
      <c r="N31" s="353">
        <f t="shared" si="1"/>
        <v>73905.368751352114</v>
      </c>
      <c r="O31" s="7"/>
    </row>
    <row r="32" spans="1:15" ht="14.5" x14ac:dyDescent="0.35">
      <c r="A32" s="97">
        <v>23</v>
      </c>
      <c r="B32" s="97">
        <v>2041</v>
      </c>
      <c r="C32" s="353">
        <f>0</f>
        <v>0</v>
      </c>
      <c r="D32" s="353">
        <f t="shared" si="6"/>
        <v>11491.199999999999</v>
      </c>
      <c r="E32" s="353">
        <f t="shared" si="7"/>
        <v>3363.732</v>
      </c>
      <c r="F32" s="353">
        <f t="shared" si="8"/>
        <v>15143.525999999998</v>
      </c>
      <c r="G32" s="353">
        <f t="shared" si="2"/>
        <v>9576</v>
      </c>
      <c r="H32" s="353">
        <f t="shared" si="3"/>
        <v>2803.1099999999997</v>
      </c>
      <c r="I32" s="353">
        <f t="shared" si="4"/>
        <v>12619.605</v>
      </c>
      <c r="J32" s="103" t="s">
        <v>127</v>
      </c>
      <c r="K32" s="372">
        <v>70569.262384269765</v>
      </c>
      <c r="L32" s="373">
        <v>319333.04981999996</v>
      </c>
      <c r="M32" s="353">
        <f t="shared" si="5"/>
        <v>17440.900030713783</v>
      </c>
      <c r="N32" s="353">
        <f t="shared" si="1"/>
        <v>72438.073030713771</v>
      </c>
      <c r="O32" s="1"/>
    </row>
    <row r="33" spans="1:15" ht="14.5" x14ac:dyDescent="0.35">
      <c r="A33" s="97">
        <v>24</v>
      </c>
      <c r="B33" s="97">
        <v>2042</v>
      </c>
      <c r="C33" s="353">
        <f>0</f>
        <v>0</v>
      </c>
      <c r="D33" s="353">
        <f t="shared" si="6"/>
        <v>11491.199999999999</v>
      </c>
      <c r="E33" s="353">
        <f t="shared" si="7"/>
        <v>3363.732</v>
      </c>
      <c r="F33" s="353">
        <f t="shared" si="8"/>
        <v>15143.525999999998</v>
      </c>
      <c r="G33" s="353">
        <f t="shared" si="2"/>
        <v>9576</v>
      </c>
      <c r="H33" s="353">
        <f t="shared" si="3"/>
        <v>2803.1099999999997</v>
      </c>
      <c r="I33" s="353">
        <f t="shared" si="4"/>
        <v>12619.605</v>
      </c>
      <c r="J33" s="103" t="s">
        <v>127</v>
      </c>
      <c r="K33" s="372">
        <v>65366.044495490925</v>
      </c>
      <c r="L33" s="373">
        <v>291733.94712000003</v>
      </c>
      <c r="M33" s="353">
        <f t="shared" si="5"/>
        <v>15973.604310075454</v>
      </c>
      <c r="N33" s="353">
        <f t="shared" si="1"/>
        <v>70970.777310075442</v>
      </c>
      <c r="O33" s="1"/>
    </row>
    <row r="34" spans="1:15" ht="14.5" x14ac:dyDescent="0.35">
      <c r="A34" s="97">
        <v>25</v>
      </c>
      <c r="B34" s="97">
        <v>2043</v>
      </c>
      <c r="C34" s="353">
        <f>0</f>
        <v>0</v>
      </c>
      <c r="D34" s="353">
        <f t="shared" si="6"/>
        <v>11491.199999999999</v>
      </c>
      <c r="E34" s="353">
        <f t="shared" si="7"/>
        <v>3363.732</v>
      </c>
      <c r="F34" s="353">
        <f t="shared" si="8"/>
        <v>15143.525999999998</v>
      </c>
      <c r="G34" s="353">
        <f t="shared" si="2"/>
        <v>9576</v>
      </c>
      <c r="H34" s="353">
        <f t="shared" si="3"/>
        <v>2803.1099999999997</v>
      </c>
      <c r="I34" s="353">
        <f t="shared" si="4"/>
        <v>12619.605</v>
      </c>
      <c r="J34" s="103" t="s">
        <v>127</v>
      </c>
      <c r="K34" s="372">
        <v>60162.826606712115</v>
      </c>
      <c r="L34" s="373">
        <v>266257.85232000001</v>
      </c>
      <c r="M34" s="353">
        <f t="shared" si="5"/>
        <v>14601.27383429291</v>
      </c>
      <c r="N34" s="353">
        <f t="shared" si="1"/>
        <v>69598.446834292903</v>
      </c>
      <c r="O34" s="1"/>
    </row>
    <row r="35" spans="1:15" ht="14.5" x14ac:dyDescent="0.35">
      <c r="A35" s="97">
        <v>26</v>
      </c>
      <c r="B35" s="97">
        <v>2044</v>
      </c>
      <c r="C35" s="353">
        <f>0</f>
        <v>0</v>
      </c>
      <c r="D35" s="353">
        <f t="shared" si="6"/>
        <v>11491.199999999999</v>
      </c>
      <c r="E35" s="353">
        <f t="shared" si="7"/>
        <v>3363.732</v>
      </c>
      <c r="F35" s="353">
        <f t="shared" si="8"/>
        <v>15143.525999999998</v>
      </c>
      <c r="G35" s="353">
        <f t="shared" si="2"/>
        <v>9576</v>
      </c>
      <c r="H35" s="353">
        <f t="shared" si="3"/>
        <v>2803.1099999999997</v>
      </c>
      <c r="I35" s="353">
        <f t="shared" si="4"/>
        <v>12619.605</v>
      </c>
      <c r="J35" s="103" t="s">
        <v>127</v>
      </c>
      <c r="K35" s="372">
        <v>54959.60871793329</v>
      </c>
      <c r="L35" s="373">
        <v>238658.74961999996</v>
      </c>
      <c r="M35" s="353">
        <f t="shared" si="5"/>
        <v>13133.978113654575</v>
      </c>
      <c r="N35" s="353">
        <f t="shared" si="1"/>
        <v>68131.151113654574</v>
      </c>
      <c r="O35" s="1"/>
    </row>
    <row r="36" spans="1:15" ht="14.5" x14ac:dyDescent="0.35">
      <c r="A36" s="97">
        <v>27</v>
      </c>
      <c r="B36" s="97">
        <v>2045</v>
      </c>
      <c r="C36" s="353">
        <f>0</f>
        <v>0</v>
      </c>
      <c r="D36" s="353">
        <f t="shared" si="6"/>
        <v>11491.199999999999</v>
      </c>
      <c r="E36" s="353">
        <f t="shared" si="7"/>
        <v>3363.732</v>
      </c>
      <c r="F36" s="353">
        <f t="shared" si="8"/>
        <v>15143.525999999998</v>
      </c>
      <c r="G36" s="353">
        <f t="shared" si="2"/>
        <v>9576</v>
      </c>
      <c r="H36" s="353">
        <f t="shared" ref="H36:H55" si="9">E$36*$N$7</f>
        <v>50.455979999999997</v>
      </c>
      <c r="I36" s="353">
        <f t="shared" si="4"/>
        <v>12619.605</v>
      </c>
      <c r="J36" s="103" t="s">
        <v>127</v>
      </c>
      <c r="K36" s="372">
        <v>49756.390829154479</v>
      </c>
      <c r="L36" s="373">
        <v>213182.65482</v>
      </c>
      <c r="M36" s="353">
        <f t="shared" si="5"/>
        <v>11761.647637872029</v>
      </c>
      <c r="N36" s="353">
        <f t="shared" si="1"/>
        <v>64006.166617872019</v>
      </c>
      <c r="O36" s="1"/>
    </row>
    <row r="37" spans="1:15" ht="14.5" x14ac:dyDescent="0.35">
      <c r="A37" s="97">
        <v>28</v>
      </c>
      <c r="B37" s="97">
        <v>2046</v>
      </c>
      <c r="C37" s="353">
        <f>0</f>
        <v>0</v>
      </c>
      <c r="D37" s="353">
        <f t="shared" si="6"/>
        <v>11491.199999999999</v>
      </c>
      <c r="E37" s="353">
        <f t="shared" si="7"/>
        <v>3363.732</v>
      </c>
      <c r="F37" s="353">
        <f t="shared" si="8"/>
        <v>15143.525999999998</v>
      </c>
      <c r="G37" s="353">
        <f t="shared" si="2"/>
        <v>9576</v>
      </c>
      <c r="H37" s="353">
        <f t="shared" si="9"/>
        <v>50.455979999999997</v>
      </c>
      <c r="I37" s="353">
        <f t="shared" si="4"/>
        <v>12619.605</v>
      </c>
      <c r="J37" s="103" t="s">
        <v>127</v>
      </c>
      <c r="K37" s="372">
        <v>44553.172940375647</v>
      </c>
      <c r="L37" s="373">
        <v>185583.55212000001</v>
      </c>
      <c r="M37" s="353">
        <f t="shared" si="5"/>
        <v>10294.351917233696</v>
      </c>
      <c r="N37" s="353">
        <f t="shared" si="1"/>
        <v>62538.87089723369</v>
      </c>
      <c r="O37" s="1"/>
    </row>
    <row r="38" spans="1:15" ht="14.5" x14ac:dyDescent="0.35">
      <c r="A38" s="97">
        <v>29</v>
      </c>
      <c r="B38" s="97">
        <v>2047</v>
      </c>
      <c r="C38" s="353">
        <f>0</f>
        <v>0</v>
      </c>
      <c r="D38" s="353">
        <f t="shared" si="6"/>
        <v>11491.199999999999</v>
      </c>
      <c r="E38" s="353">
        <f t="shared" si="7"/>
        <v>3363.732</v>
      </c>
      <c r="F38" s="353">
        <f t="shared" si="8"/>
        <v>15143.525999999998</v>
      </c>
      <c r="G38" s="353">
        <f t="shared" si="2"/>
        <v>9576</v>
      </c>
      <c r="H38" s="353">
        <f t="shared" si="9"/>
        <v>50.455979999999997</v>
      </c>
      <c r="I38" s="353">
        <f t="shared" si="4"/>
        <v>12619.605</v>
      </c>
      <c r="J38" s="103" t="s">
        <v>127</v>
      </c>
      <c r="K38" s="372">
        <v>39349.955051596837</v>
      </c>
      <c r="L38" s="373">
        <v>160107.45731999999</v>
      </c>
      <c r="M38" s="353">
        <f t="shared" si="5"/>
        <v>8922.0214414511502</v>
      </c>
      <c r="N38" s="353">
        <f t="shared" si="1"/>
        <v>61166.540421451144</v>
      </c>
      <c r="O38" s="1"/>
    </row>
    <row r="39" spans="1:15" ht="14.5" x14ac:dyDescent="0.35">
      <c r="A39" s="97">
        <v>30</v>
      </c>
      <c r="B39" s="97">
        <v>2048</v>
      </c>
      <c r="C39" s="353">
        <f>0</f>
        <v>0</v>
      </c>
      <c r="D39" s="353">
        <f t="shared" si="6"/>
        <v>11491.199999999999</v>
      </c>
      <c r="E39" s="353">
        <f t="shared" si="7"/>
        <v>3363.732</v>
      </c>
      <c r="F39" s="353">
        <f t="shared" si="8"/>
        <v>15143.525999999998</v>
      </c>
      <c r="G39" s="353">
        <f t="shared" si="2"/>
        <v>9576</v>
      </c>
      <c r="H39" s="353">
        <f t="shared" si="9"/>
        <v>50.455979999999997</v>
      </c>
      <c r="I39" s="353">
        <f t="shared" si="4"/>
        <v>12619.605</v>
      </c>
      <c r="J39" s="103" t="s">
        <v>127</v>
      </c>
      <c r="K39" s="372">
        <v>34146.737162818026</v>
      </c>
      <c r="L39" s="373">
        <v>132508.35462</v>
      </c>
      <c r="M39" s="353">
        <f t="shared" si="5"/>
        <v>7454.7257208128194</v>
      </c>
      <c r="N39" s="353">
        <f t="shared" si="1"/>
        <v>59699.244700812815</v>
      </c>
      <c r="O39" s="1"/>
    </row>
    <row r="40" spans="1:15" ht="14.5" x14ac:dyDescent="0.35">
      <c r="A40" s="97">
        <v>31</v>
      </c>
      <c r="B40" s="97">
        <v>2049</v>
      </c>
      <c r="C40" s="353">
        <f>0</f>
        <v>0</v>
      </c>
      <c r="D40" s="353">
        <f t="shared" si="6"/>
        <v>11491.199999999999</v>
      </c>
      <c r="E40" s="353">
        <f t="shared" si="7"/>
        <v>3363.732</v>
      </c>
      <c r="F40" s="353">
        <f t="shared" si="8"/>
        <v>15143.525999999998</v>
      </c>
      <c r="G40" s="353">
        <f t="shared" si="2"/>
        <v>9576</v>
      </c>
      <c r="H40" s="353">
        <f t="shared" si="9"/>
        <v>50.455979999999997</v>
      </c>
      <c r="I40" s="353">
        <f t="shared" si="4"/>
        <v>12619.605</v>
      </c>
      <c r="J40" s="103" t="s">
        <v>127</v>
      </c>
      <c r="K40" s="372">
        <v>28943.519274039176</v>
      </c>
      <c r="L40" s="373">
        <v>107032.25982000001</v>
      </c>
      <c r="M40" s="353">
        <f t="shared" si="5"/>
        <v>6082.3952450302722</v>
      </c>
      <c r="N40" s="353">
        <f t="shared" si="1"/>
        <v>58326.914225030268</v>
      </c>
      <c r="O40" s="1"/>
    </row>
    <row r="41" spans="1:15" ht="14.5" x14ac:dyDescent="0.35">
      <c r="A41" s="97">
        <v>32</v>
      </c>
      <c r="B41" s="97">
        <v>2050</v>
      </c>
      <c r="C41" s="353">
        <f>0</f>
        <v>0</v>
      </c>
      <c r="D41" s="353">
        <f t="shared" si="6"/>
        <v>11491.199999999999</v>
      </c>
      <c r="E41" s="353">
        <f t="shared" si="7"/>
        <v>3363.732</v>
      </c>
      <c r="F41" s="353">
        <f t="shared" si="8"/>
        <v>15143.525999999998</v>
      </c>
      <c r="G41" s="353">
        <f t="shared" si="2"/>
        <v>9576</v>
      </c>
      <c r="H41" s="353">
        <f t="shared" si="9"/>
        <v>50.455979999999997</v>
      </c>
      <c r="I41" s="353">
        <f t="shared" si="4"/>
        <v>12619.605</v>
      </c>
      <c r="J41" s="103" t="s">
        <v>127</v>
      </c>
      <c r="K41" s="372">
        <v>23740.301385260347</v>
      </c>
      <c r="L41" s="373">
        <v>79433.157120000003</v>
      </c>
      <c r="M41" s="353">
        <f t="shared" si="5"/>
        <v>4615.0995243919397</v>
      </c>
      <c r="N41" s="353">
        <f t="shared" si="1"/>
        <v>56859.618504391932</v>
      </c>
      <c r="O41" s="1"/>
    </row>
    <row r="42" spans="1:15" ht="14.5" x14ac:dyDescent="0.35">
      <c r="A42" s="97">
        <v>33</v>
      </c>
      <c r="B42" s="97">
        <v>2051</v>
      </c>
      <c r="C42" s="353">
        <f>0</f>
        <v>0</v>
      </c>
      <c r="D42" s="353">
        <f t="shared" si="6"/>
        <v>11491.199999999999</v>
      </c>
      <c r="E42" s="353">
        <f t="shared" si="7"/>
        <v>3363.732</v>
      </c>
      <c r="F42" s="353">
        <f t="shared" si="8"/>
        <v>15143.525999999998</v>
      </c>
      <c r="G42" s="353">
        <f t="shared" si="2"/>
        <v>9576</v>
      </c>
      <c r="H42" s="353">
        <f t="shared" si="9"/>
        <v>50.455979999999997</v>
      </c>
      <c r="I42" s="353">
        <f t="shared" si="4"/>
        <v>12619.605</v>
      </c>
      <c r="J42" s="103" t="s">
        <v>127</v>
      </c>
      <c r="K42" s="372">
        <v>23740.301385260347</v>
      </c>
      <c r="L42" s="373">
        <v>46934.805420000004</v>
      </c>
      <c r="M42" s="353">
        <f t="shared" si="5"/>
        <v>3161.4007762149072</v>
      </c>
      <c r="N42" s="353">
        <f t="shared" si="1"/>
        <v>55405.919756214898</v>
      </c>
      <c r="O42" s="1"/>
    </row>
    <row r="43" spans="1:15" ht="14.5" x14ac:dyDescent="0.35">
      <c r="A43" s="97">
        <v>34</v>
      </c>
      <c r="B43" s="97">
        <v>2052</v>
      </c>
      <c r="C43" s="353">
        <f>0</f>
        <v>0</v>
      </c>
      <c r="D43" s="353">
        <f t="shared" si="6"/>
        <v>11491.199999999999</v>
      </c>
      <c r="E43" s="353">
        <f t="shared" si="7"/>
        <v>3363.732</v>
      </c>
      <c r="F43" s="353">
        <f t="shared" si="8"/>
        <v>15143.525999999998</v>
      </c>
      <c r="G43" s="353">
        <f t="shared" si="2"/>
        <v>9576</v>
      </c>
      <c r="H43" s="353">
        <f t="shared" si="9"/>
        <v>50.455979999999997</v>
      </c>
      <c r="I43" s="353">
        <f t="shared" si="4"/>
        <v>12619.605</v>
      </c>
      <c r="J43" s="103" t="s">
        <v>127</v>
      </c>
      <c r="K43" s="372">
        <v>23740.301385260347</v>
      </c>
      <c r="L43" s="373">
        <v>46934.805420000004</v>
      </c>
      <c r="M43" s="353">
        <f t="shared" si="5"/>
        <v>3161.4007762149072</v>
      </c>
      <c r="N43" s="353">
        <f t="shared" si="1"/>
        <v>55405.919756214898</v>
      </c>
      <c r="O43" s="1"/>
    </row>
    <row r="44" spans="1:15" ht="14.5" x14ac:dyDescent="0.35">
      <c r="A44" s="97">
        <v>35</v>
      </c>
      <c r="B44" s="97">
        <v>2053</v>
      </c>
      <c r="C44" s="353">
        <f>0</f>
        <v>0</v>
      </c>
      <c r="D44" s="353">
        <f t="shared" si="6"/>
        <v>11491.199999999999</v>
      </c>
      <c r="E44" s="353">
        <f t="shared" si="7"/>
        <v>3363.732</v>
      </c>
      <c r="F44" s="353">
        <f t="shared" si="8"/>
        <v>15143.525999999998</v>
      </c>
      <c r="G44" s="353">
        <f t="shared" si="2"/>
        <v>9576</v>
      </c>
      <c r="H44" s="353">
        <f t="shared" si="9"/>
        <v>50.455979999999997</v>
      </c>
      <c r="I44" s="353">
        <f t="shared" si="4"/>
        <v>12619.605</v>
      </c>
      <c r="J44" s="103" t="s">
        <v>127</v>
      </c>
      <c r="K44" s="372">
        <v>23740.301385260347</v>
      </c>
      <c r="L44" s="373">
        <v>46934.805420000004</v>
      </c>
      <c r="M44" s="353">
        <f t="shared" si="5"/>
        <v>3161.4007762149072</v>
      </c>
      <c r="N44" s="353">
        <f t="shared" si="1"/>
        <v>55405.919756214898</v>
      </c>
      <c r="O44" s="1"/>
    </row>
    <row r="45" spans="1:15" ht="14.5" x14ac:dyDescent="0.35">
      <c r="A45" s="97">
        <v>36</v>
      </c>
      <c r="B45" s="97">
        <v>2054</v>
      </c>
      <c r="C45" s="353">
        <f>0</f>
        <v>0</v>
      </c>
      <c r="D45" s="353">
        <f t="shared" si="6"/>
        <v>11491.199999999999</v>
      </c>
      <c r="E45" s="353">
        <f t="shared" si="7"/>
        <v>3363.732</v>
      </c>
      <c r="F45" s="353">
        <f t="shared" si="8"/>
        <v>15143.525999999998</v>
      </c>
      <c r="G45" s="353">
        <f t="shared" si="2"/>
        <v>9576</v>
      </c>
      <c r="H45" s="353">
        <f t="shared" si="9"/>
        <v>50.455979999999997</v>
      </c>
      <c r="I45" s="353">
        <f t="shared" si="4"/>
        <v>12619.605</v>
      </c>
      <c r="J45" s="103" t="s">
        <v>127</v>
      </c>
      <c r="K45" s="372">
        <v>23740.301385260347</v>
      </c>
      <c r="L45" s="373">
        <v>46934.805420000004</v>
      </c>
      <c r="M45" s="353">
        <f t="shared" si="5"/>
        <v>3161.4007762149072</v>
      </c>
      <c r="N45" s="353">
        <f t="shared" si="1"/>
        <v>55405.919756214898</v>
      </c>
      <c r="O45" s="1"/>
    </row>
    <row r="46" spans="1:15" ht="14.5" x14ac:dyDescent="0.35">
      <c r="A46" s="97">
        <v>37</v>
      </c>
      <c r="B46" s="97">
        <v>2055</v>
      </c>
      <c r="C46" s="353">
        <f>0</f>
        <v>0</v>
      </c>
      <c r="D46" s="353">
        <f t="shared" si="6"/>
        <v>11491.199999999999</v>
      </c>
      <c r="E46" s="353">
        <f t="shared" si="7"/>
        <v>3363.732</v>
      </c>
      <c r="F46" s="353">
        <f t="shared" si="8"/>
        <v>15143.525999999998</v>
      </c>
      <c r="G46" s="353">
        <f t="shared" si="2"/>
        <v>9576</v>
      </c>
      <c r="H46" s="353">
        <f t="shared" si="9"/>
        <v>50.455979999999997</v>
      </c>
      <c r="I46" s="353">
        <f t="shared" si="4"/>
        <v>12619.605</v>
      </c>
      <c r="J46" s="103" t="s">
        <v>127</v>
      </c>
      <c r="K46" s="372">
        <v>23740.301385260347</v>
      </c>
      <c r="L46" s="373">
        <v>46934.805420000004</v>
      </c>
      <c r="M46" s="353">
        <f t="shared" si="5"/>
        <v>3161.4007762149072</v>
      </c>
      <c r="N46" s="353">
        <f t="shared" si="1"/>
        <v>55405.919756214898</v>
      </c>
      <c r="O46" s="1"/>
    </row>
    <row r="47" spans="1:15" ht="14.5" x14ac:dyDescent="0.35">
      <c r="A47" s="97">
        <v>38</v>
      </c>
      <c r="B47" s="97">
        <v>2056</v>
      </c>
      <c r="C47" s="353">
        <f>0</f>
        <v>0</v>
      </c>
      <c r="D47" s="353">
        <f t="shared" si="6"/>
        <v>11491.199999999999</v>
      </c>
      <c r="E47" s="353">
        <f t="shared" si="7"/>
        <v>3363.732</v>
      </c>
      <c r="F47" s="353">
        <f t="shared" si="8"/>
        <v>15143.525999999998</v>
      </c>
      <c r="G47" s="353">
        <f t="shared" si="2"/>
        <v>9576</v>
      </c>
      <c r="H47" s="353">
        <f t="shared" si="9"/>
        <v>50.455979999999997</v>
      </c>
      <c r="I47" s="353">
        <f t="shared" si="4"/>
        <v>12619.605</v>
      </c>
      <c r="J47" s="103" t="s">
        <v>127</v>
      </c>
      <c r="K47" s="372">
        <v>23740.301385260347</v>
      </c>
      <c r="L47" s="373">
        <v>46934.805420000004</v>
      </c>
      <c r="M47" s="353">
        <f t="shared" si="5"/>
        <v>3161.4007762149072</v>
      </c>
      <c r="N47" s="353">
        <f t="shared" si="1"/>
        <v>55405.919756214898</v>
      </c>
      <c r="O47" s="1"/>
    </row>
    <row r="48" spans="1:15" ht="14.5" x14ac:dyDescent="0.35">
      <c r="A48" s="97">
        <v>39</v>
      </c>
      <c r="B48" s="97">
        <v>2057</v>
      </c>
      <c r="C48" s="353">
        <f>0</f>
        <v>0</v>
      </c>
      <c r="D48" s="353">
        <f t="shared" si="6"/>
        <v>11491.199999999999</v>
      </c>
      <c r="E48" s="353">
        <f t="shared" si="7"/>
        <v>3363.732</v>
      </c>
      <c r="F48" s="353">
        <f t="shared" si="8"/>
        <v>15143.525999999998</v>
      </c>
      <c r="G48" s="353">
        <f t="shared" ref="G48:G79" si="10">$N$3*$N$7</f>
        <v>9576</v>
      </c>
      <c r="H48" s="353">
        <f t="shared" si="9"/>
        <v>50.455979999999997</v>
      </c>
      <c r="I48" s="353">
        <f t="shared" ref="I48:I79" si="11">$N$5*$N$7</f>
        <v>12619.605</v>
      </c>
      <c r="J48" s="103" t="s">
        <v>127</v>
      </c>
      <c r="K48" s="372">
        <v>23740.301385260347</v>
      </c>
      <c r="L48" s="373">
        <v>46934.805420000004</v>
      </c>
      <c r="M48" s="353">
        <f t="shared" ref="M48:M79" si="12">(K48+L48)*$N$8</f>
        <v>3161.4007762149072</v>
      </c>
      <c r="N48" s="353">
        <f t="shared" si="1"/>
        <v>55405.919756214898</v>
      </c>
      <c r="O48" s="1"/>
    </row>
    <row r="49" spans="1:15" ht="14.5" x14ac:dyDescent="0.35">
      <c r="A49" s="97">
        <v>40</v>
      </c>
      <c r="B49" s="97">
        <v>2058</v>
      </c>
      <c r="C49" s="353">
        <f>0</f>
        <v>0</v>
      </c>
      <c r="D49" s="353">
        <f t="shared" si="6"/>
        <v>11491.199999999999</v>
      </c>
      <c r="E49" s="353">
        <f t="shared" si="7"/>
        <v>3363.732</v>
      </c>
      <c r="F49" s="353">
        <f t="shared" si="8"/>
        <v>15143.525999999998</v>
      </c>
      <c r="G49" s="353">
        <f t="shared" si="10"/>
        <v>9576</v>
      </c>
      <c r="H49" s="353">
        <f t="shared" si="9"/>
        <v>50.455979999999997</v>
      </c>
      <c r="I49" s="353">
        <f t="shared" si="11"/>
        <v>12619.605</v>
      </c>
      <c r="J49" s="103" t="s">
        <v>127</v>
      </c>
      <c r="K49" s="372">
        <v>23740.301385260347</v>
      </c>
      <c r="L49" s="373">
        <v>46934.805420000004</v>
      </c>
      <c r="M49" s="353">
        <f t="shared" si="12"/>
        <v>3161.4007762149072</v>
      </c>
      <c r="N49" s="353">
        <f t="shared" si="1"/>
        <v>55405.919756214898</v>
      </c>
      <c r="O49" s="1"/>
    </row>
    <row r="50" spans="1:15" ht="14.5" x14ac:dyDescent="0.35">
      <c r="A50" s="97">
        <v>41</v>
      </c>
      <c r="B50" s="97">
        <v>2059</v>
      </c>
      <c r="C50" s="353">
        <f>0</f>
        <v>0</v>
      </c>
      <c r="D50" s="353">
        <f t="shared" si="6"/>
        <v>11491.199999999999</v>
      </c>
      <c r="E50" s="353">
        <f t="shared" si="7"/>
        <v>3363.732</v>
      </c>
      <c r="F50" s="353">
        <f t="shared" si="8"/>
        <v>15143.525999999998</v>
      </c>
      <c r="G50" s="353">
        <f t="shared" si="10"/>
        <v>9576</v>
      </c>
      <c r="H50" s="353">
        <f t="shared" si="9"/>
        <v>50.455979999999997</v>
      </c>
      <c r="I50" s="353">
        <f t="shared" si="11"/>
        <v>12619.605</v>
      </c>
      <c r="J50" s="103" t="s">
        <v>127</v>
      </c>
      <c r="K50" s="372">
        <v>23740.301385260347</v>
      </c>
      <c r="L50" s="373">
        <v>46934.805420000004</v>
      </c>
      <c r="M50" s="353">
        <f t="shared" si="12"/>
        <v>3161.4007762149072</v>
      </c>
      <c r="N50" s="353">
        <f t="shared" si="1"/>
        <v>55405.919756214898</v>
      </c>
      <c r="O50" s="1"/>
    </row>
    <row r="51" spans="1:15" ht="14.5" x14ac:dyDescent="0.35">
      <c r="A51" s="97">
        <v>42</v>
      </c>
      <c r="B51" s="97">
        <v>2060</v>
      </c>
      <c r="C51" s="353">
        <f>0</f>
        <v>0</v>
      </c>
      <c r="D51" s="353">
        <f t="shared" si="6"/>
        <v>11491.199999999999</v>
      </c>
      <c r="E51" s="353">
        <f t="shared" si="7"/>
        <v>3363.732</v>
      </c>
      <c r="F51" s="353">
        <f t="shared" si="8"/>
        <v>15143.525999999998</v>
      </c>
      <c r="G51" s="353">
        <f t="shared" si="10"/>
        <v>9576</v>
      </c>
      <c r="H51" s="353">
        <f t="shared" si="9"/>
        <v>50.455979999999997</v>
      </c>
      <c r="I51" s="353">
        <f t="shared" si="11"/>
        <v>12619.605</v>
      </c>
      <c r="J51" s="103" t="s">
        <v>127</v>
      </c>
      <c r="K51" s="372">
        <v>23740.301385260347</v>
      </c>
      <c r="L51" s="373">
        <v>46934.805420000004</v>
      </c>
      <c r="M51" s="353">
        <f t="shared" si="12"/>
        <v>3161.4007762149072</v>
      </c>
      <c r="N51" s="353">
        <f t="shared" si="1"/>
        <v>55405.919756214898</v>
      </c>
      <c r="O51" s="1"/>
    </row>
    <row r="52" spans="1:15" ht="14.5" x14ac:dyDescent="0.35">
      <c r="A52" s="97">
        <v>43</v>
      </c>
      <c r="B52" s="97">
        <v>2061</v>
      </c>
      <c r="C52" s="353">
        <f>0</f>
        <v>0</v>
      </c>
      <c r="D52" s="353">
        <f t="shared" si="6"/>
        <v>11491.199999999999</v>
      </c>
      <c r="E52" s="353">
        <f t="shared" si="7"/>
        <v>3363.732</v>
      </c>
      <c r="F52" s="353">
        <f t="shared" si="8"/>
        <v>15143.525999999998</v>
      </c>
      <c r="G52" s="353">
        <f t="shared" si="10"/>
        <v>9576</v>
      </c>
      <c r="H52" s="353">
        <f t="shared" si="9"/>
        <v>50.455979999999997</v>
      </c>
      <c r="I52" s="353">
        <f t="shared" si="11"/>
        <v>12619.605</v>
      </c>
      <c r="J52" s="103" t="s">
        <v>127</v>
      </c>
      <c r="K52" s="372">
        <v>23740.301385260347</v>
      </c>
      <c r="L52" s="373">
        <v>46934.805420000004</v>
      </c>
      <c r="M52" s="353">
        <f t="shared" si="12"/>
        <v>3161.4007762149072</v>
      </c>
      <c r="N52" s="353">
        <f t="shared" si="1"/>
        <v>55405.919756214898</v>
      </c>
      <c r="O52" s="1"/>
    </row>
    <row r="53" spans="1:15" ht="14.5" x14ac:dyDescent="0.35">
      <c r="A53" s="97">
        <v>44</v>
      </c>
      <c r="B53" s="97">
        <v>2062</v>
      </c>
      <c r="C53" s="353">
        <f>0</f>
        <v>0</v>
      </c>
      <c r="D53" s="353">
        <f t="shared" si="6"/>
        <v>11491.199999999999</v>
      </c>
      <c r="E53" s="353">
        <f t="shared" si="7"/>
        <v>3363.732</v>
      </c>
      <c r="F53" s="353">
        <f t="shared" si="8"/>
        <v>15143.525999999998</v>
      </c>
      <c r="G53" s="353">
        <f t="shared" si="10"/>
        <v>9576</v>
      </c>
      <c r="H53" s="353">
        <f t="shared" si="9"/>
        <v>50.455979999999997</v>
      </c>
      <c r="I53" s="353">
        <f t="shared" si="11"/>
        <v>12619.605</v>
      </c>
      <c r="J53" s="103" t="s">
        <v>127</v>
      </c>
      <c r="K53" s="372">
        <v>23740.301385260347</v>
      </c>
      <c r="L53" s="373">
        <v>46934.805420000004</v>
      </c>
      <c r="M53" s="353">
        <f t="shared" si="12"/>
        <v>3161.4007762149072</v>
      </c>
      <c r="N53" s="353">
        <f t="shared" si="1"/>
        <v>55405.919756214898</v>
      </c>
      <c r="O53" s="1"/>
    </row>
    <row r="54" spans="1:15" ht="14.5" x14ac:dyDescent="0.35">
      <c r="A54" s="97">
        <v>45</v>
      </c>
      <c r="B54" s="97">
        <v>2063</v>
      </c>
      <c r="C54" s="353">
        <f>0</f>
        <v>0</v>
      </c>
      <c r="D54" s="353">
        <f t="shared" si="6"/>
        <v>11491.199999999999</v>
      </c>
      <c r="E54" s="353">
        <f t="shared" si="7"/>
        <v>3363.732</v>
      </c>
      <c r="F54" s="353">
        <f t="shared" si="8"/>
        <v>15143.525999999998</v>
      </c>
      <c r="G54" s="353">
        <f t="shared" si="10"/>
        <v>9576</v>
      </c>
      <c r="H54" s="353">
        <f t="shared" si="9"/>
        <v>50.455979999999997</v>
      </c>
      <c r="I54" s="353">
        <f t="shared" si="11"/>
        <v>12619.605</v>
      </c>
      <c r="J54" s="103" t="s">
        <v>127</v>
      </c>
      <c r="K54" s="372">
        <v>23740.301385260347</v>
      </c>
      <c r="L54" s="373">
        <v>46934.805420000004</v>
      </c>
      <c r="M54" s="353">
        <f t="shared" si="12"/>
        <v>3161.4007762149072</v>
      </c>
      <c r="N54" s="353">
        <f t="shared" si="1"/>
        <v>55405.919756214898</v>
      </c>
      <c r="O54" s="1"/>
    </row>
    <row r="55" spans="1:15" ht="14.5" x14ac:dyDescent="0.35">
      <c r="A55" s="97">
        <v>46</v>
      </c>
      <c r="B55" s="97">
        <v>2064</v>
      </c>
      <c r="C55" s="353">
        <f>0</f>
        <v>0</v>
      </c>
      <c r="D55" s="353">
        <f t="shared" si="6"/>
        <v>11491.199999999999</v>
      </c>
      <c r="E55" s="353">
        <f t="shared" si="7"/>
        <v>3363.732</v>
      </c>
      <c r="F55" s="353">
        <f t="shared" si="8"/>
        <v>15143.525999999998</v>
      </c>
      <c r="G55" s="353">
        <f t="shared" si="10"/>
        <v>9576</v>
      </c>
      <c r="H55" s="353">
        <f t="shared" si="9"/>
        <v>50.455979999999997</v>
      </c>
      <c r="I55" s="353">
        <f t="shared" si="11"/>
        <v>12619.605</v>
      </c>
      <c r="J55" s="103" t="s">
        <v>127</v>
      </c>
      <c r="K55" s="372">
        <v>23740.301385260347</v>
      </c>
      <c r="L55" s="373">
        <v>46934.805420000004</v>
      </c>
      <c r="M55" s="353">
        <f t="shared" si="12"/>
        <v>3161.4007762149072</v>
      </c>
      <c r="N55" s="353">
        <f t="shared" si="1"/>
        <v>55405.919756214898</v>
      </c>
      <c r="O55" s="1"/>
    </row>
    <row r="56" spans="1:15" ht="14.5" x14ac:dyDescent="0.35">
      <c r="A56" s="97">
        <v>47</v>
      </c>
      <c r="B56" s="97">
        <v>2065</v>
      </c>
      <c r="C56" s="353">
        <f>0</f>
        <v>0</v>
      </c>
      <c r="D56" s="353">
        <f t="shared" si="6"/>
        <v>11491.199999999999</v>
      </c>
      <c r="E56" s="353">
        <f t="shared" si="7"/>
        <v>3363.732</v>
      </c>
      <c r="F56" s="353">
        <f t="shared" si="8"/>
        <v>15143.525999999998</v>
      </c>
      <c r="G56" s="353">
        <f t="shared" si="10"/>
        <v>9576</v>
      </c>
      <c r="H56" s="353">
        <f t="shared" ref="H56:H75" si="13">E$56*$N$7</f>
        <v>50.455979999999997</v>
      </c>
      <c r="I56" s="353">
        <f t="shared" si="11"/>
        <v>12619.605</v>
      </c>
      <c r="J56" s="103" t="s">
        <v>127</v>
      </c>
      <c r="K56" s="372">
        <v>23740.301385260347</v>
      </c>
      <c r="L56" s="373">
        <v>46934.805420000004</v>
      </c>
      <c r="M56" s="353">
        <f t="shared" si="12"/>
        <v>3161.4007762149072</v>
      </c>
      <c r="N56" s="353">
        <f t="shared" si="1"/>
        <v>55405.919756214898</v>
      </c>
      <c r="O56" s="1"/>
    </row>
    <row r="57" spans="1:15" ht="14.5" x14ac:dyDescent="0.35">
      <c r="A57" s="97">
        <v>48</v>
      </c>
      <c r="B57" s="97">
        <v>2066</v>
      </c>
      <c r="C57" s="353">
        <f>0</f>
        <v>0</v>
      </c>
      <c r="D57" s="353">
        <f t="shared" si="6"/>
        <v>11491.199999999999</v>
      </c>
      <c r="E57" s="353">
        <f t="shared" si="7"/>
        <v>3363.732</v>
      </c>
      <c r="F57" s="353">
        <f t="shared" si="8"/>
        <v>15143.525999999998</v>
      </c>
      <c r="G57" s="353">
        <f t="shared" si="10"/>
        <v>9576</v>
      </c>
      <c r="H57" s="353">
        <f t="shared" si="13"/>
        <v>50.455979999999997</v>
      </c>
      <c r="I57" s="353">
        <f t="shared" si="11"/>
        <v>12619.605</v>
      </c>
      <c r="J57" s="103" t="s">
        <v>127</v>
      </c>
      <c r="K57" s="372">
        <v>23740.301385260347</v>
      </c>
      <c r="L57" s="373">
        <v>46934.805420000004</v>
      </c>
      <c r="M57" s="353">
        <f t="shared" si="12"/>
        <v>3161.4007762149072</v>
      </c>
      <c r="N57" s="353">
        <f t="shared" si="1"/>
        <v>55405.919756214898</v>
      </c>
      <c r="O57" s="1"/>
    </row>
    <row r="58" spans="1:15" ht="14.5" x14ac:dyDescent="0.35">
      <c r="A58" s="97">
        <v>49</v>
      </c>
      <c r="B58" s="97">
        <v>2067</v>
      </c>
      <c r="C58" s="353">
        <f>0</f>
        <v>0</v>
      </c>
      <c r="D58" s="353">
        <f t="shared" si="6"/>
        <v>11491.199999999999</v>
      </c>
      <c r="E58" s="353">
        <f t="shared" si="7"/>
        <v>3363.732</v>
      </c>
      <c r="F58" s="353">
        <f t="shared" si="8"/>
        <v>15143.525999999998</v>
      </c>
      <c r="G58" s="353">
        <f t="shared" si="10"/>
        <v>9576</v>
      </c>
      <c r="H58" s="353">
        <f t="shared" si="13"/>
        <v>50.455979999999997</v>
      </c>
      <c r="I58" s="353">
        <f t="shared" si="11"/>
        <v>12619.605</v>
      </c>
      <c r="J58" s="103" t="s">
        <v>127</v>
      </c>
      <c r="K58" s="372">
        <v>23740.301385260347</v>
      </c>
      <c r="L58" s="373">
        <v>46934.805420000004</v>
      </c>
      <c r="M58" s="353">
        <f t="shared" si="12"/>
        <v>3161.4007762149072</v>
      </c>
      <c r="N58" s="353">
        <f t="shared" si="1"/>
        <v>55405.919756214898</v>
      </c>
      <c r="O58" s="1"/>
    </row>
    <row r="59" spans="1:15" ht="14.5" x14ac:dyDescent="0.35">
      <c r="A59" s="97">
        <v>50</v>
      </c>
      <c r="B59" s="97">
        <v>2068</v>
      </c>
      <c r="C59" s="353">
        <f>0</f>
        <v>0</v>
      </c>
      <c r="D59" s="353">
        <f t="shared" si="6"/>
        <v>11491.199999999999</v>
      </c>
      <c r="E59" s="353">
        <f t="shared" si="7"/>
        <v>3363.732</v>
      </c>
      <c r="F59" s="353">
        <f t="shared" si="8"/>
        <v>15143.525999999998</v>
      </c>
      <c r="G59" s="353">
        <f t="shared" si="10"/>
        <v>9576</v>
      </c>
      <c r="H59" s="353">
        <f t="shared" si="13"/>
        <v>50.455979999999997</v>
      </c>
      <c r="I59" s="353">
        <f t="shared" si="11"/>
        <v>12619.605</v>
      </c>
      <c r="J59" s="103" t="s">
        <v>127</v>
      </c>
      <c r="K59" s="372">
        <v>23740.301385260347</v>
      </c>
      <c r="L59" s="373">
        <v>46934.805420000004</v>
      </c>
      <c r="M59" s="353">
        <f t="shared" si="12"/>
        <v>3161.4007762149072</v>
      </c>
      <c r="N59" s="353">
        <f t="shared" si="1"/>
        <v>55405.919756214898</v>
      </c>
      <c r="O59" s="7"/>
    </row>
    <row r="60" spans="1:15" ht="14.5" x14ac:dyDescent="0.35">
      <c r="A60" s="97">
        <v>51</v>
      </c>
      <c r="B60" s="97">
        <v>2069</v>
      </c>
      <c r="C60" s="353">
        <f>0</f>
        <v>0</v>
      </c>
      <c r="D60" s="353">
        <f t="shared" si="6"/>
        <v>11491.199999999999</v>
      </c>
      <c r="E60" s="353">
        <f t="shared" si="7"/>
        <v>3363.732</v>
      </c>
      <c r="F60" s="353">
        <f t="shared" si="8"/>
        <v>15143.525999999998</v>
      </c>
      <c r="G60" s="353">
        <f t="shared" si="10"/>
        <v>9576</v>
      </c>
      <c r="H60" s="353">
        <f t="shared" si="13"/>
        <v>50.455979999999997</v>
      </c>
      <c r="I60" s="353">
        <f t="shared" si="11"/>
        <v>12619.605</v>
      </c>
      <c r="J60" s="103" t="s">
        <v>127</v>
      </c>
      <c r="K60" s="372">
        <v>23740.301385260347</v>
      </c>
      <c r="L60" s="373">
        <v>46934.805420000004</v>
      </c>
      <c r="M60" s="353">
        <f t="shared" si="12"/>
        <v>3161.4007762149072</v>
      </c>
      <c r="N60" s="353">
        <f t="shared" si="1"/>
        <v>55405.919756214898</v>
      </c>
      <c r="O60" s="1"/>
    </row>
    <row r="61" spans="1:15" ht="14.5" x14ac:dyDescent="0.35">
      <c r="A61" s="97">
        <v>52</v>
      </c>
      <c r="B61" s="97">
        <v>2070</v>
      </c>
      <c r="C61" s="353">
        <f>0</f>
        <v>0</v>
      </c>
      <c r="D61" s="353">
        <f t="shared" si="6"/>
        <v>11491.199999999999</v>
      </c>
      <c r="E61" s="353">
        <f t="shared" si="7"/>
        <v>3363.732</v>
      </c>
      <c r="F61" s="353">
        <f t="shared" si="8"/>
        <v>15143.525999999998</v>
      </c>
      <c r="G61" s="353">
        <f t="shared" si="10"/>
        <v>9576</v>
      </c>
      <c r="H61" s="353">
        <f t="shared" si="13"/>
        <v>50.455979999999997</v>
      </c>
      <c r="I61" s="353">
        <f t="shared" si="11"/>
        <v>12619.605</v>
      </c>
      <c r="J61" s="103" t="s">
        <v>127</v>
      </c>
      <c r="K61" s="372">
        <v>23740.301385260347</v>
      </c>
      <c r="L61" s="373">
        <v>46934.805420000004</v>
      </c>
      <c r="M61" s="353">
        <f t="shared" si="12"/>
        <v>3161.4007762149072</v>
      </c>
      <c r="N61" s="353">
        <f t="shared" si="1"/>
        <v>55405.919756214898</v>
      </c>
      <c r="O61" s="1"/>
    </row>
    <row r="62" spans="1:15" ht="14.5" x14ac:dyDescent="0.35">
      <c r="A62" s="97">
        <v>53</v>
      </c>
      <c r="B62" s="97">
        <v>2071</v>
      </c>
      <c r="C62" s="353">
        <f>0</f>
        <v>0</v>
      </c>
      <c r="D62" s="353">
        <f t="shared" si="6"/>
        <v>11491.199999999999</v>
      </c>
      <c r="E62" s="353">
        <f t="shared" si="7"/>
        <v>3363.732</v>
      </c>
      <c r="F62" s="353">
        <f t="shared" si="8"/>
        <v>15143.525999999998</v>
      </c>
      <c r="G62" s="353">
        <f t="shared" si="10"/>
        <v>9576</v>
      </c>
      <c r="H62" s="353">
        <f t="shared" si="13"/>
        <v>50.455979999999997</v>
      </c>
      <c r="I62" s="353">
        <f t="shared" si="11"/>
        <v>12619.605</v>
      </c>
      <c r="J62" s="103" t="s">
        <v>127</v>
      </c>
      <c r="K62" s="372">
        <v>23740.301385260347</v>
      </c>
      <c r="L62" s="373">
        <v>46934.805420000004</v>
      </c>
      <c r="M62" s="353">
        <f t="shared" si="12"/>
        <v>3161.4007762149072</v>
      </c>
      <c r="N62" s="353">
        <f t="shared" si="1"/>
        <v>55405.919756214898</v>
      </c>
      <c r="O62" s="1"/>
    </row>
    <row r="63" spans="1:15" ht="14.5" x14ac:dyDescent="0.35">
      <c r="A63" s="97">
        <v>54</v>
      </c>
      <c r="B63" s="97">
        <v>2072</v>
      </c>
      <c r="C63" s="353">
        <f>0</f>
        <v>0</v>
      </c>
      <c r="D63" s="353">
        <f t="shared" si="6"/>
        <v>11491.199999999999</v>
      </c>
      <c r="E63" s="353">
        <f t="shared" si="7"/>
        <v>3363.732</v>
      </c>
      <c r="F63" s="353">
        <f t="shared" si="8"/>
        <v>15143.525999999998</v>
      </c>
      <c r="G63" s="353">
        <f t="shared" si="10"/>
        <v>9576</v>
      </c>
      <c r="H63" s="353">
        <f t="shared" si="13"/>
        <v>50.455979999999997</v>
      </c>
      <c r="I63" s="353">
        <f t="shared" si="11"/>
        <v>12619.605</v>
      </c>
      <c r="J63" s="103" t="s">
        <v>127</v>
      </c>
      <c r="K63" s="372">
        <v>23740.301385260347</v>
      </c>
      <c r="L63" s="373">
        <v>46934.805420000004</v>
      </c>
      <c r="M63" s="353">
        <f t="shared" si="12"/>
        <v>3161.4007762149072</v>
      </c>
      <c r="N63" s="353">
        <f t="shared" si="1"/>
        <v>55405.919756214898</v>
      </c>
      <c r="O63" s="1"/>
    </row>
    <row r="64" spans="1:15" ht="14.5" x14ac:dyDescent="0.35">
      <c r="A64" s="97">
        <v>55</v>
      </c>
      <c r="B64" s="97">
        <v>2073</v>
      </c>
      <c r="C64" s="353">
        <f>0</f>
        <v>0</v>
      </c>
      <c r="D64" s="353">
        <f t="shared" si="6"/>
        <v>11491.199999999999</v>
      </c>
      <c r="E64" s="353">
        <f t="shared" si="7"/>
        <v>3363.732</v>
      </c>
      <c r="F64" s="353">
        <f t="shared" si="8"/>
        <v>15143.525999999998</v>
      </c>
      <c r="G64" s="353">
        <f t="shared" si="10"/>
        <v>9576</v>
      </c>
      <c r="H64" s="353">
        <f t="shared" si="13"/>
        <v>50.455979999999997</v>
      </c>
      <c r="I64" s="353">
        <f t="shared" si="11"/>
        <v>12619.605</v>
      </c>
      <c r="J64" s="103" t="s">
        <v>127</v>
      </c>
      <c r="K64" s="372">
        <v>23740.301385260347</v>
      </c>
      <c r="L64" s="373">
        <v>46934.805420000004</v>
      </c>
      <c r="M64" s="353">
        <f t="shared" si="12"/>
        <v>3161.4007762149072</v>
      </c>
      <c r="N64" s="353">
        <f t="shared" si="1"/>
        <v>55405.919756214898</v>
      </c>
      <c r="O64" s="1"/>
    </row>
    <row r="65" spans="1:15" ht="14.5" x14ac:dyDescent="0.35">
      <c r="A65" s="97">
        <v>56</v>
      </c>
      <c r="B65" s="97">
        <v>2074</v>
      </c>
      <c r="C65" s="353">
        <f>0</f>
        <v>0</v>
      </c>
      <c r="D65" s="353">
        <f t="shared" si="6"/>
        <v>11491.199999999999</v>
      </c>
      <c r="E65" s="353">
        <f t="shared" si="7"/>
        <v>3363.732</v>
      </c>
      <c r="F65" s="353">
        <f t="shared" si="8"/>
        <v>15143.525999999998</v>
      </c>
      <c r="G65" s="353">
        <f t="shared" si="10"/>
        <v>9576</v>
      </c>
      <c r="H65" s="353">
        <f t="shared" si="13"/>
        <v>50.455979999999997</v>
      </c>
      <c r="I65" s="353">
        <f t="shared" si="11"/>
        <v>12619.605</v>
      </c>
      <c r="J65" s="103" t="s">
        <v>127</v>
      </c>
      <c r="K65" s="372">
        <v>23740.301385260347</v>
      </c>
      <c r="L65" s="373">
        <v>46934.805420000004</v>
      </c>
      <c r="M65" s="353">
        <f t="shared" si="12"/>
        <v>3161.4007762149072</v>
      </c>
      <c r="N65" s="353">
        <f t="shared" si="1"/>
        <v>55405.919756214898</v>
      </c>
      <c r="O65" s="1"/>
    </row>
    <row r="66" spans="1:15" ht="14.5" x14ac:dyDescent="0.35">
      <c r="A66" s="97">
        <v>57</v>
      </c>
      <c r="B66" s="97">
        <v>2075</v>
      </c>
      <c r="C66" s="353">
        <f>0</f>
        <v>0</v>
      </c>
      <c r="D66" s="353">
        <f t="shared" si="6"/>
        <v>11491.199999999999</v>
      </c>
      <c r="E66" s="353">
        <f t="shared" si="7"/>
        <v>3363.732</v>
      </c>
      <c r="F66" s="353">
        <f t="shared" si="8"/>
        <v>15143.525999999998</v>
      </c>
      <c r="G66" s="353">
        <f t="shared" si="10"/>
        <v>9576</v>
      </c>
      <c r="H66" s="353">
        <f t="shared" si="13"/>
        <v>50.455979999999997</v>
      </c>
      <c r="I66" s="353">
        <f t="shared" si="11"/>
        <v>12619.605</v>
      </c>
      <c r="J66" s="103" t="s">
        <v>127</v>
      </c>
      <c r="K66" s="372">
        <v>23740.301385260347</v>
      </c>
      <c r="L66" s="373">
        <v>46934.805420000004</v>
      </c>
      <c r="M66" s="353">
        <f t="shared" si="12"/>
        <v>3161.4007762149072</v>
      </c>
      <c r="N66" s="353">
        <f t="shared" si="1"/>
        <v>55405.919756214898</v>
      </c>
      <c r="O66" s="1"/>
    </row>
    <row r="67" spans="1:15" ht="14.5" x14ac:dyDescent="0.35">
      <c r="A67" s="97">
        <v>58</v>
      </c>
      <c r="B67" s="97">
        <v>2076</v>
      </c>
      <c r="C67" s="353">
        <f>0</f>
        <v>0</v>
      </c>
      <c r="D67" s="353">
        <f t="shared" si="6"/>
        <v>11491.199999999999</v>
      </c>
      <c r="E67" s="353">
        <f t="shared" si="7"/>
        <v>3363.732</v>
      </c>
      <c r="F67" s="353">
        <f t="shared" si="8"/>
        <v>15143.525999999998</v>
      </c>
      <c r="G67" s="353">
        <f t="shared" si="10"/>
        <v>9576</v>
      </c>
      <c r="H67" s="353">
        <f t="shared" si="13"/>
        <v>50.455979999999997</v>
      </c>
      <c r="I67" s="353">
        <f t="shared" si="11"/>
        <v>12619.605</v>
      </c>
      <c r="J67" s="103" t="s">
        <v>127</v>
      </c>
      <c r="K67" s="372">
        <v>23740.301385260347</v>
      </c>
      <c r="L67" s="373">
        <v>46934.805420000004</v>
      </c>
      <c r="M67" s="353">
        <f t="shared" si="12"/>
        <v>3161.4007762149072</v>
      </c>
      <c r="N67" s="353">
        <f t="shared" si="1"/>
        <v>55405.919756214898</v>
      </c>
      <c r="O67" s="1"/>
    </row>
    <row r="68" spans="1:15" ht="14.5" x14ac:dyDescent="0.35">
      <c r="A68" s="97">
        <v>59</v>
      </c>
      <c r="B68" s="97">
        <v>2077</v>
      </c>
      <c r="C68" s="353">
        <f>0</f>
        <v>0</v>
      </c>
      <c r="D68" s="353">
        <f t="shared" si="6"/>
        <v>11491.199999999999</v>
      </c>
      <c r="E68" s="353">
        <f t="shared" si="7"/>
        <v>3363.732</v>
      </c>
      <c r="F68" s="353">
        <f t="shared" si="8"/>
        <v>15143.525999999998</v>
      </c>
      <c r="G68" s="353">
        <f t="shared" si="10"/>
        <v>9576</v>
      </c>
      <c r="H68" s="353">
        <f t="shared" si="13"/>
        <v>50.455979999999997</v>
      </c>
      <c r="I68" s="353">
        <f t="shared" si="11"/>
        <v>12619.605</v>
      </c>
      <c r="J68" s="103" t="s">
        <v>127</v>
      </c>
      <c r="K68" s="372">
        <v>23740.301385260347</v>
      </c>
      <c r="L68" s="373">
        <v>46934.805420000004</v>
      </c>
      <c r="M68" s="353">
        <f t="shared" si="12"/>
        <v>3161.4007762149072</v>
      </c>
      <c r="N68" s="353">
        <f t="shared" si="1"/>
        <v>55405.919756214898</v>
      </c>
      <c r="O68" s="1"/>
    </row>
    <row r="69" spans="1:15" ht="14.5" x14ac:dyDescent="0.35">
      <c r="A69" s="97">
        <v>60</v>
      </c>
      <c r="B69" s="97">
        <v>2078</v>
      </c>
      <c r="C69" s="353">
        <f>0</f>
        <v>0</v>
      </c>
      <c r="D69" s="353">
        <f t="shared" si="6"/>
        <v>11491.199999999999</v>
      </c>
      <c r="E69" s="353">
        <f t="shared" si="7"/>
        <v>3363.732</v>
      </c>
      <c r="F69" s="353">
        <f t="shared" si="8"/>
        <v>15143.525999999998</v>
      </c>
      <c r="G69" s="353">
        <f t="shared" si="10"/>
        <v>9576</v>
      </c>
      <c r="H69" s="353">
        <f t="shared" si="13"/>
        <v>50.455979999999997</v>
      </c>
      <c r="I69" s="353">
        <f t="shared" si="11"/>
        <v>12619.605</v>
      </c>
      <c r="J69" s="103" t="s">
        <v>127</v>
      </c>
      <c r="K69" s="372">
        <v>23740.301385260347</v>
      </c>
      <c r="L69" s="373">
        <v>46934.805420000004</v>
      </c>
      <c r="M69" s="353">
        <f t="shared" si="12"/>
        <v>3161.4007762149072</v>
      </c>
      <c r="N69" s="353">
        <f t="shared" si="1"/>
        <v>55405.919756214898</v>
      </c>
      <c r="O69" s="1"/>
    </row>
    <row r="70" spans="1:15" ht="14.5" x14ac:dyDescent="0.35">
      <c r="A70" s="97">
        <v>61</v>
      </c>
      <c r="B70" s="97">
        <v>2079</v>
      </c>
      <c r="C70" s="353">
        <f>0</f>
        <v>0</v>
      </c>
      <c r="D70" s="353">
        <f t="shared" si="6"/>
        <v>11491.199999999999</v>
      </c>
      <c r="E70" s="353">
        <f t="shared" si="7"/>
        <v>3363.732</v>
      </c>
      <c r="F70" s="353">
        <f t="shared" si="8"/>
        <v>15143.525999999998</v>
      </c>
      <c r="G70" s="353">
        <f t="shared" si="10"/>
        <v>9576</v>
      </c>
      <c r="H70" s="353">
        <f t="shared" si="13"/>
        <v>50.455979999999997</v>
      </c>
      <c r="I70" s="353">
        <f t="shared" si="11"/>
        <v>12619.605</v>
      </c>
      <c r="J70" s="103" t="s">
        <v>127</v>
      </c>
      <c r="K70" s="372">
        <v>23740.301385260347</v>
      </c>
      <c r="L70" s="373">
        <v>46934.805420000004</v>
      </c>
      <c r="M70" s="353">
        <f t="shared" si="12"/>
        <v>3161.4007762149072</v>
      </c>
      <c r="N70" s="353">
        <f t="shared" si="1"/>
        <v>55405.919756214898</v>
      </c>
      <c r="O70" s="1"/>
    </row>
    <row r="71" spans="1:15" ht="14.5" x14ac:dyDescent="0.35">
      <c r="A71" s="97">
        <v>62</v>
      </c>
      <c r="B71" s="97">
        <v>2080</v>
      </c>
      <c r="C71" s="353">
        <f>0</f>
        <v>0</v>
      </c>
      <c r="D71" s="353">
        <f t="shared" si="6"/>
        <v>11491.199999999999</v>
      </c>
      <c r="E71" s="353">
        <f t="shared" si="7"/>
        <v>3363.732</v>
      </c>
      <c r="F71" s="353">
        <f t="shared" si="8"/>
        <v>15143.525999999998</v>
      </c>
      <c r="G71" s="353">
        <f t="shared" si="10"/>
        <v>9576</v>
      </c>
      <c r="H71" s="353">
        <f t="shared" si="13"/>
        <v>50.455979999999997</v>
      </c>
      <c r="I71" s="353">
        <f t="shared" si="11"/>
        <v>12619.605</v>
      </c>
      <c r="J71" s="103" t="s">
        <v>127</v>
      </c>
      <c r="K71" s="372">
        <v>23740.301385260347</v>
      </c>
      <c r="L71" s="373">
        <v>46934.805420000004</v>
      </c>
      <c r="M71" s="353">
        <f t="shared" si="12"/>
        <v>3161.4007762149072</v>
      </c>
      <c r="N71" s="353">
        <f t="shared" si="1"/>
        <v>55405.919756214898</v>
      </c>
      <c r="O71" s="1"/>
    </row>
    <row r="72" spans="1:15" ht="14.5" x14ac:dyDescent="0.35">
      <c r="A72" s="97">
        <v>63</v>
      </c>
      <c r="B72" s="97">
        <v>2081</v>
      </c>
      <c r="C72" s="353">
        <f>0</f>
        <v>0</v>
      </c>
      <c r="D72" s="353">
        <f t="shared" si="6"/>
        <v>11491.199999999999</v>
      </c>
      <c r="E72" s="353">
        <f t="shared" si="7"/>
        <v>3363.732</v>
      </c>
      <c r="F72" s="353">
        <f t="shared" si="8"/>
        <v>15143.525999999998</v>
      </c>
      <c r="G72" s="353">
        <f t="shared" si="10"/>
        <v>9576</v>
      </c>
      <c r="H72" s="353">
        <f t="shared" si="13"/>
        <v>50.455979999999997</v>
      </c>
      <c r="I72" s="353">
        <f t="shared" si="11"/>
        <v>12619.605</v>
      </c>
      <c r="J72" s="103" t="s">
        <v>127</v>
      </c>
      <c r="K72" s="372">
        <v>23740.301385260347</v>
      </c>
      <c r="L72" s="373">
        <v>46934.805420000004</v>
      </c>
      <c r="M72" s="353">
        <f t="shared" si="12"/>
        <v>3161.4007762149072</v>
      </c>
      <c r="N72" s="353">
        <f t="shared" si="1"/>
        <v>55405.919756214898</v>
      </c>
      <c r="O72" s="1"/>
    </row>
    <row r="73" spans="1:15" ht="14.5" x14ac:dyDescent="0.35">
      <c r="A73" s="97">
        <v>64</v>
      </c>
      <c r="B73" s="97">
        <v>2082</v>
      </c>
      <c r="C73" s="353">
        <f>0</f>
        <v>0</v>
      </c>
      <c r="D73" s="353">
        <f t="shared" si="6"/>
        <v>11491.199999999999</v>
      </c>
      <c r="E73" s="353">
        <f t="shared" si="7"/>
        <v>3363.732</v>
      </c>
      <c r="F73" s="353">
        <f t="shared" si="8"/>
        <v>15143.525999999998</v>
      </c>
      <c r="G73" s="353">
        <f t="shared" si="10"/>
        <v>9576</v>
      </c>
      <c r="H73" s="353">
        <f t="shared" si="13"/>
        <v>50.455979999999997</v>
      </c>
      <c r="I73" s="353">
        <f t="shared" si="11"/>
        <v>12619.605</v>
      </c>
      <c r="J73" s="103" t="s">
        <v>127</v>
      </c>
      <c r="K73" s="372">
        <v>23740.301385260347</v>
      </c>
      <c r="L73" s="373">
        <v>46934.805420000004</v>
      </c>
      <c r="M73" s="353">
        <f t="shared" si="12"/>
        <v>3161.4007762149072</v>
      </c>
      <c r="N73" s="353">
        <f t="shared" si="1"/>
        <v>55405.919756214898</v>
      </c>
      <c r="O73" s="1"/>
    </row>
    <row r="74" spans="1:15" ht="14.5" x14ac:dyDescent="0.35">
      <c r="A74" s="97">
        <v>65</v>
      </c>
      <c r="B74" s="97">
        <v>2083</v>
      </c>
      <c r="C74" s="353">
        <f>0</f>
        <v>0</v>
      </c>
      <c r="D74" s="353">
        <f t="shared" si="6"/>
        <v>11491.199999999999</v>
      </c>
      <c r="E74" s="353">
        <f t="shared" si="7"/>
        <v>3363.732</v>
      </c>
      <c r="F74" s="353">
        <f t="shared" si="8"/>
        <v>15143.525999999998</v>
      </c>
      <c r="G74" s="353">
        <f t="shared" si="10"/>
        <v>9576</v>
      </c>
      <c r="H74" s="353">
        <f t="shared" si="13"/>
        <v>50.455979999999997</v>
      </c>
      <c r="I74" s="353">
        <f t="shared" si="11"/>
        <v>12619.605</v>
      </c>
      <c r="J74" s="103" t="s">
        <v>127</v>
      </c>
      <c r="K74" s="372">
        <v>23740.301385260347</v>
      </c>
      <c r="L74" s="373">
        <v>46934.805420000004</v>
      </c>
      <c r="M74" s="353">
        <f t="shared" si="12"/>
        <v>3161.4007762149072</v>
      </c>
      <c r="N74" s="353">
        <f t="shared" si="1"/>
        <v>55405.919756214898</v>
      </c>
      <c r="O74" s="1"/>
    </row>
    <row r="75" spans="1:15" ht="14.5" x14ac:dyDescent="0.35">
      <c r="A75" s="97">
        <v>66</v>
      </c>
      <c r="B75" s="97">
        <v>2084</v>
      </c>
      <c r="C75" s="353">
        <f>0</f>
        <v>0</v>
      </c>
      <c r="D75" s="353">
        <f t="shared" si="6"/>
        <v>11491.199999999999</v>
      </c>
      <c r="E75" s="353">
        <f t="shared" si="7"/>
        <v>3363.732</v>
      </c>
      <c r="F75" s="353">
        <f t="shared" si="8"/>
        <v>15143.525999999998</v>
      </c>
      <c r="G75" s="353">
        <f t="shared" si="10"/>
        <v>9576</v>
      </c>
      <c r="H75" s="353">
        <f t="shared" si="13"/>
        <v>50.455979999999997</v>
      </c>
      <c r="I75" s="353">
        <f t="shared" si="11"/>
        <v>12619.605</v>
      </c>
      <c r="J75" s="103" t="s">
        <v>127</v>
      </c>
      <c r="K75" s="372">
        <v>23740.301385260347</v>
      </c>
      <c r="L75" s="373">
        <v>46934.805420000004</v>
      </c>
      <c r="M75" s="353">
        <f t="shared" si="12"/>
        <v>3161.4007762149072</v>
      </c>
      <c r="N75" s="353">
        <f t="shared" ref="N75:N109" si="14">SUM(C75:J75,M75)</f>
        <v>55405.919756214898</v>
      </c>
      <c r="O75" s="1"/>
    </row>
    <row r="76" spans="1:15" ht="14.5" x14ac:dyDescent="0.35">
      <c r="A76" s="97">
        <v>67</v>
      </c>
      <c r="B76" s="97">
        <v>2085</v>
      </c>
      <c r="C76" s="353">
        <f>0</f>
        <v>0</v>
      </c>
      <c r="D76" s="353">
        <f t="shared" si="6"/>
        <v>11491.199999999999</v>
      </c>
      <c r="E76" s="353">
        <f t="shared" si="7"/>
        <v>3363.732</v>
      </c>
      <c r="F76" s="353">
        <f t="shared" si="8"/>
        <v>15143.525999999998</v>
      </c>
      <c r="G76" s="353">
        <f t="shared" si="10"/>
        <v>9576</v>
      </c>
      <c r="H76" s="353">
        <f t="shared" ref="H76:H95" si="15">E$76*$N$7</f>
        <v>50.455979999999997</v>
      </c>
      <c r="I76" s="353">
        <f t="shared" si="11"/>
        <v>12619.605</v>
      </c>
      <c r="J76" s="103" t="s">
        <v>127</v>
      </c>
      <c r="K76" s="372">
        <v>23740.301385260347</v>
      </c>
      <c r="L76" s="373">
        <v>46934.805420000004</v>
      </c>
      <c r="M76" s="353">
        <f t="shared" si="12"/>
        <v>3161.4007762149072</v>
      </c>
      <c r="N76" s="353">
        <f t="shared" si="14"/>
        <v>55405.919756214898</v>
      </c>
      <c r="O76" s="1"/>
    </row>
    <row r="77" spans="1:15" ht="14.5" x14ac:dyDescent="0.35">
      <c r="A77" s="97">
        <v>68</v>
      </c>
      <c r="B77" s="97">
        <v>2086</v>
      </c>
      <c r="C77" s="353">
        <f>0</f>
        <v>0</v>
      </c>
      <c r="D77" s="353">
        <f t="shared" si="6"/>
        <v>11491.199999999999</v>
      </c>
      <c r="E77" s="353">
        <f t="shared" si="7"/>
        <v>3363.732</v>
      </c>
      <c r="F77" s="353">
        <f t="shared" si="8"/>
        <v>15143.525999999998</v>
      </c>
      <c r="G77" s="353">
        <f t="shared" si="10"/>
        <v>9576</v>
      </c>
      <c r="H77" s="353">
        <f t="shared" si="15"/>
        <v>50.455979999999997</v>
      </c>
      <c r="I77" s="353">
        <f t="shared" si="11"/>
        <v>12619.605</v>
      </c>
      <c r="J77" s="103" t="s">
        <v>127</v>
      </c>
      <c r="K77" s="372">
        <v>23740.301385260347</v>
      </c>
      <c r="L77" s="373">
        <v>46934.805420000004</v>
      </c>
      <c r="M77" s="353">
        <f t="shared" si="12"/>
        <v>3161.4007762149072</v>
      </c>
      <c r="N77" s="353">
        <f t="shared" si="14"/>
        <v>55405.919756214898</v>
      </c>
      <c r="O77" s="1"/>
    </row>
    <row r="78" spans="1:15" ht="14.5" x14ac:dyDescent="0.35">
      <c r="A78" s="97">
        <v>69</v>
      </c>
      <c r="B78" s="97">
        <v>2087</v>
      </c>
      <c r="C78" s="353">
        <f>0</f>
        <v>0</v>
      </c>
      <c r="D78" s="353">
        <f t="shared" si="6"/>
        <v>11491.199999999999</v>
      </c>
      <c r="E78" s="353">
        <f t="shared" si="7"/>
        <v>3363.732</v>
      </c>
      <c r="F78" s="353">
        <f t="shared" si="8"/>
        <v>15143.525999999998</v>
      </c>
      <c r="G78" s="353">
        <f t="shared" si="10"/>
        <v>9576</v>
      </c>
      <c r="H78" s="353">
        <f t="shared" si="15"/>
        <v>50.455979999999997</v>
      </c>
      <c r="I78" s="353">
        <f t="shared" si="11"/>
        <v>12619.605</v>
      </c>
      <c r="J78" s="103" t="s">
        <v>127</v>
      </c>
      <c r="K78" s="372">
        <v>23740.301385260347</v>
      </c>
      <c r="L78" s="373">
        <v>46934.805420000004</v>
      </c>
      <c r="M78" s="353">
        <f t="shared" si="12"/>
        <v>3161.4007762149072</v>
      </c>
      <c r="N78" s="353">
        <f t="shared" si="14"/>
        <v>55405.919756214898</v>
      </c>
      <c r="O78" s="1"/>
    </row>
    <row r="79" spans="1:15" ht="14.5" x14ac:dyDescent="0.35">
      <c r="A79" s="97">
        <v>70</v>
      </c>
      <c r="B79" s="97">
        <v>2088</v>
      </c>
      <c r="C79" s="353">
        <f>0</f>
        <v>0</v>
      </c>
      <c r="D79" s="353">
        <f t="shared" si="6"/>
        <v>11491.199999999999</v>
      </c>
      <c r="E79" s="353">
        <f t="shared" si="7"/>
        <v>3363.732</v>
      </c>
      <c r="F79" s="353">
        <f t="shared" si="8"/>
        <v>15143.525999999998</v>
      </c>
      <c r="G79" s="353">
        <f t="shared" si="10"/>
        <v>9576</v>
      </c>
      <c r="H79" s="353">
        <f t="shared" si="15"/>
        <v>50.455979999999997</v>
      </c>
      <c r="I79" s="353">
        <f t="shared" si="11"/>
        <v>12619.605</v>
      </c>
      <c r="J79" s="103" t="s">
        <v>127</v>
      </c>
      <c r="K79" s="372">
        <v>23740.301385260347</v>
      </c>
      <c r="L79" s="373">
        <v>46934.805420000004</v>
      </c>
      <c r="M79" s="353">
        <f t="shared" si="12"/>
        <v>3161.4007762149072</v>
      </c>
      <c r="N79" s="353">
        <f t="shared" si="14"/>
        <v>55405.919756214898</v>
      </c>
      <c r="O79" s="1"/>
    </row>
    <row r="80" spans="1:15" ht="14.5" x14ac:dyDescent="0.35">
      <c r="A80" s="97">
        <v>71</v>
      </c>
      <c r="B80" s="97">
        <v>2089</v>
      </c>
      <c r="C80" s="353">
        <f>0</f>
        <v>0</v>
      </c>
      <c r="D80" s="353">
        <f t="shared" si="6"/>
        <v>11491.199999999999</v>
      </c>
      <c r="E80" s="353">
        <f t="shared" si="7"/>
        <v>3363.732</v>
      </c>
      <c r="F80" s="353">
        <f t="shared" si="8"/>
        <v>15143.525999999998</v>
      </c>
      <c r="G80" s="353">
        <f t="shared" ref="G80:G109" si="16">$N$3*$N$7</f>
        <v>9576</v>
      </c>
      <c r="H80" s="353">
        <f t="shared" si="15"/>
        <v>50.455979999999997</v>
      </c>
      <c r="I80" s="353">
        <f t="shared" ref="I80:I109" si="17">$N$5*$N$7</f>
        <v>12619.605</v>
      </c>
      <c r="J80" s="103" t="s">
        <v>127</v>
      </c>
      <c r="K80" s="372">
        <v>23740.301385260347</v>
      </c>
      <c r="L80" s="373">
        <v>46934.805420000004</v>
      </c>
      <c r="M80" s="353">
        <f t="shared" ref="M80:M109" si="18">(K80+L80)*$N$8</f>
        <v>3161.4007762149072</v>
      </c>
      <c r="N80" s="353">
        <f t="shared" si="14"/>
        <v>55405.919756214898</v>
      </c>
      <c r="O80" s="1"/>
    </row>
    <row r="81" spans="1:15" ht="14.5" x14ac:dyDescent="0.35">
      <c r="A81" s="97">
        <v>72</v>
      </c>
      <c r="B81" s="97">
        <v>2090</v>
      </c>
      <c r="C81" s="353">
        <f>0</f>
        <v>0</v>
      </c>
      <c r="D81" s="353">
        <f t="shared" ref="D81:D109" si="19">$N$3*$N$6</f>
        <v>11491.199999999999</v>
      </c>
      <c r="E81" s="353">
        <f t="shared" ref="E81:E109" si="20">$N$4*$N$6</f>
        <v>3363.732</v>
      </c>
      <c r="F81" s="353">
        <f t="shared" ref="F81:F109" si="21">$N$5*$N$6</f>
        <v>15143.525999999998</v>
      </c>
      <c r="G81" s="353">
        <f t="shared" si="16"/>
        <v>9576</v>
      </c>
      <c r="H81" s="353">
        <f t="shared" si="15"/>
        <v>50.455979999999997</v>
      </c>
      <c r="I81" s="353">
        <f t="shared" si="17"/>
        <v>12619.605</v>
      </c>
      <c r="J81" s="103" t="s">
        <v>127</v>
      </c>
      <c r="K81" s="372">
        <v>23740.301385260347</v>
      </c>
      <c r="L81" s="373">
        <v>46934.805420000004</v>
      </c>
      <c r="M81" s="353">
        <f t="shared" si="18"/>
        <v>3161.4007762149072</v>
      </c>
      <c r="N81" s="353">
        <f t="shared" si="14"/>
        <v>55405.919756214898</v>
      </c>
      <c r="O81" s="1"/>
    </row>
    <row r="82" spans="1:15" ht="14.5" x14ac:dyDescent="0.35">
      <c r="A82" s="97">
        <v>73</v>
      </c>
      <c r="B82" s="97">
        <v>2091</v>
      </c>
      <c r="C82" s="353">
        <f>0</f>
        <v>0</v>
      </c>
      <c r="D82" s="353">
        <f t="shared" si="19"/>
        <v>11491.199999999999</v>
      </c>
      <c r="E82" s="353">
        <f t="shared" si="20"/>
        <v>3363.732</v>
      </c>
      <c r="F82" s="353">
        <f t="shared" si="21"/>
        <v>15143.525999999998</v>
      </c>
      <c r="G82" s="353">
        <f t="shared" si="16"/>
        <v>9576</v>
      </c>
      <c r="H82" s="353">
        <f t="shared" si="15"/>
        <v>50.455979999999997</v>
      </c>
      <c r="I82" s="353">
        <f t="shared" si="17"/>
        <v>12619.605</v>
      </c>
      <c r="J82" s="103" t="s">
        <v>127</v>
      </c>
      <c r="K82" s="372">
        <v>23740.301385260347</v>
      </c>
      <c r="L82" s="373">
        <v>46934.805420000004</v>
      </c>
      <c r="M82" s="353">
        <f t="shared" si="18"/>
        <v>3161.4007762149072</v>
      </c>
      <c r="N82" s="353">
        <f t="shared" si="14"/>
        <v>55405.919756214898</v>
      </c>
      <c r="O82" s="1"/>
    </row>
    <row r="83" spans="1:15" ht="14.5" x14ac:dyDescent="0.35">
      <c r="A83" s="97">
        <v>74</v>
      </c>
      <c r="B83" s="97">
        <v>2092</v>
      </c>
      <c r="C83" s="353">
        <f>0</f>
        <v>0</v>
      </c>
      <c r="D83" s="353">
        <f t="shared" si="19"/>
        <v>11491.199999999999</v>
      </c>
      <c r="E83" s="353">
        <f t="shared" si="20"/>
        <v>3363.732</v>
      </c>
      <c r="F83" s="353">
        <f t="shared" si="21"/>
        <v>15143.525999999998</v>
      </c>
      <c r="G83" s="353">
        <f t="shared" si="16"/>
        <v>9576</v>
      </c>
      <c r="H83" s="353">
        <f t="shared" si="15"/>
        <v>50.455979999999997</v>
      </c>
      <c r="I83" s="353">
        <f t="shared" si="17"/>
        <v>12619.605</v>
      </c>
      <c r="J83" s="103" t="s">
        <v>127</v>
      </c>
      <c r="K83" s="372">
        <v>23740.301385260347</v>
      </c>
      <c r="L83" s="373">
        <v>46934.805420000004</v>
      </c>
      <c r="M83" s="353">
        <f t="shared" si="18"/>
        <v>3161.4007762149072</v>
      </c>
      <c r="N83" s="353">
        <f t="shared" si="14"/>
        <v>55405.919756214898</v>
      </c>
      <c r="O83" s="1"/>
    </row>
    <row r="84" spans="1:15" ht="14.5" x14ac:dyDescent="0.35">
      <c r="A84" s="97">
        <v>75</v>
      </c>
      <c r="B84" s="97">
        <v>2093</v>
      </c>
      <c r="C84" s="353">
        <f>0</f>
        <v>0</v>
      </c>
      <c r="D84" s="353">
        <f t="shared" si="19"/>
        <v>11491.199999999999</v>
      </c>
      <c r="E84" s="353">
        <f t="shared" si="20"/>
        <v>3363.732</v>
      </c>
      <c r="F84" s="353">
        <f t="shared" si="21"/>
        <v>15143.525999999998</v>
      </c>
      <c r="G84" s="353">
        <f t="shared" si="16"/>
        <v>9576</v>
      </c>
      <c r="H84" s="353">
        <f t="shared" si="15"/>
        <v>50.455979999999997</v>
      </c>
      <c r="I84" s="353">
        <f t="shared" si="17"/>
        <v>12619.605</v>
      </c>
      <c r="J84" s="103" t="s">
        <v>127</v>
      </c>
      <c r="K84" s="372">
        <v>23740.301385260347</v>
      </c>
      <c r="L84" s="373">
        <v>46934.805420000004</v>
      </c>
      <c r="M84" s="353">
        <f t="shared" si="18"/>
        <v>3161.4007762149072</v>
      </c>
      <c r="N84" s="353">
        <f t="shared" si="14"/>
        <v>55405.919756214898</v>
      </c>
      <c r="O84" s="1"/>
    </row>
    <row r="85" spans="1:15" ht="14.5" x14ac:dyDescent="0.35">
      <c r="A85" s="97">
        <v>76</v>
      </c>
      <c r="B85" s="97">
        <v>2094</v>
      </c>
      <c r="C85" s="353">
        <f>0</f>
        <v>0</v>
      </c>
      <c r="D85" s="353">
        <f t="shared" si="19"/>
        <v>11491.199999999999</v>
      </c>
      <c r="E85" s="353">
        <f t="shared" si="20"/>
        <v>3363.732</v>
      </c>
      <c r="F85" s="353">
        <f t="shared" si="21"/>
        <v>15143.525999999998</v>
      </c>
      <c r="G85" s="353">
        <f t="shared" si="16"/>
        <v>9576</v>
      </c>
      <c r="H85" s="353">
        <f t="shared" si="15"/>
        <v>50.455979999999997</v>
      </c>
      <c r="I85" s="353">
        <f t="shared" si="17"/>
        <v>12619.605</v>
      </c>
      <c r="J85" s="103" t="s">
        <v>127</v>
      </c>
      <c r="K85" s="372">
        <v>23740.301385260347</v>
      </c>
      <c r="L85" s="373">
        <v>46934.805420000004</v>
      </c>
      <c r="M85" s="353">
        <f t="shared" si="18"/>
        <v>3161.4007762149072</v>
      </c>
      <c r="N85" s="353">
        <f t="shared" si="14"/>
        <v>55405.919756214898</v>
      </c>
      <c r="O85" s="1"/>
    </row>
    <row r="86" spans="1:15" ht="14.5" x14ac:dyDescent="0.35">
      <c r="A86" s="97">
        <v>77</v>
      </c>
      <c r="B86" s="97">
        <v>2095</v>
      </c>
      <c r="C86" s="353">
        <f>0</f>
        <v>0</v>
      </c>
      <c r="D86" s="353">
        <f t="shared" si="19"/>
        <v>11491.199999999999</v>
      </c>
      <c r="E86" s="353">
        <f t="shared" si="20"/>
        <v>3363.732</v>
      </c>
      <c r="F86" s="353">
        <f t="shared" si="21"/>
        <v>15143.525999999998</v>
      </c>
      <c r="G86" s="353">
        <f t="shared" si="16"/>
        <v>9576</v>
      </c>
      <c r="H86" s="353">
        <f t="shared" si="15"/>
        <v>50.455979999999997</v>
      </c>
      <c r="I86" s="353">
        <f t="shared" si="17"/>
        <v>12619.605</v>
      </c>
      <c r="J86" s="103" t="s">
        <v>127</v>
      </c>
      <c r="K86" s="372">
        <v>23740.301385260347</v>
      </c>
      <c r="L86" s="373">
        <v>46934.805420000004</v>
      </c>
      <c r="M86" s="353">
        <f t="shared" si="18"/>
        <v>3161.4007762149072</v>
      </c>
      <c r="N86" s="353">
        <f t="shared" si="14"/>
        <v>55405.919756214898</v>
      </c>
      <c r="O86" s="1"/>
    </row>
    <row r="87" spans="1:15" ht="14.5" x14ac:dyDescent="0.35">
      <c r="A87" s="97">
        <v>78</v>
      </c>
      <c r="B87" s="97">
        <v>2096</v>
      </c>
      <c r="C87" s="353">
        <f>0</f>
        <v>0</v>
      </c>
      <c r="D87" s="353">
        <f t="shared" si="19"/>
        <v>11491.199999999999</v>
      </c>
      <c r="E87" s="353">
        <f t="shared" si="20"/>
        <v>3363.732</v>
      </c>
      <c r="F87" s="353">
        <f t="shared" si="21"/>
        <v>15143.525999999998</v>
      </c>
      <c r="G87" s="353">
        <f t="shared" si="16"/>
        <v>9576</v>
      </c>
      <c r="H87" s="353">
        <f t="shared" si="15"/>
        <v>50.455979999999997</v>
      </c>
      <c r="I87" s="353">
        <f t="shared" si="17"/>
        <v>12619.605</v>
      </c>
      <c r="J87" s="103" t="s">
        <v>127</v>
      </c>
      <c r="K87" s="372">
        <v>23740.301385260347</v>
      </c>
      <c r="L87" s="373">
        <v>46934.805420000004</v>
      </c>
      <c r="M87" s="353">
        <f t="shared" si="18"/>
        <v>3161.4007762149072</v>
      </c>
      <c r="N87" s="353">
        <f t="shared" si="14"/>
        <v>55405.919756214898</v>
      </c>
      <c r="O87" s="1"/>
    </row>
    <row r="88" spans="1:15" ht="14.5" x14ac:dyDescent="0.35">
      <c r="A88" s="97">
        <v>79</v>
      </c>
      <c r="B88" s="97">
        <v>2097</v>
      </c>
      <c r="C88" s="353">
        <f>0</f>
        <v>0</v>
      </c>
      <c r="D88" s="353">
        <f t="shared" si="19"/>
        <v>11491.199999999999</v>
      </c>
      <c r="E88" s="353">
        <f t="shared" si="20"/>
        <v>3363.732</v>
      </c>
      <c r="F88" s="353">
        <f t="shared" si="21"/>
        <v>15143.525999999998</v>
      </c>
      <c r="G88" s="353">
        <f t="shared" si="16"/>
        <v>9576</v>
      </c>
      <c r="H88" s="353">
        <f t="shared" si="15"/>
        <v>50.455979999999997</v>
      </c>
      <c r="I88" s="353">
        <f t="shared" si="17"/>
        <v>12619.605</v>
      </c>
      <c r="J88" s="103" t="s">
        <v>127</v>
      </c>
      <c r="K88" s="372">
        <v>23740.301385260347</v>
      </c>
      <c r="L88" s="373">
        <v>46934.805420000004</v>
      </c>
      <c r="M88" s="353">
        <f t="shared" si="18"/>
        <v>3161.4007762149072</v>
      </c>
      <c r="N88" s="353">
        <f t="shared" si="14"/>
        <v>55405.919756214898</v>
      </c>
      <c r="O88" s="1"/>
    </row>
    <row r="89" spans="1:15" ht="14.5" x14ac:dyDescent="0.35">
      <c r="A89" s="97">
        <v>80</v>
      </c>
      <c r="B89" s="97">
        <v>2098</v>
      </c>
      <c r="C89" s="353">
        <f>0</f>
        <v>0</v>
      </c>
      <c r="D89" s="353">
        <f t="shared" si="19"/>
        <v>11491.199999999999</v>
      </c>
      <c r="E89" s="353">
        <f t="shared" si="20"/>
        <v>3363.732</v>
      </c>
      <c r="F89" s="353">
        <f t="shared" si="21"/>
        <v>15143.525999999998</v>
      </c>
      <c r="G89" s="353">
        <f t="shared" si="16"/>
        <v>9576</v>
      </c>
      <c r="H89" s="353">
        <f t="shared" si="15"/>
        <v>50.455979999999997</v>
      </c>
      <c r="I89" s="353">
        <f t="shared" si="17"/>
        <v>12619.605</v>
      </c>
      <c r="J89" s="103" t="s">
        <v>127</v>
      </c>
      <c r="K89" s="372">
        <v>23740.301385260347</v>
      </c>
      <c r="L89" s="373">
        <v>46934.805420000004</v>
      </c>
      <c r="M89" s="353">
        <f t="shared" si="18"/>
        <v>3161.4007762149072</v>
      </c>
      <c r="N89" s="353">
        <f t="shared" si="14"/>
        <v>55405.919756214898</v>
      </c>
      <c r="O89" s="1"/>
    </row>
    <row r="90" spans="1:15" ht="14.5" x14ac:dyDescent="0.35">
      <c r="A90" s="97">
        <v>81</v>
      </c>
      <c r="B90" s="97">
        <v>2099</v>
      </c>
      <c r="C90" s="353">
        <f>0</f>
        <v>0</v>
      </c>
      <c r="D90" s="353">
        <f t="shared" si="19"/>
        <v>11491.199999999999</v>
      </c>
      <c r="E90" s="353">
        <f t="shared" si="20"/>
        <v>3363.732</v>
      </c>
      <c r="F90" s="353">
        <f t="shared" si="21"/>
        <v>15143.525999999998</v>
      </c>
      <c r="G90" s="353">
        <f t="shared" si="16"/>
        <v>9576</v>
      </c>
      <c r="H90" s="353">
        <f t="shared" si="15"/>
        <v>50.455979999999997</v>
      </c>
      <c r="I90" s="353">
        <f t="shared" si="17"/>
        <v>12619.605</v>
      </c>
      <c r="J90" s="103" t="s">
        <v>127</v>
      </c>
      <c r="K90" s="372">
        <v>23740.301385260347</v>
      </c>
      <c r="L90" s="373">
        <v>46934.805420000004</v>
      </c>
      <c r="M90" s="353">
        <f t="shared" si="18"/>
        <v>3161.4007762149072</v>
      </c>
      <c r="N90" s="353">
        <f t="shared" si="14"/>
        <v>55405.919756214898</v>
      </c>
      <c r="O90" s="1"/>
    </row>
    <row r="91" spans="1:15" ht="14.5" x14ac:dyDescent="0.35">
      <c r="A91" s="97">
        <v>82</v>
      </c>
      <c r="B91" s="97">
        <v>2100</v>
      </c>
      <c r="C91" s="353">
        <f>0</f>
        <v>0</v>
      </c>
      <c r="D91" s="353">
        <f t="shared" si="19"/>
        <v>11491.199999999999</v>
      </c>
      <c r="E91" s="353">
        <f t="shared" si="20"/>
        <v>3363.732</v>
      </c>
      <c r="F91" s="353">
        <f t="shared" si="21"/>
        <v>15143.525999999998</v>
      </c>
      <c r="G91" s="353">
        <f t="shared" si="16"/>
        <v>9576</v>
      </c>
      <c r="H91" s="353">
        <f t="shared" si="15"/>
        <v>50.455979999999997</v>
      </c>
      <c r="I91" s="353">
        <f t="shared" si="17"/>
        <v>12619.605</v>
      </c>
      <c r="J91" s="103" t="s">
        <v>127</v>
      </c>
      <c r="K91" s="372">
        <v>23740.301385260347</v>
      </c>
      <c r="L91" s="373">
        <v>46934.805420000004</v>
      </c>
      <c r="M91" s="353">
        <f t="shared" si="18"/>
        <v>3161.4007762149072</v>
      </c>
      <c r="N91" s="353">
        <f t="shared" si="14"/>
        <v>55405.919756214898</v>
      </c>
      <c r="O91" s="1"/>
    </row>
    <row r="92" spans="1:15" ht="14.5" x14ac:dyDescent="0.35">
      <c r="A92" s="97">
        <v>83</v>
      </c>
      <c r="B92" s="97">
        <v>2101</v>
      </c>
      <c r="C92" s="353">
        <f>0</f>
        <v>0</v>
      </c>
      <c r="D92" s="353">
        <f t="shared" si="19"/>
        <v>11491.199999999999</v>
      </c>
      <c r="E92" s="353">
        <f t="shared" si="20"/>
        <v>3363.732</v>
      </c>
      <c r="F92" s="353">
        <f t="shared" si="21"/>
        <v>15143.525999999998</v>
      </c>
      <c r="G92" s="353">
        <f t="shared" si="16"/>
        <v>9576</v>
      </c>
      <c r="H92" s="353">
        <f t="shared" si="15"/>
        <v>50.455979999999997</v>
      </c>
      <c r="I92" s="353">
        <f t="shared" si="17"/>
        <v>12619.605</v>
      </c>
      <c r="J92" s="103" t="s">
        <v>127</v>
      </c>
      <c r="K92" s="372">
        <v>23740.301385260347</v>
      </c>
      <c r="L92" s="373">
        <v>46934.805420000004</v>
      </c>
      <c r="M92" s="353">
        <f t="shared" si="18"/>
        <v>3161.4007762149072</v>
      </c>
      <c r="N92" s="353">
        <f t="shared" si="14"/>
        <v>55405.919756214898</v>
      </c>
      <c r="O92" s="1"/>
    </row>
    <row r="93" spans="1:15" ht="14.5" x14ac:dyDescent="0.35">
      <c r="A93" s="97">
        <v>84</v>
      </c>
      <c r="B93" s="97">
        <v>2102</v>
      </c>
      <c r="C93" s="353">
        <f>0</f>
        <v>0</v>
      </c>
      <c r="D93" s="353">
        <f t="shared" si="19"/>
        <v>11491.199999999999</v>
      </c>
      <c r="E93" s="353">
        <f t="shared" si="20"/>
        <v>3363.732</v>
      </c>
      <c r="F93" s="353">
        <f t="shared" si="21"/>
        <v>15143.525999999998</v>
      </c>
      <c r="G93" s="353">
        <f t="shared" si="16"/>
        <v>9576</v>
      </c>
      <c r="H93" s="353">
        <f t="shared" si="15"/>
        <v>50.455979999999997</v>
      </c>
      <c r="I93" s="353">
        <f t="shared" si="17"/>
        <v>12619.605</v>
      </c>
      <c r="J93" s="103" t="s">
        <v>127</v>
      </c>
      <c r="K93" s="372">
        <v>23740.301385260347</v>
      </c>
      <c r="L93" s="373">
        <v>46934.805420000004</v>
      </c>
      <c r="M93" s="353">
        <f t="shared" si="18"/>
        <v>3161.4007762149072</v>
      </c>
      <c r="N93" s="353">
        <f t="shared" si="14"/>
        <v>55405.919756214898</v>
      </c>
      <c r="O93" s="1"/>
    </row>
    <row r="94" spans="1:15" ht="14.5" x14ac:dyDescent="0.35">
      <c r="A94" s="97">
        <v>85</v>
      </c>
      <c r="B94" s="97">
        <v>2103</v>
      </c>
      <c r="C94" s="353">
        <f>0</f>
        <v>0</v>
      </c>
      <c r="D94" s="353">
        <f t="shared" si="19"/>
        <v>11491.199999999999</v>
      </c>
      <c r="E94" s="353">
        <f t="shared" si="20"/>
        <v>3363.732</v>
      </c>
      <c r="F94" s="353">
        <f t="shared" si="21"/>
        <v>15143.525999999998</v>
      </c>
      <c r="G94" s="353">
        <f t="shared" si="16"/>
        <v>9576</v>
      </c>
      <c r="H94" s="353">
        <f t="shared" si="15"/>
        <v>50.455979999999997</v>
      </c>
      <c r="I94" s="353">
        <f t="shared" si="17"/>
        <v>12619.605</v>
      </c>
      <c r="J94" s="103" t="s">
        <v>127</v>
      </c>
      <c r="K94" s="372">
        <v>23740.301385260347</v>
      </c>
      <c r="L94" s="373">
        <v>46934.805420000004</v>
      </c>
      <c r="M94" s="353">
        <f t="shared" si="18"/>
        <v>3161.4007762149072</v>
      </c>
      <c r="N94" s="353">
        <f t="shared" si="14"/>
        <v>55405.919756214898</v>
      </c>
      <c r="O94" s="1"/>
    </row>
    <row r="95" spans="1:15" ht="14.5" x14ac:dyDescent="0.35">
      <c r="A95" s="97">
        <v>86</v>
      </c>
      <c r="B95" s="97">
        <v>2104</v>
      </c>
      <c r="C95" s="353">
        <f>0</f>
        <v>0</v>
      </c>
      <c r="D95" s="353">
        <f t="shared" si="19"/>
        <v>11491.199999999999</v>
      </c>
      <c r="E95" s="353">
        <f t="shared" si="20"/>
        <v>3363.732</v>
      </c>
      <c r="F95" s="353">
        <f t="shared" si="21"/>
        <v>15143.525999999998</v>
      </c>
      <c r="G95" s="353">
        <f t="shared" si="16"/>
        <v>9576</v>
      </c>
      <c r="H95" s="353">
        <f t="shared" si="15"/>
        <v>50.455979999999997</v>
      </c>
      <c r="I95" s="353">
        <f t="shared" si="17"/>
        <v>12619.605</v>
      </c>
      <c r="J95" s="103" t="s">
        <v>127</v>
      </c>
      <c r="K95" s="372">
        <v>23740.301385260347</v>
      </c>
      <c r="L95" s="373">
        <v>46934.805420000004</v>
      </c>
      <c r="M95" s="353">
        <f t="shared" si="18"/>
        <v>3161.4007762149072</v>
      </c>
      <c r="N95" s="353">
        <f t="shared" si="14"/>
        <v>55405.919756214898</v>
      </c>
      <c r="O95" s="1"/>
    </row>
    <row r="96" spans="1:15" ht="14.5" x14ac:dyDescent="0.35">
      <c r="A96" s="97">
        <v>87</v>
      </c>
      <c r="B96" s="97">
        <v>2105</v>
      </c>
      <c r="C96" s="353">
        <f>0</f>
        <v>0</v>
      </c>
      <c r="D96" s="353">
        <f t="shared" si="19"/>
        <v>11491.199999999999</v>
      </c>
      <c r="E96" s="353">
        <f t="shared" si="20"/>
        <v>3363.732</v>
      </c>
      <c r="F96" s="353">
        <f t="shared" si="21"/>
        <v>15143.525999999998</v>
      </c>
      <c r="G96" s="353">
        <f t="shared" si="16"/>
        <v>9576</v>
      </c>
      <c r="H96" s="353">
        <f t="shared" ref="H96:H109" si="22">E$96*$N$7</f>
        <v>50.455979999999997</v>
      </c>
      <c r="I96" s="353">
        <f t="shared" si="17"/>
        <v>12619.605</v>
      </c>
      <c r="J96" s="103" t="s">
        <v>127</v>
      </c>
      <c r="K96" s="372">
        <v>23740.301385260347</v>
      </c>
      <c r="L96" s="373">
        <v>46934.805420000004</v>
      </c>
      <c r="M96" s="353">
        <f t="shared" si="18"/>
        <v>3161.4007762149072</v>
      </c>
      <c r="N96" s="353">
        <f t="shared" si="14"/>
        <v>55405.919756214898</v>
      </c>
      <c r="O96" s="1"/>
    </row>
    <row r="97" spans="1:15" ht="14.5" x14ac:dyDescent="0.35">
      <c r="A97" s="97">
        <v>88</v>
      </c>
      <c r="B97" s="97">
        <v>2106</v>
      </c>
      <c r="C97" s="353">
        <f>0</f>
        <v>0</v>
      </c>
      <c r="D97" s="353">
        <f t="shared" si="19"/>
        <v>11491.199999999999</v>
      </c>
      <c r="E97" s="353">
        <f t="shared" si="20"/>
        <v>3363.732</v>
      </c>
      <c r="F97" s="353">
        <f t="shared" si="21"/>
        <v>15143.525999999998</v>
      </c>
      <c r="G97" s="353">
        <f t="shared" si="16"/>
        <v>9576</v>
      </c>
      <c r="H97" s="353">
        <f t="shared" si="22"/>
        <v>50.455979999999997</v>
      </c>
      <c r="I97" s="353">
        <f t="shared" si="17"/>
        <v>12619.605</v>
      </c>
      <c r="J97" s="103" t="s">
        <v>127</v>
      </c>
      <c r="K97" s="372">
        <v>23740.301385260347</v>
      </c>
      <c r="L97" s="373">
        <v>46934.805420000004</v>
      </c>
      <c r="M97" s="353">
        <f t="shared" si="18"/>
        <v>3161.4007762149072</v>
      </c>
      <c r="N97" s="353">
        <f t="shared" si="14"/>
        <v>55405.919756214898</v>
      </c>
      <c r="O97" s="1"/>
    </row>
    <row r="98" spans="1:15" ht="14.5" x14ac:dyDescent="0.35">
      <c r="A98" s="97">
        <v>89</v>
      </c>
      <c r="B98" s="97">
        <v>2107</v>
      </c>
      <c r="C98" s="353">
        <f>0</f>
        <v>0</v>
      </c>
      <c r="D98" s="353">
        <f t="shared" si="19"/>
        <v>11491.199999999999</v>
      </c>
      <c r="E98" s="353">
        <f t="shared" si="20"/>
        <v>3363.732</v>
      </c>
      <c r="F98" s="353">
        <f t="shared" si="21"/>
        <v>15143.525999999998</v>
      </c>
      <c r="G98" s="353">
        <f t="shared" si="16"/>
        <v>9576</v>
      </c>
      <c r="H98" s="353">
        <f t="shared" si="22"/>
        <v>50.455979999999997</v>
      </c>
      <c r="I98" s="353">
        <f t="shared" si="17"/>
        <v>12619.605</v>
      </c>
      <c r="J98" s="103" t="s">
        <v>127</v>
      </c>
      <c r="K98" s="372">
        <v>23740.301385260347</v>
      </c>
      <c r="L98" s="373">
        <v>46934.805420000004</v>
      </c>
      <c r="M98" s="353">
        <f t="shared" si="18"/>
        <v>3161.4007762149072</v>
      </c>
      <c r="N98" s="353">
        <f t="shared" si="14"/>
        <v>55405.919756214898</v>
      </c>
      <c r="O98" s="1"/>
    </row>
    <row r="99" spans="1:15" ht="14.5" x14ac:dyDescent="0.35">
      <c r="A99" s="97">
        <v>90</v>
      </c>
      <c r="B99" s="97">
        <v>2108</v>
      </c>
      <c r="C99" s="353">
        <f>0</f>
        <v>0</v>
      </c>
      <c r="D99" s="353">
        <f t="shared" si="19"/>
        <v>11491.199999999999</v>
      </c>
      <c r="E99" s="353">
        <f t="shared" si="20"/>
        <v>3363.732</v>
      </c>
      <c r="F99" s="353">
        <f t="shared" si="21"/>
        <v>15143.525999999998</v>
      </c>
      <c r="G99" s="353">
        <f t="shared" si="16"/>
        <v>9576</v>
      </c>
      <c r="H99" s="353">
        <f t="shared" si="22"/>
        <v>50.455979999999997</v>
      </c>
      <c r="I99" s="353">
        <f t="shared" si="17"/>
        <v>12619.605</v>
      </c>
      <c r="J99" s="103" t="s">
        <v>127</v>
      </c>
      <c r="K99" s="372">
        <v>23740.301385260347</v>
      </c>
      <c r="L99" s="373">
        <v>46934.805420000004</v>
      </c>
      <c r="M99" s="353">
        <f t="shared" si="18"/>
        <v>3161.4007762149072</v>
      </c>
      <c r="N99" s="353">
        <f t="shared" si="14"/>
        <v>55405.919756214898</v>
      </c>
      <c r="O99" s="1"/>
    </row>
    <row r="100" spans="1:15" ht="14.5" x14ac:dyDescent="0.35">
      <c r="A100" s="97">
        <v>91</v>
      </c>
      <c r="B100" s="97">
        <v>2109</v>
      </c>
      <c r="C100" s="353">
        <f>0</f>
        <v>0</v>
      </c>
      <c r="D100" s="353">
        <f t="shared" si="19"/>
        <v>11491.199999999999</v>
      </c>
      <c r="E100" s="353">
        <f t="shared" si="20"/>
        <v>3363.732</v>
      </c>
      <c r="F100" s="353">
        <f t="shared" si="21"/>
        <v>15143.525999999998</v>
      </c>
      <c r="G100" s="353">
        <f t="shared" si="16"/>
        <v>9576</v>
      </c>
      <c r="H100" s="353">
        <f t="shared" si="22"/>
        <v>50.455979999999997</v>
      </c>
      <c r="I100" s="353">
        <f t="shared" si="17"/>
        <v>12619.605</v>
      </c>
      <c r="J100" s="103" t="s">
        <v>127</v>
      </c>
      <c r="K100" s="372">
        <v>23740.301385260347</v>
      </c>
      <c r="L100" s="373">
        <v>46934.805420000004</v>
      </c>
      <c r="M100" s="353">
        <f t="shared" si="18"/>
        <v>3161.4007762149072</v>
      </c>
      <c r="N100" s="353">
        <f t="shared" si="14"/>
        <v>55405.919756214898</v>
      </c>
      <c r="O100" s="1"/>
    </row>
    <row r="101" spans="1:15" ht="14.5" x14ac:dyDescent="0.35">
      <c r="A101" s="97">
        <v>92</v>
      </c>
      <c r="B101" s="97">
        <v>2110</v>
      </c>
      <c r="C101" s="353">
        <f>0</f>
        <v>0</v>
      </c>
      <c r="D101" s="353">
        <f t="shared" si="19"/>
        <v>11491.199999999999</v>
      </c>
      <c r="E101" s="353">
        <f t="shared" si="20"/>
        <v>3363.732</v>
      </c>
      <c r="F101" s="353">
        <f t="shared" si="21"/>
        <v>15143.525999999998</v>
      </c>
      <c r="G101" s="353">
        <f t="shared" si="16"/>
        <v>9576</v>
      </c>
      <c r="H101" s="353">
        <f t="shared" si="22"/>
        <v>50.455979999999997</v>
      </c>
      <c r="I101" s="353">
        <f t="shared" si="17"/>
        <v>12619.605</v>
      </c>
      <c r="J101" s="103" t="s">
        <v>127</v>
      </c>
      <c r="K101" s="372">
        <v>23740.301385260347</v>
      </c>
      <c r="L101" s="373">
        <v>46934.805420000004</v>
      </c>
      <c r="M101" s="353">
        <f t="shared" si="18"/>
        <v>3161.4007762149072</v>
      </c>
      <c r="N101" s="353">
        <f t="shared" si="14"/>
        <v>55405.919756214898</v>
      </c>
      <c r="O101" s="1"/>
    </row>
    <row r="102" spans="1:15" ht="14.5" x14ac:dyDescent="0.35">
      <c r="A102" s="97">
        <v>93</v>
      </c>
      <c r="B102" s="97">
        <v>2111</v>
      </c>
      <c r="C102" s="353">
        <f>0</f>
        <v>0</v>
      </c>
      <c r="D102" s="353">
        <f t="shared" si="19"/>
        <v>11491.199999999999</v>
      </c>
      <c r="E102" s="353">
        <f t="shared" si="20"/>
        <v>3363.732</v>
      </c>
      <c r="F102" s="353">
        <f t="shared" si="21"/>
        <v>15143.525999999998</v>
      </c>
      <c r="G102" s="353">
        <f t="shared" si="16"/>
        <v>9576</v>
      </c>
      <c r="H102" s="353">
        <f t="shared" si="22"/>
        <v>50.455979999999997</v>
      </c>
      <c r="I102" s="353">
        <f t="shared" si="17"/>
        <v>12619.605</v>
      </c>
      <c r="J102" s="103" t="s">
        <v>127</v>
      </c>
      <c r="K102" s="372">
        <v>23740.301385260347</v>
      </c>
      <c r="L102" s="373">
        <v>46934.805420000004</v>
      </c>
      <c r="M102" s="353">
        <f t="shared" si="18"/>
        <v>3161.4007762149072</v>
      </c>
      <c r="N102" s="353">
        <f t="shared" si="14"/>
        <v>55405.919756214898</v>
      </c>
      <c r="O102" s="1"/>
    </row>
    <row r="103" spans="1:15" ht="14.5" x14ac:dyDescent="0.35">
      <c r="A103" s="97">
        <v>94</v>
      </c>
      <c r="B103" s="97">
        <v>2112</v>
      </c>
      <c r="C103" s="353">
        <f>0</f>
        <v>0</v>
      </c>
      <c r="D103" s="353">
        <f t="shared" si="19"/>
        <v>11491.199999999999</v>
      </c>
      <c r="E103" s="353">
        <f t="shared" si="20"/>
        <v>3363.732</v>
      </c>
      <c r="F103" s="353">
        <f t="shared" si="21"/>
        <v>15143.525999999998</v>
      </c>
      <c r="G103" s="353">
        <f t="shared" si="16"/>
        <v>9576</v>
      </c>
      <c r="H103" s="353">
        <f t="shared" si="22"/>
        <v>50.455979999999997</v>
      </c>
      <c r="I103" s="353">
        <f t="shared" si="17"/>
        <v>12619.605</v>
      </c>
      <c r="J103" s="103" t="s">
        <v>127</v>
      </c>
      <c r="K103" s="372">
        <v>23740.301385260347</v>
      </c>
      <c r="L103" s="373">
        <v>46934.805420000004</v>
      </c>
      <c r="M103" s="353">
        <f t="shared" si="18"/>
        <v>3161.4007762149072</v>
      </c>
      <c r="N103" s="353">
        <f t="shared" si="14"/>
        <v>55405.919756214898</v>
      </c>
      <c r="O103" s="1"/>
    </row>
    <row r="104" spans="1:15" ht="14.5" x14ac:dyDescent="0.35">
      <c r="A104" s="97">
        <v>95</v>
      </c>
      <c r="B104" s="97">
        <v>2113</v>
      </c>
      <c r="C104" s="353">
        <f>0</f>
        <v>0</v>
      </c>
      <c r="D104" s="353">
        <f t="shared" si="19"/>
        <v>11491.199999999999</v>
      </c>
      <c r="E104" s="353">
        <f t="shared" si="20"/>
        <v>3363.732</v>
      </c>
      <c r="F104" s="353">
        <f t="shared" si="21"/>
        <v>15143.525999999998</v>
      </c>
      <c r="G104" s="353">
        <f t="shared" si="16"/>
        <v>9576</v>
      </c>
      <c r="H104" s="353">
        <f t="shared" si="22"/>
        <v>50.455979999999997</v>
      </c>
      <c r="I104" s="353">
        <f t="shared" si="17"/>
        <v>12619.605</v>
      </c>
      <c r="J104" s="103" t="s">
        <v>127</v>
      </c>
      <c r="K104" s="372">
        <v>23740.301385260347</v>
      </c>
      <c r="L104" s="373">
        <v>46934.805420000004</v>
      </c>
      <c r="M104" s="353">
        <f t="shared" si="18"/>
        <v>3161.4007762149072</v>
      </c>
      <c r="N104" s="353">
        <f t="shared" si="14"/>
        <v>55405.919756214898</v>
      </c>
      <c r="O104" s="1"/>
    </row>
    <row r="105" spans="1:15" ht="14.5" x14ac:dyDescent="0.35">
      <c r="A105" s="97">
        <v>96</v>
      </c>
      <c r="B105" s="97">
        <v>2114</v>
      </c>
      <c r="C105" s="353">
        <f>0</f>
        <v>0</v>
      </c>
      <c r="D105" s="353">
        <f t="shared" si="19"/>
        <v>11491.199999999999</v>
      </c>
      <c r="E105" s="353">
        <f t="shared" si="20"/>
        <v>3363.732</v>
      </c>
      <c r="F105" s="353">
        <f t="shared" si="21"/>
        <v>15143.525999999998</v>
      </c>
      <c r="G105" s="353">
        <f t="shared" si="16"/>
        <v>9576</v>
      </c>
      <c r="H105" s="353">
        <f t="shared" si="22"/>
        <v>50.455979999999997</v>
      </c>
      <c r="I105" s="353">
        <f t="shared" si="17"/>
        <v>12619.605</v>
      </c>
      <c r="J105" s="103" t="s">
        <v>127</v>
      </c>
      <c r="K105" s="372">
        <v>23740.301385260347</v>
      </c>
      <c r="L105" s="373">
        <v>46934.805420000004</v>
      </c>
      <c r="M105" s="353">
        <f t="shared" si="18"/>
        <v>3161.4007762149072</v>
      </c>
      <c r="N105" s="353">
        <f t="shared" si="14"/>
        <v>55405.919756214898</v>
      </c>
      <c r="O105" s="1"/>
    </row>
    <row r="106" spans="1:15" ht="14.5" x14ac:dyDescent="0.35">
      <c r="A106" s="97">
        <v>97</v>
      </c>
      <c r="B106" s="97">
        <v>2115</v>
      </c>
      <c r="C106" s="353">
        <f>0</f>
        <v>0</v>
      </c>
      <c r="D106" s="353">
        <f t="shared" si="19"/>
        <v>11491.199999999999</v>
      </c>
      <c r="E106" s="353">
        <f t="shared" si="20"/>
        <v>3363.732</v>
      </c>
      <c r="F106" s="353">
        <f t="shared" si="21"/>
        <v>15143.525999999998</v>
      </c>
      <c r="G106" s="353">
        <f t="shared" si="16"/>
        <v>9576</v>
      </c>
      <c r="H106" s="353">
        <f t="shared" si="22"/>
        <v>50.455979999999997</v>
      </c>
      <c r="I106" s="353">
        <f t="shared" si="17"/>
        <v>12619.605</v>
      </c>
      <c r="J106" s="103" t="s">
        <v>127</v>
      </c>
      <c r="K106" s="372">
        <v>23740.301385260347</v>
      </c>
      <c r="L106" s="373">
        <v>46934.805420000004</v>
      </c>
      <c r="M106" s="353">
        <f t="shared" si="18"/>
        <v>3161.4007762149072</v>
      </c>
      <c r="N106" s="353">
        <f t="shared" si="14"/>
        <v>55405.919756214898</v>
      </c>
      <c r="O106" s="1"/>
    </row>
    <row r="107" spans="1:15" ht="14.5" x14ac:dyDescent="0.35">
      <c r="A107" s="97">
        <v>98</v>
      </c>
      <c r="B107" s="97">
        <v>2116</v>
      </c>
      <c r="C107" s="353">
        <f>0</f>
        <v>0</v>
      </c>
      <c r="D107" s="353">
        <f t="shared" si="19"/>
        <v>11491.199999999999</v>
      </c>
      <c r="E107" s="353">
        <f t="shared" si="20"/>
        <v>3363.732</v>
      </c>
      <c r="F107" s="353">
        <f t="shared" si="21"/>
        <v>15143.525999999998</v>
      </c>
      <c r="G107" s="353">
        <f t="shared" si="16"/>
        <v>9576</v>
      </c>
      <c r="H107" s="353">
        <f t="shared" si="22"/>
        <v>50.455979999999997</v>
      </c>
      <c r="I107" s="353">
        <f t="shared" si="17"/>
        <v>12619.605</v>
      </c>
      <c r="J107" s="103" t="s">
        <v>127</v>
      </c>
      <c r="K107" s="372">
        <v>23740.301385260347</v>
      </c>
      <c r="L107" s="373">
        <v>46934.805420000004</v>
      </c>
      <c r="M107" s="353">
        <f t="shared" si="18"/>
        <v>3161.4007762149072</v>
      </c>
      <c r="N107" s="353">
        <f t="shared" si="14"/>
        <v>55405.919756214898</v>
      </c>
      <c r="O107" s="1"/>
    </row>
    <row r="108" spans="1:15" ht="14.5" x14ac:dyDescent="0.35">
      <c r="A108" s="97">
        <v>99</v>
      </c>
      <c r="B108" s="97">
        <v>2117</v>
      </c>
      <c r="C108" s="353">
        <f>0</f>
        <v>0</v>
      </c>
      <c r="D108" s="353">
        <f t="shared" si="19"/>
        <v>11491.199999999999</v>
      </c>
      <c r="E108" s="353">
        <f t="shared" si="20"/>
        <v>3363.732</v>
      </c>
      <c r="F108" s="353">
        <f t="shared" si="21"/>
        <v>15143.525999999998</v>
      </c>
      <c r="G108" s="353">
        <f t="shared" si="16"/>
        <v>9576</v>
      </c>
      <c r="H108" s="353">
        <f t="shared" si="22"/>
        <v>50.455979999999997</v>
      </c>
      <c r="I108" s="353">
        <f t="shared" si="17"/>
        <v>12619.605</v>
      </c>
      <c r="J108" s="103" t="s">
        <v>127</v>
      </c>
      <c r="K108" s="372">
        <v>23740.301385260347</v>
      </c>
      <c r="L108" s="373">
        <v>46934.805420000004</v>
      </c>
      <c r="M108" s="353">
        <f t="shared" si="18"/>
        <v>3161.4007762149072</v>
      </c>
      <c r="N108" s="353">
        <f t="shared" si="14"/>
        <v>55405.919756214898</v>
      </c>
      <c r="O108" s="1"/>
    </row>
    <row r="109" spans="1:15" ht="14.5" x14ac:dyDescent="0.35">
      <c r="A109" s="97">
        <v>100</v>
      </c>
      <c r="B109" s="97">
        <v>2118</v>
      </c>
      <c r="C109" s="353">
        <f>0</f>
        <v>0</v>
      </c>
      <c r="D109" s="353">
        <f t="shared" si="19"/>
        <v>11491.199999999999</v>
      </c>
      <c r="E109" s="353">
        <f t="shared" si="20"/>
        <v>3363.732</v>
      </c>
      <c r="F109" s="353">
        <f t="shared" si="21"/>
        <v>15143.525999999998</v>
      </c>
      <c r="G109" s="353">
        <f t="shared" si="16"/>
        <v>9576</v>
      </c>
      <c r="H109" s="353">
        <f t="shared" si="22"/>
        <v>50.455979999999997</v>
      </c>
      <c r="I109" s="353">
        <f t="shared" si="17"/>
        <v>12619.605</v>
      </c>
      <c r="J109" s="103" t="s">
        <v>127</v>
      </c>
      <c r="K109" s="372">
        <v>23740.301385260347</v>
      </c>
      <c r="L109" s="372">
        <v>46934.805420000004</v>
      </c>
      <c r="M109" s="353">
        <f t="shared" si="18"/>
        <v>3161.4007762149072</v>
      </c>
      <c r="N109" s="353">
        <f t="shared" si="14"/>
        <v>55405.919756214898</v>
      </c>
      <c r="O109" s="7"/>
    </row>
    <row r="110" spans="1:15" x14ac:dyDescent="0.3">
      <c r="A110" s="555" t="s">
        <v>57</v>
      </c>
      <c r="B110" s="555"/>
      <c r="C110" s="364">
        <f>SUM(C10:C109)</f>
        <v>429833</v>
      </c>
      <c r="D110" s="364">
        <f t="shared" ref="D110:M110" si="23">SUM(D10:D109)</f>
        <v>1080172.7999999982</v>
      </c>
      <c r="E110" s="364">
        <f t="shared" si="23"/>
        <v>316190.80799999996</v>
      </c>
      <c r="F110" s="364">
        <f t="shared" si="23"/>
        <v>1423491.4440000004</v>
      </c>
      <c r="G110" s="364">
        <f t="shared" si="23"/>
        <v>900144</v>
      </c>
      <c r="H110" s="364">
        <f t="shared" si="23"/>
        <v>59795.942519999917</v>
      </c>
      <c r="I110" s="364">
        <f t="shared" si="23"/>
        <v>1186242.8699999987</v>
      </c>
      <c r="J110" s="363">
        <f t="shared" si="23"/>
        <v>0</v>
      </c>
      <c r="K110" s="374">
        <f t="shared" si="23"/>
        <v>4322503.954272815</v>
      </c>
      <c r="L110" s="374">
        <f t="shared" si="23"/>
        <v>14457879.768960008</v>
      </c>
      <c r="M110" s="364">
        <f t="shared" si="23"/>
        <v>840074.00008375966</v>
      </c>
      <c r="N110" s="364">
        <f>SUM(N10:N109)</f>
        <v>6235944.8646037709</v>
      </c>
      <c r="O110" s="467"/>
    </row>
    <row r="111" spans="1:15" x14ac:dyDescent="0.3">
      <c r="A111" s="94" t="s">
        <v>69</v>
      </c>
    </row>
    <row r="112" spans="1:15" ht="38.25" customHeight="1" x14ac:dyDescent="0.3">
      <c r="A112" s="546" t="s">
        <v>128</v>
      </c>
      <c r="B112" s="546"/>
      <c r="C112" s="546"/>
      <c r="D112" s="546"/>
      <c r="E112" s="546"/>
      <c r="F112" s="546"/>
      <c r="G112" s="546"/>
      <c r="H112" s="546"/>
      <c r="I112" s="546"/>
      <c r="J112" s="546"/>
      <c r="K112" s="546"/>
      <c r="L112" s="126"/>
      <c r="M112" s="467"/>
      <c r="N112" s="467"/>
      <c r="O112" s="467"/>
    </row>
    <row r="113" spans="1:15" ht="29.25" customHeight="1" x14ac:dyDescent="0.3">
      <c r="A113" s="546" t="s">
        <v>129</v>
      </c>
      <c r="B113" s="546"/>
      <c r="C113" s="546"/>
      <c r="D113" s="546"/>
      <c r="E113" s="546"/>
      <c r="F113" s="546"/>
      <c r="G113" s="546"/>
      <c r="H113" s="546"/>
      <c r="I113" s="546"/>
      <c r="J113" s="546"/>
      <c r="K113" s="546"/>
      <c r="L113" s="126"/>
      <c r="M113" s="467"/>
      <c r="N113" s="467"/>
      <c r="O113" s="467"/>
    </row>
    <row r="114" spans="1:15" ht="15" x14ac:dyDescent="0.3">
      <c r="A114" s="440" t="s">
        <v>130</v>
      </c>
      <c r="B114" s="454"/>
      <c r="C114" s="454"/>
      <c r="D114" s="454"/>
      <c r="E114" s="454"/>
      <c r="F114" s="454"/>
      <c r="G114" s="454"/>
      <c r="H114" s="454"/>
      <c r="I114" s="454"/>
      <c r="J114" s="454"/>
      <c r="K114" s="454"/>
      <c r="L114" s="126"/>
      <c r="M114" s="467"/>
      <c r="N114" s="467"/>
      <c r="O114" s="467"/>
    </row>
    <row r="115" spans="1:15" x14ac:dyDescent="0.3">
      <c r="A115" s="94" t="s">
        <v>85</v>
      </c>
      <c r="B115" s="454"/>
      <c r="C115" s="454"/>
      <c r="D115" s="454"/>
      <c r="E115" s="454"/>
      <c r="F115" s="454"/>
      <c r="G115" s="454"/>
      <c r="H115" s="454"/>
      <c r="I115" s="454"/>
      <c r="J115" s="93"/>
      <c r="K115" s="467"/>
    </row>
    <row r="116" spans="1:15" x14ac:dyDescent="0.3">
      <c r="A116" s="94" t="s">
        <v>86</v>
      </c>
    </row>
    <row r="117" spans="1:15" x14ac:dyDescent="0.3">
      <c r="D117" s="345" t="s">
        <v>0</v>
      </c>
      <c r="E117" s="345" t="s">
        <v>0</v>
      </c>
      <c r="F117" s="345" t="s">
        <v>0</v>
      </c>
      <c r="G117" s="345" t="s">
        <v>0</v>
      </c>
    </row>
    <row r="118" spans="1:15" x14ac:dyDescent="0.3">
      <c r="D118" s="314">
        <v>936838.59119914414</v>
      </c>
      <c r="E118" s="314">
        <v>306488</v>
      </c>
      <c r="F118" s="314">
        <v>2076693.7174976533</v>
      </c>
      <c r="G118" s="314">
        <f>SUM(D118:F118)</f>
        <v>3320020.3086967976</v>
      </c>
    </row>
    <row r="119" spans="1:15" x14ac:dyDescent="0.3">
      <c r="D119" s="371"/>
      <c r="E119" s="371"/>
      <c r="F119" s="371"/>
      <c r="G119" s="344">
        <f>SUM(D110:F110)-G118</f>
        <v>-500165.2566967993</v>
      </c>
    </row>
    <row r="120" spans="1:15" x14ac:dyDescent="0.3">
      <c r="D120" s="371"/>
      <c r="E120" s="371"/>
      <c r="F120" s="371"/>
      <c r="G120" s="345" t="s">
        <v>0</v>
      </c>
    </row>
  </sheetData>
  <mergeCells count="8">
    <mergeCell ref="A112:K112"/>
    <mergeCell ref="A113:K113"/>
    <mergeCell ref="M2:N2"/>
    <mergeCell ref="A110:B110"/>
    <mergeCell ref="A4:B4"/>
    <mergeCell ref="A5:B5"/>
    <mergeCell ref="A6:B6"/>
    <mergeCell ref="A7:B7"/>
  </mergeCells>
  <pageMargins left="0.7" right="0.7" top="0.75" bottom="0.75" header="0.3" footer="0.3"/>
  <pageSetup scale="38"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EFCA-91B9-47DB-BCC1-2730A174550F}">
  <sheetPr>
    <tabColor rgb="FF00B0F0"/>
    <pageSetUpPr fitToPage="1"/>
  </sheetPr>
  <dimension ref="A1:K121"/>
  <sheetViews>
    <sheetView view="pageBreakPreview" zoomScale="85" zoomScaleNormal="100" zoomScaleSheetLayoutView="85" workbookViewId="0">
      <pane xSplit="2" ySplit="9" topLeftCell="C15" activePane="bottomRight" state="frozen"/>
      <selection pane="topRight" activeCell="M112" sqref="M112"/>
      <selection pane="bottomLeft" activeCell="M112" sqref="M112"/>
      <selection pane="bottomRight" activeCell="I1" sqref="I1:I1048576"/>
    </sheetView>
  </sheetViews>
  <sheetFormatPr defaultColWidth="9.1796875" defaultRowHeight="14" x14ac:dyDescent="0.3"/>
  <cols>
    <col min="1" max="1" width="10.1796875" style="94" customWidth="1"/>
    <col min="2" max="2" width="9.1796875" style="94"/>
    <col min="3" max="3" width="12.54296875" style="94" bestFit="1" customWidth="1"/>
    <col min="4" max="4" width="16.26953125" style="94" customWidth="1"/>
    <col min="5" max="5" width="28.26953125" style="94" customWidth="1"/>
    <col min="6" max="6" width="29" style="94" customWidth="1"/>
    <col min="7" max="7" width="17.1796875" style="94" customWidth="1"/>
    <col min="8" max="8" width="19.1796875" style="94" customWidth="1"/>
    <col min="9" max="9" width="13.1796875" style="93" customWidth="1"/>
    <col min="10" max="16384" width="9.1796875" style="72"/>
  </cols>
  <sheetData>
    <row r="1" spans="1:10" x14ac:dyDescent="0.3">
      <c r="A1" s="7"/>
      <c r="B1" s="7"/>
      <c r="C1" s="7"/>
      <c r="J1" s="467"/>
    </row>
    <row r="2" spans="1:10" ht="14.5" x14ac:dyDescent="0.35">
      <c r="A2" s="7"/>
      <c r="B2" s="7"/>
      <c r="C2" s="7"/>
      <c r="F2" s="283"/>
      <c r="G2" s="544" t="s">
        <v>11</v>
      </c>
      <c r="H2" s="544"/>
      <c r="J2" s="467"/>
    </row>
    <row r="3" spans="1:10" ht="17.25" customHeight="1" x14ac:dyDescent="0.3">
      <c r="A3" s="3"/>
      <c r="B3" s="3"/>
      <c r="C3" s="3"/>
      <c r="G3" s="437" t="s">
        <v>70</v>
      </c>
      <c r="H3" s="433">
        <v>534816</v>
      </c>
      <c r="J3" s="467"/>
    </row>
    <row r="4" spans="1:10" x14ac:dyDescent="0.3">
      <c r="A4" s="547" t="s">
        <v>1</v>
      </c>
      <c r="B4" s="548"/>
      <c r="C4" s="125">
        <f>'2019 CCP Summary'!B4</f>
        <v>43536</v>
      </c>
      <c r="E4" s="125"/>
      <c r="F4" s="463"/>
      <c r="G4" s="437" t="s">
        <v>117</v>
      </c>
      <c r="H4" s="443">
        <v>2.5000000000000001E-3</v>
      </c>
      <c r="I4" s="104"/>
      <c r="J4" s="467"/>
    </row>
    <row r="5" spans="1:10" x14ac:dyDescent="0.3">
      <c r="A5" s="549" t="s">
        <v>2</v>
      </c>
      <c r="B5" s="548"/>
      <c r="C5" s="6" t="s">
        <v>3</v>
      </c>
      <c r="E5" s="6"/>
      <c r="F5" s="6"/>
      <c r="G5" s="437" t="s">
        <v>131</v>
      </c>
      <c r="H5" s="439">
        <v>8.0549999999999997</v>
      </c>
      <c r="I5" s="99"/>
      <c r="J5" s="101"/>
    </row>
    <row r="6" spans="1:10" x14ac:dyDescent="0.3">
      <c r="A6" s="549" t="s">
        <v>4</v>
      </c>
      <c r="B6" s="548"/>
      <c r="C6" s="6" t="s">
        <v>132</v>
      </c>
      <c r="E6" s="6"/>
      <c r="F6" s="6"/>
      <c r="I6" s="126"/>
      <c r="J6" s="467"/>
    </row>
    <row r="7" spans="1:10" ht="14.5" customHeight="1" x14ac:dyDescent="0.3">
      <c r="A7" s="550" t="s">
        <v>6</v>
      </c>
      <c r="B7" s="548"/>
      <c r="C7" s="6" t="s">
        <v>7</v>
      </c>
      <c r="E7" s="6"/>
      <c r="F7" s="6"/>
      <c r="J7" s="467"/>
    </row>
    <row r="8" spans="1:10" ht="14.5" customHeight="1" x14ac:dyDescent="0.3">
      <c r="A8" s="213"/>
      <c r="B8" s="96"/>
      <c r="D8" s="6"/>
      <c r="E8" s="6"/>
      <c r="F8" s="6"/>
      <c r="G8" s="438"/>
      <c r="H8" s="438"/>
      <c r="J8" s="467"/>
    </row>
    <row r="9" spans="1:10" ht="39" x14ac:dyDescent="0.3">
      <c r="A9" s="460" t="s">
        <v>76</v>
      </c>
      <c r="B9" s="460" t="s">
        <v>52</v>
      </c>
      <c r="C9" s="460" t="s">
        <v>58</v>
      </c>
      <c r="D9" s="460" t="s">
        <v>133</v>
      </c>
      <c r="E9" s="460" t="s">
        <v>134</v>
      </c>
      <c r="F9" s="460" t="s">
        <v>135</v>
      </c>
      <c r="G9" s="460" t="s">
        <v>136</v>
      </c>
      <c r="H9" s="460" t="s">
        <v>137</v>
      </c>
      <c r="J9" s="467"/>
    </row>
    <row r="10" spans="1:10" x14ac:dyDescent="0.3">
      <c r="A10" s="97">
        <v>1</v>
      </c>
      <c r="B10" s="97">
        <v>2019</v>
      </c>
      <c r="C10" s="353">
        <v>0</v>
      </c>
      <c r="D10" s="353">
        <v>0</v>
      </c>
      <c r="E10" s="353">
        <v>0</v>
      </c>
      <c r="F10" s="353">
        <v>0</v>
      </c>
      <c r="G10" s="367">
        <v>0</v>
      </c>
      <c r="H10" s="353">
        <f>+(G10*$H$5)+D10+C10</f>
        <v>0</v>
      </c>
      <c r="J10" s="467"/>
    </row>
    <row r="11" spans="1:10" x14ac:dyDescent="0.3">
      <c r="A11" s="97">
        <v>2</v>
      </c>
      <c r="B11" s="97">
        <v>2020</v>
      </c>
      <c r="C11" s="353">
        <v>0</v>
      </c>
      <c r="D11" s="353">
        <v>0</v>
      </c>
      <c r="E11" s="353">
        <v>0</v>
      </c>
      <c r="F11" s="353">
        <v>0</v>
      </c>
      <c r="G11" s="367">
        <v>0</v>
      </c>
      <c r="H11" s="353">
        <f t="shared" ref="H11:H74" si="0">+(G11*$H$5)+D11+C11</f>
        <v>0</v>
      </c>
      <c r="J11" s="467"/>
    </row>
    <row r="12" spans="1:10" x14ac:dyDescent="0.3">
      <c r="A12" s="97">
        <v>3</v>
      </c>
      <c r="B12" s="97">
        <v>2021</v>
      </c>
      <c r="C12" s="353">
        <v>0</v>
      </c>
      <c r="D12" s="353">
        <v>0</v>
      </c>
      <c r="E12" s="353">
        <v>0</v>
      </c>
      <c r="F12" s="353">
        <v>0</v>
      </c>
      <c r="G12" s="367">
        <v>0</v>
      </c>
      <c r="H12" s="353">
        <f t="shared" si="0"/>
        <v>0</v>
      </c>
      <c r="J12" s="467"/>
    </row>
    <row r="13" spans="1:10" x14ac:dyDescent="0.3">
      <c r="A13" s="97">
        <v>4</v>
      </c>
      <c r="B13" s="97">
        <v>2022</v>
      </c>
      <c r="C13" s="353">
        <v>0</v>
      </c>
      <c r="D13" s="353">
        <v>0</v>
      </c>
      <c r="E13" s="353">
        <v>0</v>
      </c>
      <c r="F13" s="353">
        <v>0</v>
      </c>
      <c r="G13" s="367">
        <v>0</v>
      </c>
      <c r="H13" s="353">
        <f t="shared" si="0"/>
        <v>0</v>
      </c>
      <c r="J13" s="467"/>
    </row>
    <row r="14" spans="1:10" x14ac:dyDescent="0.3">
      <c r="A14" s="97">
        <v>5</v>
      </c>
      <c r="B14" s="97">
        <v>2023</v>
      </c>
      <c r="C14" s="353">
        <v>0</v>
      </c>
      <c r="D14" s="353">
        <v>0</v>
      </c>
      <c r="E14" s="353">
        <v>0</v>
      </c>
      <c r="F14" s="353">
        <v>0</v>
      </c>
      <c r="G14" s="367">
        <v>0</v>
      </c>
      <c r="H14" s="353">
        <f t="shared" si="0"/>
        <v>0</v>
      </c>
      <c r="J14" s="467"/>
    </row>
    <row r="15" spans="1:10" x14ac:dyDescent="0.3">
      <c r="A15" s="97">
        <v>6</v>
      </c>
      <c r="B15" s="97">
        <v>2024</v>
      </c>
      <c r="C15" s="353">
        <v>0</v>
      </c>
      <c r="D15" s="353">
        <v>0</v>
      </c>
      <c r="E15" s="353">
        <v>0</v>
      </c>
      <c r="F15" s="353">
        <v>0</v>
      </c>
      <c r="G15" s="367">
        <v>0</v>
      </c>
      <c r="H15" s="353">
        <f t="shared" si="0"/>
        <v>0</v>
      </c>
      <c r="I15" s="338"/>
      <c r="J15" s="467"/>
    </row>
    <row r="16" spans="1:10" ht="14.25" customHeight="1" x14ac:dyDescent="0.3">
      <c r="A16" s="97">
        <v>7</v>
      </c>
      <c r="B16" s="97">
        <v>2025</v>
      </c>
      <c r="C16" s="353">
        <f>H3</f>
        <v>534816</v>
      </c>
      <c r="D16" s="353">
        <f t="shared" ref="D16:D47" si="1">$H$3*$H$4</f>
        <v>1337.04</v>
      </c>
      <c r="E16" s="103" t="s">
        <v>127</v>
      </c>
      <c r="F16" s="103" t="s">
        <v>127</v>
      </c>
      <c r="G16" s="367">
        <v>27395.006421714828</v>
      </c>
      <c r="H16" s="353">
        <f>+(G16*$H$5)+D16+C16</f>
        <v>756819.81672691298</v>
      </c>
      <c r="I16" s="338"/>
      <c r="J16" s="467"/>
    </row>
    <row r="17" spans="1:9" ht="14.25" customHeight="1" x14ac:dyDescent="0.3">
      <c r="A17" s="97">
        <v>8</v>
      </c>
      <c r="B17" s="97">
        <v>2026</v>
      </c>
      <c r="C17" s="353">
        <v>0</v>
      </c>
      <c r="D17" s="353">
        <f t="shared" si="1"/>
        <v>1337.04</v>
      </c>
      <c r="E17" s="103" t="s">
        <v>127</v>
      </c>
      <c r="F17" s="103" t="s">
        <v>127</v>
      </c>
      <c r="G17" s="367">
        <v>27395.006421714828</v>
      </c>
      <c r="H17" s="353">
        <f t="shared" si="0"/>
        <v>222003.81672691295</v>
      </c>
      <c r="I17" s="338"/>
    </row>
    <row r="18" spans="1:9" x14ac:dyDescent="0.3">
      <c r="A18" s="97">
        <v>9</v>
      </c>
      <c r="B18" s="97">
        <v>2027</v>
      </c>
      <c r="C18" s="353">
        <v>0</v>
      </c>
      <c r="D18" s="353">
        <f t="shared" si="1"/>
        <v>1337.04</v>
      </c>
      <c r="E18" s="103" t="s">
        <v>127</v>
      </c>
      <c r="F18" s="103" t="s">
        <v>127</v>
      </c>
      <c r="G18" s="367">
        <v>27395.006421714828</v>
      </c>
      <c r="H18" s="353">
        <f t="shared" si="0"/>
        <v>222003.81672691295</v>
      </c>
      <c r="I18" s="338"/>
    </row>
    <row r="19" spans="1:9" x14ac:dyDescent="0.3">
      <c r="A19" s="97">
        <v>10</v>
      </c>
      <c r="B19" s="97">
        <v>2028</v>
      </c>
      <c r="C19" s="353">
        <v>0</v>
      </c>
      <c r="D19" s="353">
        <f t="shared" si="1"/>
        <v>1337.04</v>
      </c>
      <c r="E19" s="103" t="s">
        <v>127</v>
      </c>
      <c r="F19" s="103" t="s">
        <v>127</v>
      </c>
      <c r="G19" s="367">
        <v>27395.006421714828</v>
      </c>
      <c r="H19" s="353">
        <f t="shared" si="0"/>
        <v>222003.81672691295</v>
      </c>
      <c r="I19" s="338"/>
    </row>
    <row r="20" spans="1:9" x14ac:dyDescent="0.3">
      <c r="A20" s="97">
        <v>11</v>
      </c>
      <c r="B20" s="97">
        <v>2029</v>
      </c>
      <c r="C20" s="353">
        <v>0</v>
      </c>
      <c r="D20" s="353">
        <f t="shared" si="1"/>
        <v>1337.04</v>
      </c>
      <c r="E20" s="103" t="s">
        <v>127</v>
      </c>
      <c r="F20" s="103" t="s">
        <v>127</v>
      </c>
      <c r="G20" s="367">
        <v>27395.006421714828</v>
      </c>
      <c r="H20" s="353">
        <f t="shared" si="0"/>
        <v>222003.81672691295</v>
      </c>
      <c r="I20" s="338"/>
    </row>
    <row r="21" spans="1:9" x14ac:dyDescent="0.3">
      <c r="A21" s="97">
        <v>12</v>
      </c>
      <c r="B21" s="97">
        <v>2030</v>
      </c>
      <c r="C21" s="353">
        <v>0</v>
      </c>
      <c r="D21" s="353">
        <f t="shared" si="1"/>
        <v>1337.04</v>
      </c>
      <c r="E21" s="103" t="s">
        <v>127</v>
      </c>
      <c r="F21" s="103" t="s">
        <v>127</v>
      </c>
      <c r="G21" s="367">
        <v>27395.006421714828</v>
      </c>
      <c r="H21" s="353">
        <f t="shared" si="0"/>
        <v>222003.81672691295</v>
      </c>
      <c r="I21" s="7"/>
    </row>
    <row r="22" spans="1:9" x14ac:dyDescent="0.3">
      <c r="A22" s="97">
        <v>13</v>
      </c>
      <c r="B22" s="97">
        <v>2031</v>
      </c>
      <c r="C22" s="353">
        <v>0</v>
      </c>
      <c r="D22" s="353">
        <f t="shared" si="1"/>
        <v>1337.04</v>
      </c>
      <c r="E22" s="103" t="s">
        <v>127</v>
      </c>
      <c r="F22" s="103" t="s">
        <v>127</v>
      </c>
      <c r="G22" s="367">
        <v>26138.961917052249</v>
      </c>
      <c r="H22" s="353">
        <f t="shared" si="0"/>
        <v>211886.37824185585</v>
      </c>
      <c r="I22" s="338"/>
    </row>
    <row r="23" spans="1:9" x14ac:dyDescent="0.3">
      <c r="A23" s="97">
        <v>14</v>
      </c>
      <c r="B23" s="97">
        <v>2032</v>
      </c>
      <c r="C23" s="353">
        <v>0</v>
      </c>
      <c r="D23" s="353">
        <f t="shared" si="1"/>
        <v>1337.04</v>
      </c>
      <c r="E23" s="103" t="s">
        <v>127</v>
      </c>
      <c r="F23" s="103" t="s">
        <v>127</v>
      </c>
      <c r="G23" s="367">
        <v>24975.606946533837</v>
      </c>
      <c r="H23" s="353">
        <f t="shared" si="0"/>
        <v>202515.55395433007</v>
      </c>
      <c r="I23" s="338"/>
    </row>
    <row r="24" spans="1:9" x14ac:dyDescent="0.3">
      <c r="A24" s="97">
        <v>15</v>
      </c>
      <c r="B24" s="97">
        <v>2033</v>
      </c>
      <c r="C24" s="353">
        <v>0</v>
      </c>
      <c r="D24" s="353">
        <f t="shared" si="1"/>
        <v>1337.04</v>
      </c>
      <c r="E24" s="103" t="s">
        <v>127</v>
      </c>
      <c r="F24" s="103" t="s">
        <v>127</v>
      </c>
      <c r="G24" s="367">
        <v>23812.251762818516</v>
      </c>
      <c r="H24" s="353">
        <f t="shared" si="0"/>
        <v>193144.72794950314</v>
      </c>
      <c r="I24" s="7"/>
    </row>
    <row r="25" spans="1:9" x14ac:dyDescent="0.3">
      <c r="A25" s="97">
        <v>16</v>
      </c>
      <c r="B25" s="97">
        <v>2034</v>
      </c>
      <c r="C25" s="353">
        <v>0</v>
      </c>
      <c r="D25" s="353">
        <f t="shared" si="1"/>
        <v>1337.04</v>
      </c>
      <c r="E25" s="103" t="s">
        <v>127</v>
      </c>
      <c r="F25" s="103" t="s">
        <v>127</v>
      </c>
      <c r="G25" s="367">
        <v>22648.895058781414</v>
      </c>
      <c r="H25" s="353">
        <f t="shared" si="0"/>
        <v>183773.8896984843</v>
      </c>
      <c r="I25" s="7"/>
    </row>
    <row r="26" spans="1:9" x14ac:dyDescent="0.3">
      <c r="A26" s="97">
        <v>17</v>
      </c>
      <c r="B26" s="97">
        <v>2035</v>
      </c>
      <c r="C26" s="353">
        <v>0</v>
      </c>
      <c r="D26" s="353">
        <f t="shared" si="1"/>
        <v>1337.04</v>
      </c>
      <c r="E26" s="103" t="s">
        <v>127</v>
      </c>
      <c r="F26" s="103" t="s">
        <v>127</v>
      </c>
      <c r="G26" s="367">
        <v>21485.539316127077</v>
      </c>
      <c r="H26" s="353">
        <f t="shared" si="0"/>
        <v>174403.05919140362</v>
      </c>
      <c r="I26" s="7"/>
    </row>
    <row r="27" spans="1:9" x14ac:dyDescent="0.3">
      <c r="A27" s="97">
        <v>18</v>
      </c>
      <c r="B27" s="97">
        <v>2036</v>
      </c>
      <c r="C27" s="353">
        <v>0</v>
      </c>
      <c r="D27" s="353">
        <f t="shared" si="1"/>
        <v>1337.04</v>
      </c>
      <c r="E27" s="103" t="s">
        <v>127</v>
      </c>
      <c r="F27" s="103" t="s">
        <v>127</v>
      </c>
      <c r="G27" s="367">
        <v>20322.184399843445</v>
      </c>
      <c r="H27" s="353">
        <f t="shared" si="0"/>
        <v>165032.23534073896</v>
      </c>
      <c r="I27" s="7"/>
    </row>
    <row r="28" spans="1:9" x14ac:dyDescent="0.3">
      <c r="A28" s="97">
        <v>19</v>
      </c>
      <c r="B28" s="97">
        <v>2037</v>
      </c>
      <c r="C28" s="353">
        <v>0</v>
      </c>
      <c r="D28" s="353">
        <f t="shared" si="1"/>
        <v>1337.04</v>
      </c>
      <c r="E28" s="103" t="s">
        <v>127</v>
      </c>
      <c r="F28" s="103" t="s">
        <v>127</v>
      </c>
      <c r="G28" s="367">
        <v>19158.82809939871</v>
      </c>
      <c r="H28" s="353">
        <f t="shared" si="0"/>
        <v>155661.4003406566</v>
      </c>
      <c r="I28" s="7"/>
    </row>
    <row r="29" spans="1:9" x14ac:dyDescent="0.3">
      <c r="A29" s="97">
        <v>20</v>
      </c>
      <c r="B29" s="97">
        <v>2038</v>
      </c>
      <c r="C29" s="353">
        <v>0</v>
      </c>
      <c r="D29" s="353">
        <f t="shared" si="1"/>
        <v>1337.04</v>
      </c>
      <c r="E29" s="103" t="s">
        <v>127</v>
      </c>
      <c r="F29" s="103" t="s">
        <v>127</v>
      </c>
      <c r="G29" s="367">
        <v>17995.472098891561</v>
      </c>
      <c r="H29" s="353">
        <f t="shared" si="0"/>
        <v>146290.56775657155</v>
      </c>
      <c r="I29" s="7"/>
    </row>
    <row r="30" spans="1:9" x14ac:dyDescent="0.3">
      <c r="A30" s="97">
        <v>21</v>
      </c>
      <c r="B30" s="97">
        <v>2039</v>
      </c>
      <c r="C30" s="353">
        <v>0</v>
      </c>
      <c r="D30" s="353">
        <f t="shared" si="1"/>
        <v>1337.04</v>
      </c>
      <c r="E30" s="103" t="s">
        <v>127</v>
      </c>
      <c r="F30" s="103" t="s">
        <v>127</v>
      </c>
      <c r="G30" s="367">
        <v>16832.116006553722</v>
      </c>
      <c r="H30" s="353">
        <f t="shared" si="0"/>
        <v>136919.73443279022</v>
      </c>
      <c r="I30" s="7"/>
    </row>
    <row r="31" spans="1:9" x14ac:dyDescent="0.3">
      <c r="A31" s="97">
        <v>22</v>
      </c>
      <c r="B31" s="97">
        <v>2040</v>
      </c>
      <c r="C31" s="353">
        <v>0</v>
      </c>
      <c r="D31" s="353">
        <f t="shared" si="1"/>
        <v>1337.04</v>
      </c>
      <c r="E31" s="103" t="s">
        <v>127</v>
      </c>
      <c r="F31" s="103" t="s">
        <v>127</v>
      </c>
      <c r="G31" s="367">
        <v>15668.760750906773</v>
      </c>
      <c r="H31" s="353">
        <f t="shared" si="0"/>
        <v>127548.90784855405</v>
      </c>
      <c r="I31" s="338"/>
    </row>
    <row r="32" spans="1:9" x14ac:dyDescent="0.3">
      <c r="A32" s="97">
        <v>23</v>
      </c>
      <c r="B32" s="97">
        <v>2041</v>
      </c>
      <c r="C32" s="353">
        <v>0</v>
      </c>
      <c r="D32" s="353">
        <f t="shared" si="1"/>
        <v>1337.04</v>
      </c>
      <c r="E32" s="103" t="s">
        <v>127</v>
      </c>
      <c r="F32" s="103" t="s">
        <v>127</v>
      </c>
      <c r="G32" s="367">
        <v>14505.405544801304</v>
      </c>
      <c r="H32" s="353">
        <f t="shared" si="0"/>
        <v>118178.0816633745</v>
      </c>
      <c r="I32" s="338"/>
    </row>
    <row r="33" spans="1:9" x14ac:dyDescent="0.3">
      <c r="A33" s="97">
        <v>24</v>
      </c>
      <c r="B33" s="97">
        <v>2042</v>
      </c>
      <c r="C33" s="353">
        <v>0</v>
      </c>
      <c r="D33" s="353">
        <f t="shared" si="1"/>
        <v>1337.04</v>
      </c>
      <c r="E33" s="103" t="s">
        <v>127</v>
      </c>
      <c r="F33" s="103" t="s">
        <v>127</v>
      </c>
      <c r="G33" s="367">
        <v>13342.049583061284</v>
      </c>
      <c r="H33" s="353">
        <f t="shared" si="0"/>
        <v>108807.24939155862</v>
      </c>
      <c r="I33" s="7"/>
    </row>
    <row r="34" spans="1:9" x14ac:dyDescent="0.3">
      <c r="A34" s="97">
        <v>25</v>
      </c>
      <c r="B34" s="97">
        <v>2043</v>
      </c>
      <c r="C34" s="353">
        <v>0</v>
      </c>
      <c r="D34" s="353">
        <f t="shared" si="1"/>
        <v>1337.04</v>
      </c>
      <c r="E34" s="103" t="s">
        <v>127</v>
      </c>
      <c r="F34" s="103" t="s">
        <v>127</v>
      </c>
      <c r="G34" s="367">
        <v>12178.693442663005</v>
      </c>
      <c r="H34" s="353">
        <f t="shared" si="0"/>
        <v>99436.415680650491</v>
      </c>
      <c r="I34" s="7"/>
    </row>
    <row r="35" spans="1:9" x14ac:dyDescent="0.3">
      <c r="A35" s="97">
        <v>26</v>
      </c>
      <c r="B35" s="97">
        <v>2044</v>
      </c>
      <c r="C35" s="353">
        <v>0</v>
      </c>
      <c r="D35" s="353">
        <f t="shared" si="1"/>
        <v>1337.04</v>
      </c>
      <c r="E35" s="103" t="s">
        <v>127</v>
      </c>
      <c r="F35" s="103" t="s">
        <v>127</v>
      </c>
      <c r="G35" s="367">
        <v>11015.337680403165</v>
      </c>
      <c r="H35" s="353">
        <f t="shared" si="0"/>
        <v>90065.585015647492</v>
      </c>
      <c r="I35" s="7"/>
    </row>
    <row r="36" spans="1:9" x14ac:dyDescent="0.3">
      <c r="A36" s="97">
        <v>27</v>
      </c>
      <c r="B36" s="97">
        <v>2045</v>
      </c>
      <c r="C36" s="353">
        <v>0</v>
      </c>
      <c r="D36" s="353">
        <f t="shared" si="1"/>
        <v>1337.04</v>
      </c>
      <c r="E36" s="103" t="s">
        <v>127</v>
      </c>
      <c r="F36" s="103" t="s">
        <v>127</v>
      </c>
      <c r="G36" s="367">
        <v>9851.9819817326479</v>
      </c>
      <c r="H36" s="353">
        <f t="shared" si="0"/>
        <v>80694.754862856469</v>
      </c>
      <c r="I36" s="7"/>
    </row>
    <row r="37" spans="1:9" x14ac:dyDescent="0.3">
      <c r="A37" s="97">
        <v>28</v>
      </c>
      <c r="B37" s="97">
        <v>2046</v>
      </c>
      <c r="C37" s="353">
        <v>0</v>
      </c>
      <c r="D37" s="353">
        <f t="shared" si="1"/>
        <v>1337.04</v>
      </c>
      <c r="E37" s="103" t="s">
        <v>127</v>
      </c>
      <c r="F37" s="103" t="s">
        <v>127</v>
      </c>
      <c r="G37" s="367">
        <v>8688.6265424921748</v>
      </c>
      <c r="H37" s="353">
        <f t="shared" si="0"/>
        <v>71323.926799774461</v>
      </c>
      <c r="I37" s="7"/>
    </row>
    <row r="38" spans="1:9" x14ac:dyDescent="0.3">
      <c r="A38" s="97">
        <v>29</v>
      </c>
      <c r="B38" s="97">
        <v>2047</v>
      </c>
      <c r="C38" s="353">
        <v>0</v>
      </c>
      <c r="D38" s="353">
        <f t="shared" si="1"/>
        <v>1337.04</v>
      </c>
      <c r="E38" s="103" t="s">
        <v>127</v>
      </c>
      <c r="F38" s="103" t="s">
        <v>127</v>
      </c>
      <c r="G38" s="367">
        <v>7525.2707735287195</v>
      </c>
      <c r="H38" s="353">
        <f t="shared" si="0"/>
        <v>61953.096080773837</v>
      </c>
      <c r="I38" s="7"/>
    </row>
    <row r="39" spans="1:9" x14ac:dyDescent="0.3">
      <c r="A39" s="97">
        <v>30</v>
      </c>
      <c r="B39" s="97">
        <v>2048</v>
      </c>
      <c r="C39" s="353">
        <v>0</v>
      </c>
      <c r="D39" s="353">
        <f t="shared" si="1"/>
        <v>1337.04</v>
      </c>
      <c r="E39" s="103" t="s">
        <v>127</v>
      </c>
      <c r="F39" s="103" t="s">
        <v>127</v>
      </c>
      <c r="G39" s="367">
        <v>6361.9150255394306</v>
      </c>
      <c r="H39" s="353">
        <f t="shared" si="0"/>
        <v>52582.265530720113</v>
      </c>
      <c r="I39" s="7"/>
    </row>
    <row r="40" spans="1:9" x14ac:dyDescent="0.3">
      <c r="A40" s="97">
        <v>31</v>
      </c>
      <c r="B40" s="97">
        <v>2049</v>
      </c>
      <c r="C40" s="353">
        <v>0</v>
      </c>
      <c r="D40" s="353">
        <f t="shared" si="1"/>
        <v>1337.04</v>
      </c>
      <c r="E40" s="103" t="s">
        <v>127</v>
      </c>
      <c r="F40" s="103" t="s">
        <v>127</v>
      </c>
      <c r="G40" s="367">
        <v>5198.5593480163288</v>
      </c>
      <c r="H40" s="353">
        <f t="shared" si="0"/>
        <v>43211.435548271525</v>
      </c>
      <c r="I40" s="7"/>
    </row>
    <row r="41" spans="1:9" x14ac:dyDescent="0.3">
      <c r="A41" s="97">
        <v>32</v>
      </c>
      <c r="B41" s="97">
        <v>2050</v>
      </c>
      <c r="C41" s="353">
        <v>0</v>
      </c>
      <c r="D41" s="353">
        <f t="shared" si="1"/>
        <v>1337.04</v>
      </c>
      <c r="E41" s="103" t="s">
        <v>127</v>
      </c>
      <c r="F41" s="103" t="s">
        <v>127</v>
      </c>
      <c r="G41" s="367">
        <v>4035.2034193368454</v>
      </c>
      <c r="H41" s="353">
        <f t="shared" si="0"/>
        <v>33840.60354275829</v>
      </c>
      <c r="I41" s="7"/>
    </row>
    <row r="42" spans="1:9" x14ac:dyDescent="0.3">
      <c r="A42" s="97">
        <v>33</v>
      </c>
      <c r="B42" s="97">
        <v>2051</v>
      </c>
      <c r="C42" s="353">
        <v>0</v>
      </c>
      <c r="D42" s="353">
        <f t="shared" si="1"/>
        <v>1337.04</v>
      </c>
      <c r="E42" s="103" t="s">
        <v>127</v>
      </c>
      <c r="F42" s="103" t="s">
        <v>127</v>
      </c>
      <c r="G42" s="367">
        <v>4035.2034193368454</v>
      </c>
      <c r="H42" s="353">
        <f t="shared" si="0"/>
        <v>33840.60354275829</v>
      </c>
      <c r="I42" s="7"/>
    </row>
    <row r="43" spans="1:9" x14ac:dyDescent="0.3">
      <c r="A43" s="97">
        <v>34</v>
      </c>
      <c r="B43" s="97">
        <v>2052</v>
      </c>
      <c r="C43" s="353">
        <v>0</v>
      </c>
      <c r="D43" s="353">
        <f t="shared" si="1"/>
        <v>1337.04</v>
      </c>
      <c r="E43" s="103" t="s">
        <v>127</v>
      </c>
      <c r="F43" s="103" t="s">
        <v>127</v>
      </c>
      <c r="G43" s="367">
        <v>4035.2034193368454</v>
      </c>
      <c r="H43" s="353">
        <f t="shared" si="0"/>
        <v>33840.60354275829</v>
      </c>
      <c r="I43" s="7"/>
    </row>
    <row r="44" spans="1:9" x14ac:dyDescent="0.3">
      <c r="A44" s="97">
        <v>35</v>
      </c>
      <c r="B44" s="97">
        <v>2053</v>
      </c>
      <c r="C44" s="353">
        <v>0</v>
      </c>
      <c r="D44" s="353">
        <f t="shared" si="1"/>
        <v>1337.04</v>
      </c>
      <c r="E44" s="103" t="s">
        <v>127</v>
      </c>
      <c r="F44" s="103" t="s">
        <v>127</v>
      </c>
      <c r="G44" s="367">
        <v>4035.2034193368454</v>
      </c>
      <c r="H44" s="353">
        <f t="shared" si="0"/>
        <v>33840.60354275829</v>
      </c>
      <c r="I44" s="7"/>
    </row>
    <row r="45" spans="1:9" x14ac:dyDescent="0.3">
      <c r="A45" s="97">
        <v>36</v>
      </c>
      <c r="B45" s="97">
        <v>2054</v>
      </c>
      <c r="C45" s="353">
        <v>0</v>
      </c>
      <c r="D45" s="353">
        <f t="shared" si="1"/>
        <v>1337.04</v>
      </c>
      <c r="E45" s="103" t="s">
        <v>127</v>
      </c>
      <c r="F45" s="103" t="s">
        <v>127</v>
      </c>
      <c r="G45" s="367">
        <v>4035.2034193368454</v>
      </c>
      <c r="H45" s="353">
        <f t="shared" si="0"/>
        <v>33840.60354275829</v>
      </c>
      <c r="I45" s="7"/>
    </row>
    <row r="46" spans="1:9" x14ac:dyDescent="0.3">
      <c r="A46" s="97">
        <v>37</v>
      </c>
      <c r="B46" s="97">
        <v>2055</v>
      </c>
      <c r="C46" s="353">
        <v>0</v>
      </c>
      <c r="D46" s="353">
        <f t="shared" si="1"/>
        <v>1337.04</v>
      </c>
      <c r="E46" s="103" t="s">
        <v>127</v>
      </c>
      <c r="F46" s="103" t="s">
        <v>127</v>
      </c>
      <c r="G46" s="367">
        <v>4035.2034193368454</v>
      </c>
      <c r="H46" s="353">
        <f t="shared" si="0"/>
        <v>33840.60354275829</v>
      </c>
      <c r="I46" s="7"/>
    </row>
    <row r="47" spans="1:9" x14ac:dyDescent="0.3">
      <c r="A47" s="97">
        <v>38</v>
      </c>
      <c r="B47" s="97">
        <v>2056</v>
      </c>
      <c r="C47" s="353">
        <v>0</v>
      </c>
      <c r="D47" s="353">
        <f t="shared" si="1"/>
        <v>1337.04</v>
      </c>
      <c r="E47" s="103" t="s">
        <v>127</v>
      </c>
      <c r="F47" s="103" t="s">
        <v>127</v>
      </c>
      <c r="G47" s="367">
        <v>4035.2034193368454</v>
      </c>
      <c r="H47" s="353">
        <f t="shared" si="0"/>
        <v>33840.60354275829</v>
      </c>
      <c r="I47" s="7"/>
    </row>
    <row r="48" spans="1:9" x14ac:dyDescent="0.3">
      <c r="A48" s="97">
        <v>39</v>
      </c>
      <c r="B48" s="97">
        <v>2057</v>
      </c>
      <c r="C48" s="353">
        <v>0</v>
      </c>
      <c r="D48" s="353">
        <f t="shared" ref="D48:D79" si="2">$H$3*$H$4</f>
        <v>1337.04</v>
      </c>
      <c r="E48" s="103" t="s">
        <v>127</v>
      </c>
      <c r="F48" s="103" t="s">
        <v>127</v>
      </c>
      <c r="G48" s="367">
        <v>4035.2034193368454</v>
      </c>
      <c r="H48" s="353">
        <f t="shared" si="0"/>
        <v>33840.60354275829</v>
      </c>
      <c r="I48" s="7"/>
    </row>
    <row r="49" spans="1:9" x14ac:dyDescent="0.3">
      <c r="A49" s="97">
        <v>40</v>
      </c>
      <c r="B49" s="97">
        <v>2058</v>
      </c>
      <c r="C49" s="353">
        <v>0</v>
      </c>
      <c r="D49" s="353">
        <f t="shared" si="2"/>
        <v>1337.04</v>
      </c>
      <c r="E49" s="103" t="s">
        <v>127</v>
      </c>
      <c r="F49" s="103" t="s">
        <v>127</v>
      </c>
      <c r="G49" s="367">
        <v>4035.2034193368454</v>
      </c>
      <c r="H49" s="353">
        <f t="shared" si="0"/>
        <v>33840.60354275829</v>
      </c>
      <c r="I49" s="7"/>
    </row>
    <row r="50" spans="1:9" x14ac:dyDescent="0.3">
      <c r="A50" s="97">
        <v>41</v>
      </c>
      <c r="B50" s="97">
        <v>2059</v>
      </c>
      <c r="C50" s="353">
        <v>0</v>
      </c>
      <c r="D50" s="353">
        <f t="shared" si="2"/>
        <v>1337.04</v>
      </c>
      <c r="E50" s="103" t="s">
        <v>127</v>
      </c>
      <c r="F50" s="103" t="s">
        <v>127</v>
      </c>
      <c r="G50" s="367">
        <v>4035.2034193368454</v>
      </c>
      <c r="H50" s="353">
        <f t="shared" si="0"/>
        <v>33840.60354275829</v>
      </c>
      <c r="I50" s="7"/>
    </row>
    <row r="51" spans="1:9" x14ac:dyDescent="0.3">
      <c r="A51" s="97">
        <v>42</v>
      </c>
      <c r="B51" s="97">
        <v>2060</v>
      </c>
      <c r="C51" s="353">
        <v>0</v>
      </c>
      <c r="D51" s="353">
        <f t="shared" si="2"/>
        <v>1337.04</v>
      </c>
      <c r="E51" s="103" t="s">
        <v>127</v>
      </c>
      <c r="F51" s="103" t="s">
        <v>127</v>
      </c>
      <c r="G51" s="367">
        <v>4035.2034193368454</v>
      </c>
      <c r="H51" s="353">
        <f t="shared" si="0"/>
        <v>33840.60354275829</v>
      </c>
      <c r="I51" s="7"/>
    </row>
    <row r="52" spans="1:9" x14ac:dyDescent="0.3">
      <c r="A52" s="97">
        <v>43</v>
      </c>
      <c r="B52" s="97">
        <v>2061</v>
      </c>
      <c r="C52" s="353">
        <v>0</v>
      </c>
      <c r="D52" s="353">
        <f t="shared" si="2"/>
        <v>1337.04</v>
      </c>
      <c r="E52" s="103" t="s">
        <v>127</v>
      </c>
      <c r="F52" s="103" t="s">
        <v>127</v>
      </c>
      <c r="G52" s="367">
        <v>4035.2034193368454</v>
      </c>
      <c r="H52" s="353">
        <f t="shared" si="0"/>
        <v>33840.60354275829</v>
      </c>
      <c r="I52" s="7"/>
    </row>
    <row r="53" spans="1:9" x14ac:dyDescent="0.3">
      <c r="A53" s="97">
        <v>44</v>
      </c>
      <c r="B53" s="97">
        <v>2062</v>
      </c>
      <c r="C53" s="353">
        <v>0</v>
      </c>
      <c r="D53" s="353">
        <f t="shared" si="2"/>
        <v>1337.04</v>
      </c>
      <c r="E53" s="103" t="s">
        <v>127</v>
      </c>
      <c r="F53" s="103" t="s">
        <v>127</v>
      </c>
      <c r="G53" s="367">
        <v>4035.2034193368454</v>
      </c>
      <c r="H53" s="353">
        <f t="shared" si="0"/>
        <v>33840.60354275829</v>
      </c>
      <c r="I53" s="7"/>
    </row>
    <row r="54" spans="1:9" x14ac:dyDescent="0.3">
      <c r="A54" s="97">
        <v>45</v>
      </c>
      <c r="B54" s="97">
        <v>2063</v>
      </c>
      <c r="C54" s="353">
        <v>0</v>
      </c>
      <c r="D54" s="353">
        <f t="shared" si="2"/>
        <v>1337.04</v>
      </c>
      <c r="E54" s="103" t="s">
        <v>127</v>
      </c>
      <c r="F54" s="103" t="s">
        <v>127</v>
      </c>
      <c r="G54" s="367">
        <v>4035.2034193368454</v>
      </c>
      <c r="H54" s="353">
        <f t="shared" si="0"/>
        <v>33840.60354275829</v>
      </c>
      <c r="I54" s="7"/>
    </row>
    <row r="55" spans="1:9" x14ac:dyDescent="0.3">
      <c r="A55" s="97">
        <v>46</v>
      </c>
      <c r="B55" s="97">
        <v>2064</v>
      </c>
      <c r="C55" s="353">
        <v>0</v>
      </c>
      <c r="D55" s="353">
        <f t="shared" si="2"/>
        <v>1337.04</v>
      </c>
      <c r="E55" s="103" t="s">
        <v>127</v>
      </c>
      <c r="F55" s="103" t="s">
        <v>127</v>
      </c>
      <c r="G55" s="367">
        <v>4035.2034193368454</v>
      </c>
      <c r="H55" s="353">
        <f t="shared" si="0"/>
        <v>33840.60354275829</v>
      </c>
      <c r="I55" s="7"/>
    </row>
    <row r="56" spans="1:9" x14ac:dyDescent="0.3">
      <c r="A56" s="97">
        <v>47</v>
      </c>
      <c r="B56" s="97">
        <v>2065</v>
      </c>
      <c r="C56" s="353">
        <v>0</v>
      </c>
      <c r="D56" s="353">
        <f t="shared" si="2"/>
        <v>1337.04</v>
      </c>
      <c r="E56" s="103" t="s">
        <v>127</v>
      </c>
      <c r="F56" s="103" t="s">
        <v>127</v>
      </c>
      <c r="G56" s="367">
        <v>4035.2034193368454</v>
      </c>
      <c r="H56" s="353">
        <f t="shared" si="0"/>
        <v>33840.60354275829</v>
      </c>
      <c r="I56" s="7"/>
    </row>
    <row r="57" spans="1:9" x14ac:dyDescent="0.3">
      <c r="A57" s="97">
        <v>48</v>
      </c>
      <c r="B57" s="97">
        <v>2066</v>
      </c>
      <c r="C57" s="353">
        <v>0</v>
      </c>
      <c r="D57" s="353">
        <f t="shared" si="2"/>
        <v>1337.04</v>
      </c>
      <c r="E57" s="103" t="s">
        <v>127</v>
      </c>
      <c r="F57" s="103" t="s">
        <v>127</v>
      </c>
      <c r="G57" s="367">
        <v>4035.2034193368454</v>
      </c>
      <c r="H57" s="353">
        <f t="shared" si="0"/>
        <v>33840.60354275829</v>
      </c>
      <c r="I57" s="7"/>
    </row>
    <row r="58" spans="1:9" x14ac:dyDescent="0.3">
      <c r="A58" s="97">
        <v>49</v>
      </c>
      <c r="B58" s="97">
        <v>2067</v>
      </c>
      <c r="C58" s="353">
        <v>0</v>
      </c>
      <c r="D58" s="353">
        <f t="shared" si="2"/>
        <v>1337.04</v>
      </c>
      <c r="E58" s="103" t="s">
        <v>127</v>
      </c>
      <c r="F58" s="103" t="s">
        <v>127</v>
      </c>
      <c r="G58" s="367">
        <v>4035.2034193368454</v>
      </c>
      <c r="H58" s="353">
        <f t="shared" si="0"/>
        <v>33840.60354275829</v>
      </c>
      <c r="I58" s="7"/>
    </row>
    <row r="59" spans="1:9" x14ac:dyDescent="0.3">
      <c r="A59" s="97">
        <v>50</v>
      </c>
      <c r="B59" s="97">
        <v>2068</v>
      </c>
      <c r="C59" s="353">
        <v>0</v>
      </c>
      <c r="D59" s="353">
        <f t="shared" si="2"/>
        <v>1337.04</v>
      </c>
      <c r="E59" s="103" t="s">
        <v>127</v>
      </c>
      <c r="F59" s="103" t="s">
        <v>127</v>
      </c>
      <c r="G59" s="367">
        <v>4035.2034193368454</v>
      </c>
      <c r="H59" s="353">
        <f t="shared" si="0"/>
        <v>33840.60354275829</v>
      </c>
      <c r="I59" s="7"/>
    </row>
    <row r="60" spans="1:9" x14ac:dyDescent="0.3">
      <c r="A60" s="97">
        <v>51</v>
      </c>
      <c r="B60" s="97">
        <v>2069</v>
      </c>
      <c r="C60" s="353">
        <v>0</v>
      </c>
      <c r="D60" s="353">
        <f t="shared" si="2"/>
        <v>1337.04</v>
      </c>
      <c r="E60" s="103" t="s">
        <v>127</v>
      </c>
      <c r="F60" s="103" t="s">
        <v>127</v>
      </c>
      <c r="G60" s="367">
        <v>4035.2034193368454</v>
      </c>
      <c r="H60" s="353">
        <f t="shared" si="0"/>
        <v>33840.60354275829</v>
      </c>
      <c r="I60" s="7"/>
    </row>
    <row r="61" spans="1:9" x14ac:dyDescent="0.3">
      <c r="A61" s="97">
        <v>52</v>
      </c>
      <c r="B61" s="97">
        <v>2070</v>
      </c>
      <c r="C61" s="353">
        <v>0</v>
      </c>
      <c r="D61" s="353">
        <f t="shared" si="2"/>
        <v>1337.04</v>
      </c>
      <c r="E61" s="103" t="s">
        <v>127</v>
      </c>
      <c r="F61" s="103" t="s">
        <v>127</v>
      </c>
      <c r="G61" s="367">
        <v>4035.2034193368454</v>
      </c>
      <c r="H61" s="353">
        <f t="shared" si="0"/>
        <v>33840.60354275829</v>
      </c>
      <c r="I61" s="7"/>
    </row>
    <row r="62" spans="1:9" x14ac:dyDescent="0.3">
      <c r="A62" s="97">
        <v>53</v>
      </c>
      <c r="B62" s="97">
        <v>2071</v>
      </c>
      <c r="C62" s="353">
        <v>0</v>
      </c>
      <c r="D62" s="353">
        <f t="shared" si="2"/>
        <v>1337.04</v>
      </c>
      <c r="E62" s="103" t="s">
        <v>127</v>
      </c>
      <c r="F62" s="103" t="s">
        <v>127</v>
      </c>
      <c r="G62" s="367">
        <v>4035.2034193368454</v>
      </c>
      <c r="H62" s="353">
        <f t="shared" si="0"/>
        <v>33840.60354275829</v>
      </c>
      <c r="I62" s="7"/>
    </row>
    <row r="63" spans="1:9" x14ac:dyDescent="0.3">
      <c r="A63" s="97">
        <v>54</v>
      </c>
      <c r="B63" s="97">
        <v>2072</v>
      </c>
      <c r="C63" s="353">
        <v>0</v>
      </c>
      <c r="D63" s="353">
        <f t="shared" si="2"/>
        <v>1337.04</v>
      </c>
      <c r="E63" s="103" t="s">
        <v>127</v>
      </c>
      <c r="F63" s="103" t="s">
        <v>127</v>
      </c>
      <c r="G63" s="367">
        <v>4035.2034193368454</v>
      </c>
      <c r="H63" s="353">
        <f t="shared" si="0"/>
        <v>33840.60354275829</v>
      </c>
      <c r="I63" s="7"/>
    </row>
    <row r="64" spans="1:9" x14ac:dyDescent="0.3">
      <c r="A64" s="97">
        <v>55</v>
      </c>
      <c r="B64" s="97">
        <v>2073</v>
      </c>
      <c r="C64" s="353">
        <v>0</v>
      </c>
      <c r="D64" s="353">
        <f t="shared" si="2"/>
        <v>1337.04</v>
      </c>
      <c r="E64" s="103" t="s">
        <v>127</v>
      </c>
      <c r="F64" s="103" t="s">
        <v>127</v>
      </c>
      <c r="G64" s="367">
        <v>4035.2034193368454</v>
      </c>
      <c r="H64" s="353">
        <f t="shared" si="0"/>
        <v>33840.60354275829</v>
      </c>
      <c r="I64" s="338"/>
    </row>
    <row r="65" spans="1:9" x14ac:dyDescent="0.3">
      <c r="A65" s="97">
        <v>56</v>
      </c>
      <c r="B65" s="97">
        <v>2074</v>
      </c>
      <c r="C65" s="353">
        <v>0</v>
      </c>
      <c r="D65" s="353">
        <f t="shared" si="2"/>
        <v>1337.04</v>
      </c>
      <c r="E65" s="103" t="s">
        <v>127</v>
      </c>
      <c r="F65" s="103" t="s">
        <v>127</v>
      </c>
      <c r="G65" s="367">
        <v>4035.2034193368454</v>
      </c>
      <c r="H65" s="353">
        <f t="shared" si="0"/>
        <v>33840.60354275829</v>
      </c>
      <c r="I65" s="338"/>
    </row>
    <row r="66" spans="1:9" x14ac:dyDescent="0.3">
      <c r="A66" s="97">
        <v>57</v>
      </c>
      <c r="B66" s="97">
        <v>2075</v>
      </c>
      <c r="C66" s="353">
        <v>0</v>
      </c>
      <c r="D66" s="353">
        <f t="shared" si="2"/>
        <v>1337.04</v>
      </c>
      <c r="E66" s="103" t="s">
        <v>127</v>
      </c>
      <c r="F66" s="103" t="s">
        <v>127</v>
      </c>
      <c r="G66" s="367">
        <v>4035.2034193368454</v>
      </c>
      <c r="H66" s="353">
        <f t="shared" si="0"/>
        <v>33840.60354275829</v>
      </c>
      <c r="I66" s="7"/>
    </row>
    <row r="67" spans="1:9" x14ac:dyDescent="0.3">
      <c r="A67" s="97">
        <v>58</v>
      </c>
      <c r="B67" s="97">
        <v>2076</v>
      </c>
      <c r="C67" s="353">
        <v>0</v>
      </c>
      <c r="D67" s="353">
        <f t="shared" si="2"/>
        <v>1337.04</v>
      </c>
      <c r="E67" s="103" t="s">
        <v>127</v>
      </c>
      <c r="F67" s="103" t="s">
        <v>127</v>
      </c>
      <c r="G67" s="367">
        <v>4035.2034193368454</v>
      </c>
      <c r="H67" s="353">
        <f t="shared" si="0"/>
        <v>33840.60354275829</v>
      </c>
      <c r="I67" s="7"/>
    </row>
    <row r="68" spans="1:9" x14ac:dyDescent="0.3">
      <c r="A68" s="97">
        <v>59</v>
      </c>
      <c r="B68" s="97">
        <v>2077</v>
      </c>
      <c r="C68" s="353">
        <v>0</v>
      </c>
      <c r="D68" s="353">
        <f t="shared" si="2"/>
        <v>1337.04</v>
      </c>
      <c r="E68" s="103" t="s">
        <v>127</v>
      </c>
      <c r="F68" s="103" t="s">
        <v>127</v>
      </c>
      <c r="G68" s="367">
        <v>4035.2034193368454</v>
      </c>
      <c r="H68" s="353">
        <f t="shared" si="0"/>
        <v>33840.60354275829</v>
      </c>
      <c r="I68" s="7"/>
    </row>
    <row r="69" spans="1:9" x14ac:dyDescent="0.3">
      <c r="A69" s="97">
        <v>60</v>
      </c>
      <c r="B69" s="97">
        <v>2078</v>
      </c>
      <c r="C69" s="353">
        <v>0</v>
      </c>
      <c r="D69" s="353">
        <f t="shared" si="2"/>
        <v>1337.04</v>
      </c>
      <c r="E69" s="103" t="s">
        <v>127</v>
      </c>
      <c r="F69" s="103" t="s">
        <v>127</v>
      </c>
      <c r="G69" s="367">
        <v>4035.2034193368454</v>
      </c>
      <c r="H69" s="353">
        <f t="shared" si="0"/>
        <v>33840.60354275829</v>
      </c>
      <c r="I69" s="7"/>
    </row>
    <row r="70" spans="1:9" x14ac:dyDescent="0.3">
      <c r="A70" s="97">
        <v>61</v>
      </c>
      <c r="B70" s="97">
        <v>2079</v>
      </c>
      <c r="C70" s="353">
        <v>0</v>
      </c>
      <c r="D70" s="353">
        <f t="shared" si="2"/>
        <v>1337.04</v>
      </c>
      <c r="E70" s="103" t="s">
        <v>127</v>
      </c>
      <c r="F70" s="103" t="s">
        <v>127</v>
      </c>
      <c r="G70" s="367">
        <v>4035.2034193368454</v>
      </c>
      <c r="H70" s="353">
        <f t="shared" si="0"/>
        <v>33840.60354275829</v>
      </c>
      <c r="I70" s="7"/>
    </row>
    <row r="71" spans="1:9" x14ac:dyDescent="0.3">
      <c r="A71" s="97">
        <v>62</v>
      </c>
      <c r="B71" s="97">
        <v>2080</v>
      </c>
      <c r="C71" s="353">
        <v>0</v>
      </c>
      <c r="D71" s="353">
        <f t="shared" si="2"/>
        <v>1337.04</v>
      </c>
      <c r="E71" s="103" t="s">
        <v>127</v>
      </c>
      <c r="F71" s="103" t="s">
        <v>127</v>
      </c>
      <c r="G71" s="367">
        <v>4035.2034193368454</v>
      </c>
      <c r="H71" s="353">
        <f t="shared" si="0"/>
        <v>33840.60354275829</v>
      </c>
      <c r="I71" s="7"/>
    </row>
    <row r="72" spans="1:9" x14ac:dyDescent="0.3">
      <c r="A72" s="97">
        <v>63</v>
      </c>
      <c r="B72" s="97">
        <v>2081</v>
      </c>
      <c r="C72" s="353">
        <v>0</v>
      </c>
      <c r="D72" s="353">
        <f t="shared" si="2"/>
        <v>1337.04</v>
      </c>
      <c r="E72" s="103" t="s">
        <v>127</v>
      </c>
      <c r="F72" s="103" t="s">
        <v>127</v>
      </c>
      <c r="G72" s="367">
        <v>4035.2034193368454</v>
      </c>
      <c r="H72" s="353">
        <f t="shared" si="0"/>
        <v>33840.60354275829</v>
      </c>
      <c r="I72" s="7"/>
    </row>
    <row r="73" spans="1:9" x14ac:dyDescent="0.3">
      <c r="A73" s="97">
        <v>64</v>
      </c>
      <c r="B73" s="97">
        <v>2082</v>
      </c>
      <c r="C73" s="353">
        <v>0</v>
      </c>
      <c r="D73" s="353">
        <f t="shared" si="2"/>
        <v>1337.04</v>
      </c>
      <c r="E73" s="103" t="s">
        <v>127</v>
      </c>
      <c r="F73" s="103" t="s">
        <v>127</v>
      </c>
      <c r="G73" s="367">
        <v>4035.2034193368454</v>
      </c>
      <c r="H73" s="353">
        <f t="shared" si="0"/>
        <v>33840.60354275829</v>
      </c>
      <c r="I73" s="7"/>
    </row>
    <row r="74" spans="1:9" x14ac:dyDescent="0.3">
      <c r="A74" s="97">
        <v>65</v>
      </c>
      <c r="B74" s="97">
        <v>2083</v>
      </c>
      <c r="C74" s="353">
        <v>0</v>
      </c>
      <c r="D74" s="353">
        <f t="shared" si="2"/>
        <v>1337.04</v>
      </c>
      <c r="E74" s="103" t="s">
        <v>127</v>
      </c>
      <c r="F74" s="103" t="s">
        <v>127</v>
      </c>
      <c r="G74" s="367">
        <v>4035.2034193368454</v>
      </c>
      <c r="H74" s="353">
        <f t="shared" si="0"/>
        <v>33840.60354275829</v>
      </c>
      <c r="I74" s="7"/>
    </row>
    <row r="75" spans="1:9" x14ac:dyDescent="0.3">
      <c r="A75" s="97">
        <v>66</v>
      </c>
      <c r="B75" s="97">
        <v>2084</v>
      </c>
      <c r="C75" s="353">
        <v>0</v>
      </c>
      <c r="D75" s="353">
        <f t="shared" si="2"/>
        <v>1337.04</v>
      </c>
      <c r="E75" s="103" t="s">
        <v>127</v>
      </c>
      <c r="F75" s="103" t="s">
        <v>127</v>
      </c>
      <c r="G75" s="367">
        <v>4035.2034193368454</v>
      </c>
      <c r="H75" s="353">
        <f t="shared" ref="H75:H108" si="3">+(G75*$H$5)+D75+C75</f>
        <v>33840.60354275829</v>
      </c>
      <c r="I75" s="7"/>
    </row>
    <row r="76" spans="1:9" x14ac:dyDescent="0.3">
      <c r="A76" s="97">
        <v>67</v>
      </c>
      <c r="B76" s="97">
        <v>2085</v>
      </c>
      <c r="C76" s="353">
        <v>0</v>
      </c>
      <c r="D76" s="353">
        <f t="shared" si="2"/>
        <v>1337.04</v>
      </c>
      <c r="E76" s="103" t="s">
        <v>127</v>
      </c>
      <c r="F76" s="103" t="s">
        <v>127</v>
      </c>
      <c r="G76" s="367">
        <v>4035.2034193368454</v>
      </c>
      <c r="H76" s="353">
        <f t="shared" si="3"/>
        <v>33840.60354275829</v>
      </c>
      <c r="I76" s="7"/>
    </row>
    <row r="77" spans="1:9" x14ac:dyDescent="0.3">
      <c r="A77" s="97">
        <v>68</v>
      </c>
      <c r="B77" s="97">
        <v>2086</v>
      </c>
      <c r="C77" s="353">
        <v>0</v>
      </c>
      <c r="D77" s="353">
        <f t="shared" si="2"/>
        <v>1337.04</v>
      </c>
      <c r="E77" s="103" t="s">
        <v>127</v>
      </c>
      <c r="F77" s="103" t="s">
        <v>127</v>
      </c>
      <c r="G77" s="367">
        <v>4035.2034193368454</v>
      </c>
      <c r="H77" s="353">
        <f t="shared" si="3"/>
        <v>33840.60354275829</v>
      </c>
      <c r="I77" s="7"/>
    </row>
    <row r="78" spans="1:9" x14ac:dyDescent="0.3">
      <c r="A78" s="97">
        <v>69</v>
      </c>
      <c r="B78" s="97">
        <v>2087</v>
      </c>
      <c r="C78" s="353">
        <v>0</v>
      </c>
      <c r="D78" s="353">
        <f t="shared" si="2"/>
        <v>1337.04</v>
      </c>
      <c r="E78" s="103" t="s">
        <v>127</v>
      </c>
      <c r="F78" s="103" t="s">
        <v>127</v>
      </c>
      <c r="G78" s="367">
        <v>4035.2034193368454</v>
      </c>
      <c r="H78" s="353">
        <f t="shared" si="3"/>
        <v>33840.60354275829</v>
      </c>
      <c r="I78" s="7"/>
    </row>
    <row r="79" spans="1:9" x14ac:dyDescent="0.3">
      <c r="A79" s="97">
        <v>70</v>
      </c>
      <c r="B79" s="97">
        <v>2088</v>
      </c>
      <c r="C79" s="353">
        <v>0</v>
      </c>
      <c r="D79" s="353">
        <f t="shared" si="2"/>
        <v>1337.04</v>
      </c>
      <c r="E79" s="103" t="s">
        <v>127</v>
      </c>
      <c r="F79" s="103" t="s">
        <v>127</v>
      </c>
      <c r="G79" s="367">
        <v>4035.2034193368454</v>
      </c>
      <c r="H79" s="353">
        <f t="shared" si="3"/>
        <v>33840.60354275829</v>
      </c>
      <c r="I79" s="7"/>
    </row>
    <row r="80" spans="1:9" x14ac:dyDescent="0.3">
      <c r="A80" s="97">
        <v>71</v>
      </c>
      <c r="B80" s="97">
        <v>2089</v>
      </c>
      <c r="C80" s="353">
        <v>0</v>
      </c>
      <c r="D80" s="353">
        <f t="shared" ref="D80:D109" si="4">$H$3*$H$4</f>
        <v>1337.04</v>
      </c>
      <c r="E80" s="103" t="s">
        <v>127</v>
      </c>
      <c r="F80" s="103" t="s">
        <v>127</v>
      </c>
      <c r="G80" s="367">
        <v>4035.2034193368454</v>
      </c>
      <c r="H80" s="353">
        <f t="shared" si="3"/>
        <v>33840.60354275829</v>
      </c>
      <c r="I80" s="7"/>
    </row>
    <row r="81" spans="1:9" x14ac:dyDescent="0.3">
      <c r="A81" s="97">
        <v>72</v>
      </c>
      <c r="B81" s="97">
        <v>2090</v>
      </c>
      <c r="C81" s="353">
        <v>0</v>
      </c>
      <c r="D81" s="353">
        <f t="shared" si="4"/>
        <v>1337.04</v>
      </c>
      <c r="E81" s="103" t="s">
        <v>127</v>
      </c>
      <c r="F81" s="103" t="s">
        <v>127</v>
      </c>
      <c r="G81" s="367">
        <v>4035.2034193368454</v>
      </c>
      <c r="H81" s="353">
        <f t="shared" si="3"/>
        <v>33840.60354275829</v>
      </c>
      <c r="I81" s="7"/>
    </row>
    <row r="82" spans="1:9" x14ac:dyDescent="0.3">
      <c r="A82" s="97">
        <v>73</v>
      </c>
      <c r="B82" s="97">
        <v>2091</v>
      </c>
      <c r="C82" s="353">
        <v>0</v>
      </c>
      <c r="D82" s="353">
        <f t="shared" si="4"/>
        <v>1337.04</v>
      </c>
      <c r="E82" s="103" t="s">
        <v>127</v>
      </c>
      <c r="F82" s="103" t="s">
        <v>127</v>
      </c>
      <c r="G82" s="367">
        <v>4035.2034193368454</v>
      </c>
      <c r="H82" s="353">
        <f t="shared" si="3"/>
        <v>33840.60354275829</v>
      </c>
      <c r="I82" s="7"/>
    </row>
    <row r="83" spans="1:9" x14ac:dyDescent="0.3">
      <c r="A83" s="97">
        <v>74</v>
      </c>
      <c r="B83" s="97">
        <v>2092</v>
      </c>
      <c r="C83" s="353">
        <v>0</v>
      </c>
      <c r="D83" s="353">
        <f t="shared" si="4"/>
        <v>1337.04</v>
      </c>
      <c r="E83" s="103" t="s">
        <v>127</v>
      </c>
      <c r="F83" s="103" t="s">
        <v>127</v>
      </c>
      <c r="G83" s="367">
        <v>4035.2034193368454</v>
      </c>
      <c r="H83" s="353">
        <f t="shared" si="3"/>
        <v>33840.60354275829</v>
      </c>
      <c r="I83" s="7"/>
    </row>
    <row r="84" spans="1:9" x14ac:dyDescent="0.3">
      <c r="A84" s="97">
        <v>75</v>
      </c>
      <c r="B84" s="97">
        <v>2093</v>
      </c>
      <c r="C84" s="353">
        <v>0</v>
      </c>
      <c r="D84" s="353">
        <f t="shared" si="4"/>
        <v>1337.04</v>
      </c>
      <c r="E84" s="103" t="s">
        <v>127</v>
      </c>
      <c r="F84" s="103" t="s">
        <v>127</v>
      </c>
      <c r="G84" s="367">
        <v>4035.2034193368454</v>
      </c>
      <c r="H84" s="353">
        <f t="shared" si="3"/>
        <v>33840.60354275829</v>
      </c>
      <c r="I84" s="7"/>
    </row>
    <row r="85" spans="1:9" x14ac:dyDescent="0.3">
      <c r="A85" s="97">
        <v>76</v>
      </c>
      <c r="B85" s="97">
        <v>2094</v>
      </c>
      <c r="C85" s="353">
        <v>0</v>
      </c>
      <c r="D85" s="353">
        <f t="shared" si="4"/>
        <v>1337.04</v>
      </c>
      <c r="E85" s="103" t="s">
        <v>127</v>
      </c>
      <c r="F85" s="103" t="s">
        <v>127</v>
      </c>
      <c r="G85" s="367">
        <v>4035.2034193368454</v>
      </c>
      <c r="H85" s="353">
        <f t="shared" si="3"/>
        <v>33840.60354275829</v>
      </c>
      <c r="I85" s="7"/>
    </row>
    <row r="86" spans="1:9" x14ac:dyDescent="0.3">
      <c r="A86" s="97">
        <v>77</v>
      </c>
      <c r="B86" s="97">
        <v>2095</v>
      </c>
      <c r="C86" s="353">
        <v>0</v>
      </c>
      <c r="D86" s="353">
        <f t="shared" si="4"/>
        <v>1337.04</v>
      </c>
      <c r="E86" s="103" t="s">
        <v>127</v>
      </c>
      <c r="F86" s="103" t="s">
        <v>127</v>
      </c>
      <c r="G86" s="367">
        <v>4035.2034193368454</v>
      </c>
      <c r="H86" s="353">
        <f t="shared" si="3"/>
        <v>33840.60354275829</v>
      </c>
      <c r="I86" s="7"/>
    </row>
    <row r="87" spans="1:9" x14ac:dyDescent="0.3">
      <c r="A87" s="97">
        <v>78</v>
      </c>
      <c r="B87" s="97">
        <v>2096</v>
      </c>
      <c r="C87" s="353">
        <v>0</v>
      </c>
      <c r="D87" s="353">
        <f t="shared" si="4"/>
        <v>1337.04</v>
      </c>
      <c r="E87" s="103" t="s">
        <v>127</v>
      </c>
      <c r="F87" s="103" t="s">
        <v>127</v>
      </c>
      <c r="G87" s="367">
        <v>4035.2034193368454</v>
      </c>
      <c r="H87" s="353">
        <f t="shared" si="3"/>
        <v>33840.60354275829</v>
      </c>
      <c r="I87" s="7"/>
    </row>
    <row r="88" spans="1:9" x14ac:dyDescent="0.3">
      <c r="A88" s="97">
        <v>79</v>
      </c>
      <c r="B88" s="97">
        <v>2097</v>
      </c>
      <c r="C88" s="353">
        <v>0</v>
      </c>
      <c r="D88" s="353">
        <f t="shared" si="4"/>
        <v>1337.04</v>
      </c>
      <c r="E88" s="103" t="s">
        <v>127</v>
      </c>
      <c r="F88" s="103" t="s">
        <v>127</v>
      </c>
      <c r="G88" s="367">
        <v>4035.2034193368454</v>
      </c>
      <c r="H88" s="353">
        <f t="shared" si="3"/>
        <v>33840.60354275829</v>
      </c>
      <c r="I88" s="7"/>
    </row>
    <row r="89" spans="1:9" x14ac:dyDescent="0.3">
      <c r="A89" s="97">
        <v>80</v>
      </c>
      <c r="B89" s="97">
        <v>2098</v>
      </c>
      <c r="C89" s="353">
        <v>0</v>
      </c>
      <c r="D89" s="353">
        <f t="shared" si="4"/>
        <v>1337.04</v>
      </c>
      <c r="E89" s="103" t="s">
        <v>127</v>
      </c>
      <c r="F89" s="103" t="s">
        <v>127</v>
      </c>
      <c r="G89" s="367">
        <v>4035.2034193368454</v>
      </c>
      <c r="H89" s="353">
        <f t="shared" si="3"/>
        <v>33840.60354275829</v>
      </c>
      <c r="I89" s="7"/>
    </row>
    <row r="90" spans="1:9" x14ac:dyDescent="0.3">
      <c r="A90" s="97">
        <v>81</v>
      </c>
      <c r="B90" s="97">
        <v>2099</v>
      </c>
      <c r="C90" s="353">
        <v>0</v>
      </c>
      <c r="D90" s="353">
        <f t="shared" si="4"/>
        <v>1337.04</v>
      </c>
      <c r="E90" s="103" t="s">
        <v>127</v>
      </c>
      <c r="F90" s="103" t="s">
        <v>127</v>
      </c>
      <c r="G90" s="367">
        <v>4035.2034193368454</v>
      </c>
      <c r="H90" s="353">
        <f t="shared" si="3"/>
        <v>33840.60354275829</v>
      </c>
      <c r="I90" s="7"/>
    </row>
    <row r="91" spans="1:9" x14ac:dyDescent="0.3">
      <c r="A91" s="97">
        <v>82</v>
      </c>
      <c r="B91" s="97">
        <v>2100</v>
      </c>
      <c r="C91" s="353">
        <v>0</v>
      </c>
      <c r="D91" s="353">
        <f t="shared" si="4"/>
        <v>1337.04</v>
      </c>
      <c r="E91" s="103" t="s">
        <v>127</v>
      </c>
      <c r="F91" s="103" t="s">
        <v>127</v>
      </c>
      <c r="G91" s="367">
        <v>4035.2034193368454</v>
      </c>
      <c r="H91" s="353">
        <f t="shared" si="3"/>
        <v>33840.60354275829</v>
      </c>
      <c r="I91" s="7"/>
    </row>
    <row r="92" spans="1:9" x14ac:dyDescent="0.3">
      <c r="A92" s="97">
        <v>83</v>
      </c>
      <c r="B92" s="97">
        <v>2101</v>
      </c>
      <c r="C92" s="353">
        <v>0</v>
      </c>
      <c r="D92" s="353">
        <f t="shared" si="4"/>
        <v>1337.04</v>
      </c>
      <c r="E92" s="103" t="s">
        <v>127</v>
      </c>
      <c r="F92" s="103" t="s">
        <v>127</v>
      </c>
      <c r="G92" s="367">
        <v>4035.2034193368454</v>
      </c>
      <c r="H92" s="353">
        <f t="shared" si="3"/>
        <v>33840.60354275829</v>
      </c>
      <c r="I92" s="7"/>
    </row>
    <row r="93" spans="1:9" x14ac:dyDescent="0.3">
      <c r="A93" s="97">
        <v>84</v>
      </c>
      <c r="B93" s="97">
        <v>2102</v>
      </c>
      <c r="C93" s="353">
        <v>0</v>
      </c>
      <c r="D93" s="353">
        <f t="shared" si="4"/>
        <v>1337.04</v>
      </c>
      <c r="E93" s="103" t="s">
        <v>127</v>
      </c>
      <c r="F93" s="103" t="s">
        <v>127</v>
      </c>
      <c r="G93" s="367">
        <v>4035.2034193368454</v>
      </c>
      <c r="H93" s="353">
        <f t="shared" si="3"/>
        <v>33840.60354275829</v>
      </c>
      <c r="I93" s="7"/>
    </row>
    <row r="94" spans="1:9" x14ac:dyDescent="0.3">
      <c r="A94" s="97">
        <v>85</v>
      </c>
      <c r="B94" s="97">
        <v>2103</v>
      </c>
      <c r="C94" s="353">
        <v>0</v>
      </c>
      <c r="D94" s="353">
        <f t="shared" si="4"/>
        <v>1337.04</v>
      </c>
      <c r="E94" s="103" t="s">
        <v>127</v>
      </c>
      <c r="F94" s="103" t="s">
        <v>127</v>
      </c>
      <c r="G94" s="367">
        <v>4035.2034193368454</v>
      </c>
      <c r="H94" s="353">
        <f t="shared" si="3"/>
        <v>33840.60354275829</v>
      </c>
      <c r="I94" s="7"/>
    </row>
    <row r="95" spans="1:9" x14ac:dyDescent="0.3">
      <c r="A95" s="97">
        <v>86</v>
      </c>
      <c r="B95" s="97">
        <v>2104</v>
      </c>
      <c r="C95" s="353">
        <v>0</v>
      </c>
      <c r="D95" s="353">
        <f t="shared" si="4"/>
        <v>1337.04</v>
      </c>
      <c r="E95" s="103" t="s">
        <v>127</v>
      </c>
      <c r="F95" s="103" t="s">
        <v>127</v>
      </c>
      <c r="G95" s="367">
        <v>4035.2034193368454</v>
      </c>
      <c r="H95" s="353">
        <f t="shared" si="3"/>
        <v>33840.60354275829</v>
      </c>
      <c r="I95" s="7"/>
    </row>
    <row r="96" spans="1:9" x14ac:dyDescent="0.3">
      <c r="A96" s="97">
        <v>87</v>
      </c>
      <c r="B96" s="97">
        <v>2105</v>
      </c>
      <c r="C96" s="353">
        <v>0</v>
      </c>
      <c r="D96" s="353">
        <f t="shared" si="4"/>
        <v>1337.04</v>
      </c>
      <c r="E96" s="103" t="s">
        <v>127</v>
      </c>
      <c r="F96" s="103" t="s">
        <v>127</v>
      </c>
      <c r="G96" s="367">
        <v>4035.2034193368454</v>
      </c>
      <c r="H96" s="353">
        <f t="shared" si="3"/>
        <v>33840.60354275829</v>
      </c>
      <c r="I96" s="7"/>
    </row>
    <row r="97" spans="1:9" x14ac:dyDescent="0.3">
      <c r="A97" s="97">
        <v>88</v>
      </c>
      <c r="B97" s="97">
        <v>2106</v>
      </c>
      <c r="C97" s="353">
        <v>0</v>
      </c>
      <c r="D97" s="353">
        <f t="shared" si="4"/>
        <v>1337.04</v>
      </c>
      <c r="E97" s="103" t="s">
        <v>127</v>
      </c>
      <c r="F97" s="103" t="s">
        <v>127</v>
      </c>
      <c r="G97" s="367">
        <v>4035.2034193368454</v>
      </c>
      <c r="H97" s="353">
        <f t="shared" si="3"/>
        <v>33840.60354275829</v>
      </c>
      <c r="I97" s="7"/>
    </row>
    <row r="98" spans="1:9" x14ac:dyDescent="0.3">
      <c r="A98" s="97">
        <v>89</v>
      </c>
      <c r="B98" s="97">
        <v>2107</v>
      </c>
      <c r="C98" s="353">
        <v>0</v>
      </c>
      <c r="D98" s="353">
        <f t="shared" si="4"/>
        <v>1337.04</v>
      </c>
      <c r="E98" s="103" t="s">
        <v>127</v>
      </c>
      <c r="F98" s="103" t="s">
        <v>127</v>
      </c>
      <c r="G98" s="367">
        <v>4035.2034193368454</v>
      </c>
      <c r="H98" s="353">
        <f t="shared" si="3"/>
        <v>33840.60354275829</v>
      </c>
      <c r="I98" s="7"/>
    </row>
    <row r="99" spans="1:9" x14ac:dyDescent="0.3">
      <c r="A99" s="97">
        <v>90</v>
      </c>
      <c r="B99" s="97">
        <v>2108</v>
      </c>
      <c r="C99" s="353">
        <v>0</v>
      </c>
      <c r="D99" s="353">
        <f t="shared" si="4"/>
        <v>1337.04</v>
      </c>
      <c r="E99" s="103" t="s">
        <v>127</v>
      </c>
      <c r="F99" s="103" t="s">
        <v>127</v>
      </c>
      <c r="G99" s="367">
        <v>4035.2034193368454</v>
      </c>
      <c r="H99" s="353">
        <f t="shared" si="3"/>
        <v>33840.60354275829</v>
      </c>
      <c r="I99" s="7"/>
    </row>
    <row r="100" spans="1:9" x14ac:dyDescent="0.3">
      <c r="A100" s="97">
        <v>91</v>
      </c>
      <c r="B100" s="97">
        <v>2109</v>
      </c>
      <c r="C100" s="353">
        <v>0</v>
      </c>
      <c r="D100" s="353">
        <f t="shared" si="4"/>
        <v>1337.04</v>
      </c>
      <c r="E100" s="103" t="s">
        <v>127</v>
      </c>
      <c r="F100" s="103" t="s">
        <v>127</v>
      </c>
      <c r="G100" s="367">
        <v>4035.2034193368454</v>
      </c>
      <c r="H100" s="353">
        <f t="shared" si="3"/>
        <v>33840.60354275829</v>
      </c>
      <c r="I100" s="7"/>
    </row>
    <row r="101" spans="1:9" x14ac:dyDescent="0.3">
      <c r="A101" s="97">
        <v>92</v>
      </c>
      <c r="B101" s="97">
        <v>2110</v>
      </c>
      <c r="C101" s="353">
        <v>0</v>
      </c>
      <c r="D101" s="353">
        <f t="shared" si="4"/>
        <v>1337.04</v>
      </c>
      <c r="E101" s="103" t="s">
        <v>127</v>
      </c>
      <c r="F101" s="103" t="s">
        <v>127</v>
      </c>
      <c r="G101" s="367">
        <v>4035.2034193368454</v>
      </c>
      <c r="H101" s="353">
        <f t="shared" si="3"/>
        <v>33840.60354275829</v>
      </c>
      <c r="I101" s="7"/>
    </row>
    <row r="102" spans="1:9" x14ac:dyDescent="0.3">
      <c r="A102" s="97">
        <v>93</v>
      </c>
      <c r="B102" s="97">
        <v>2111</v>
      </c>
      <c r="C102" s="353">
        <v>0</v>
      </c>
      <c r="D102" s="353">
        <f t="shared" si="4"/>
        <v>1337.04</v>
      </c>
      <c r="E102" s="103" t="s">
        <v>127</v>
      </c>
      <c r="F102" s="103" t="s">
        <v>127</v>
      </c>
      <c r="G102" s="367">
        <v>4035.2034193368454</v>
      </c>
      <c r="H102" s="353">
        <f t="shared" si="3"/>
        <v>33840.60354275829</v>
      </c>
      <c r="I102" s="7"/>
    </row>
    <row r="103" spans="1:9" x14ac:dyDescent="0.3">
      <c r="A103" s="97">
        <v>94</v>
      </c>
      <c r="B103" s="97">
        <v>2112</v>
      </c>
      <c r="C103" s="353">
        <v>0</v>
      </c>
      <c r="D103" s="353">
        <f t="shared" si="4"/>
        <v>1337.04</v>
      </c>
      <c r="E103" s="103" t="s">
        <v>127</v>
      </c>
      <c r="F103" s="103" t="s">
        <v>127</v>
      </c>
      <c r="G103" s="367">
        <v>4035.2034193368454</v>
      </c>
      <c r="H103" s="353">
        <f t="shared" si="3"/>
        <v>33840.60354275829</v>
      </c>
      <c r="I103" s="7"/>
    </row>
    <row r="104" spans="1:9" x14ac:dyDescent="0.3">
      <c r="A104" s="97">
        <v>95</v>
      </c>
      <c r="B104" s="97">
        <v>2113</v>
      </c>
      <c r="C104" s="353">
        <v>0</v>
      </c>
      <c r="D104" s="353">
        <f t="shared" si="4"/>
        <v>1337.04</v>
      </c>
      <c r="E104" s="103" t="s">
        <v>127</v>
      </c>
      <c r="F104" s="103" t="s">
        <v>127</v>
      </c>
      <c r="G104" s="367">
        <v>4035.2034193368454</v>
      </c>
      <c r="H104" s="353">
        <f t="shared" si="3"/>
        <v>33840.60354275829</v>
      </c>
      <c r="I104" s="7"/>
    </row>
    <row r="105" spans="1:9" x14ac:dyDescent="0.3">
      <c r="A105" s="97">
        <v>96</v>
      </c>
      <c r="B105" s="97">
        <v>2114</v>
      </c>
      <c r="C105" s="353">
        <v>0</v>
      </c>
      <c r="D105" s="353">
        <f t="shared" si="4"/>
        <v>1337.04</v>
      </c>
      <c r="E105" s="103" t="s">
        <v>127</v>
      </c>
      <c r="F105" s="103" t="s">
        <v>127</v>
      </c>
      <c r="G105" s="367">
        <v>4035.2034193368454</v>
      </c>
      <c r="H105" s="353">
        <f t="shared" si="3"/>
        <v>33840.60354275829</v>
      </c>
      <c r="I105" s="7"/>
    </row>
    <row r="106" spans="1:9" x14ac:dyDescent="0.3">
      <c r="A106" s="97">
        <v>97</v>
      </c>
      <c r="B106" s="97">
        <v>2115</v>
      </c>
      <c r="C106" s="353">
        <v>0</v>
      </c>
      <c r="D106" s="353">
        <f t="shared" si="4"/>
        <v>1337.04</v>
      </c>
      <c r="E106" s="103" t="s">
        <v>127</v>
      </c>
      <c r="F106" s="103" t="s">
        <v>127</v>
      </c>
      <c r="G106" s="367">
        <v>4035.2034193368454</v>
      </c>
      <c r="H106" s="353">
        <f t="shared" si="3"/>
        <v>33840.60354275829</v>
      </c>
      <c r="I106" s="7"/>
    </row>
    <row r="107" spans="1:9" x14ac:dyDescent="0.3">
      <c r="A107" s="97">
        <v>98</v>
      </c>
      <c r="B107" s="97">
        <v>2116</v>
      </c>
      <c r="C107" s="353">
        <v>0</v>
      </c>
      <c r="D107" s="353">
        <f t="shared" si="4"/>
        <v>1337.04</v>
      </c>
      <c r="E107" s="103" t="s">
        <v>127</v>
      </c>
      <c r="F107" s="103" t="s">
        <v>127</v>
      </c>
      <c r="G107" s="367">
        <v>4035.2034193368454</v>
      </c>
      <c r="H107" s="353">
        <f t="shared" si="3"/>
        <v>33840.60354275829</v>
      </c>
      <c r="I107" s="7"/>
    </row>
    <row r="108" spans="1:9" x14ac:dyDescent="0.3">
      <c r="A108" s="97">
        <v>99</v>
      </c>
      <c r="B108" s="97">
        <v>2117</v>
      </c>
      <c r="C108" s="353">
        <v>0</v>
      </c>
      <c r="D108" s="353">
        <f t="shared" si="4"/>
        <v>1337.04</v>
      </c>
      <c r="E108" s="103" t="s">
        <v>127</v>
      </c>
      <c r="F108" s="103" t="s">
        <v>127</v>
      </c>
      <c r="G108" s="367">
        <v>4035.2034193368454</v>
      </c>
      <c r="H108" s="353">
        <f t="shared" si="3"/>
        <v>33840.60354275829</v>
      </c>
      <c r="I108" s="7"/>
    </row>
    <row r="109" spans="1:9" x14ac:dyDescent="0.3">
      <c r="A109" s="97">
        <v>100</v>
      </c>
      <c r="B109" s="97">
        <v>2118</v>
      </c>
      <c r="C109" s="353">
        <v>0</v>
      </c>
      <c r="D109" s="353">
        <f t="shared" si="4"/>
        <v>1337.04</v>
      </c>
      <c r="E109" s="103" t="s">
        <v>127</v>
      </c>
      <c r="F109" s="103" t="s">
        <v>127</v>
      </c>
      <c r="G109" s="367">
        <v>4035.2034193368454</v>
      </c>
      <c r="H109" s="353">
        <f>+(G109*$H$5)+D109+C109</f>
        <v>33840.60354275829</v>
      </c>
      <c r="I109" s="338"/>
    </row>
    <row r="110" spans="1:9" x14ac:dyDescent="0.3">
      <c r="A110" s="545" t="s">
        <v>57</v>
      </c>
      <c r="B110" s="545"/>
      <c r="C110" s="356">
        <f t="shared" ref="C110:G110" si="5">SUM(C9:C109)</f>
        <v>534816</v>
      </c>
      <c r="D110" s="356">
        <f t="shared" si="5"/>
        <v>125681.75999999975</v>
      </c>
      <c r="E110" s="352">
        <f t="shared" si="5"/>
        <v>0</v>
      </c>
      <c r="F110" s="352">
        <f t="shared" si="5"/>
        <v>0</v>
      </c>
      <c r="G110" s="361">
        <f t="shared" si="5"/>
        <v>740505.53074367461</v>
      </c>
      <c r="H110" s="356">
        <f>SUM(H9:H109)</f>
        <v>6625269.810140308</v>
      </c>
      <c r="I110" s="338"/>
    </row>
    <row r="111" spans="1:9" x14ac:dyDescent="0.3">
      <c r="A111" s="94" t="s">
        <v>69</v>
      </c>
    </row>
    <row r="112" spans="1:9" ht="44.25" customHeight="1" x14ac:dyDescent="0.3">
      <c r="A112" s="556" t="s">
        <v>138</v>
      </c>
      <c r="B112" s="556"/>
      <c r="C112" s="556"/>
      <c r="D112" s="556"/>
      <c r="E112" s="556"/>
      <c r="F112" s="556"/>
      <c r="G112" s="556"/>
      <c r="H112" s="556"/>
    </row>
    <row r="113" spans="1:11" x14ac:dyDescent="0.3">
      <c r="A113" s="556" t="s">
        <v>139</v>
      </c>
      <c r="B113" s="556"/>
      <c r="C113" s="556"/>
      <c r="D113" s="556"/>
      <c r="E113" s="556"/>
      <c r="F113" s="556"/>
      <c r="G113" s="556"/>
      <c r="H113" s="556"/>
      <c r="J113" s="467"/>
      <c r="K113" s="467"/>
    </row>
    <row r="114" spans="1:11" x14ac:dyDescent="0.3">
      <c r="A114" s="556" t="s">
        <v>140</v>
      </c>
      <c r="B114" s="556"/>
      <c r="C114" s="556"/>
      <c r="D114" s="556"/>
      <c r="E114" s="556"/>
      <c r="F114" s="556"/>
      <c r="G114" s="556"/>
      <c r="H114" s="556"/>
      <c r="J114" s="467"/>
      <c r="K114" s="467"/>
    </row>
    <row r="115" spans="1:11" x14ac:dyDescent="0.3">
      <c r="A115" s="95" t="s">
        <v>85</v>
      </c>
      <c r="I115" s="94"/>
      <c r="J115" s="93"/>
      <c r="K115" s="467"/>
    </row>
    <row r="116" spans="1:11" x14ac:dyDescent="0.3">
      <c r="A116" s="94" t="s">
        <v>86</v>
      </c>
      <c r="J116" s="467"/>
      <c r="K116" s="467"/>
    </row>
    <row r="121" spans="1:11" hidden="1" x14ac:dyDescent="0.3">
      <c r="D121" s="371">
        <v>80520</v>
      </c>
      <c r="J121" s="467"/>
      <c r="K121" s="467"/>
    </row>
  </sheetData>
  <mergeCells count="9">
    <mergeCell ref="A114:H114"/>
    <mergeCell ref="A113:H113"/>
    <mergeCell ref="A112:H112"/>
    <mergeCell ref="G2:H2"/>
    <mergeCell ref="A110:B110"/>
    <mergeCell ref="A4:B4"/>
    <mergeCell ref="A5:B5"/>
    <mergeCell ref="A6:B6"/>
    <mergeCell ref="A7:B7"/>
  </mergeCells>
  <pageMargins left="0.7" right="0.7" top="0.75" bottom="0.75" header="0.3" footer="0.3"/>
  <pageSetup scale="64"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F07D-5DD4-4979-81ED-51AE8EE91806}">
  <sheetPr>
    <tabColor theme="7"/>
    <pageSetUpPr fitToPage="1"/>
  </sheetPr>
  <dimension ref="A1:M121"/>
  <sheetViews>
    <sheetView view="pageBreakPreview" zoomScaleNormal="100" zoomScaleSheetLayoutView="100" workbookViewId="0">
      <pane xSplit="2" ySplit="9" topLeftCell="C95" activePane="bottomRight" state="frozen"/>
      <selection pane="topRight" activeCell="G32" sqref="G32"/>
      <selection pane="bottomLeft" activeCell="G32" sqref="G32"/>
      <selection pane="bottomRight" activeCell="A114" sqref="A114:K114"/>
    </sheetView>
  </sheetViews>
  <sheetFormatPr defaultColWidth="9.1796875" defaultRowHeight="14" x14ac:dyDescent="0.3"/>
  <cols>
    <col min="1" max="1" width="10.1796875" style="94" customWidth="1"/>
    <col min="2" max="2" width="9.1796875" style="94"/>
    <col min="3" max="3" width="12.26953125" style="94" bestFit="1" customWidth="1"/>
    <col min="4" max="7" width="18.453125" style="94" customWidth="1"/>
    <col min="8" max="8" width="17.1796875" style="98" customWidth="1"/>
    <col min="9" max="9" width="17" style="94" customWidth="1"/>
    <col min="10" max="10" width="16.1796875" style="94" customWidth="1"/>
    <col min="11" max="11" width="15.453125" style="94" customWidth="1"/>
    <col min="12" max="12" width="13.1796875" style="93" customWidth="1"/>
    <col min="13" max="16384" width="9.1796875" style="72"/>
  </cols>
  <sheetData>
    <row r="1" spans="1:13" x14ac:dyDescent="0.3">
      <c r="A1" s="7"/>
      <c r="B1" s="7"/>
      <c r="C1" s="7"/>
      <c r="M1" s="467"/>
    </row>
    <row r="2" spans="1:13" x14ac:dyDescent="0.3">
      <c r="A2" s="7"/>
      <c r="B2" s="7"/>
      <c r="C2" s="7"/>
      <c r="J2" s="544" t="s">
        <v>11</v>
      </c>
      <c r="K2" s="544"/>
      <c r="M2" s="467"/>
    </row>
    <row r="3" spans="1:13" ht="20.25" customHeight="1" x14ac:dyDescent="0.35">
      <c r="A3" s="3"/>
      <c r="B3" s="3"/>
      <c r="C3" s="3"/>
      <c r="E3" s="94" t="s">
        <v>0</v>
      </c>
      <c r="F3" s="286" t="s">
        <v>0</v>
      </c>
      <c r="I3" s="463"/>
      <c r="J3" s="432" t="s">
        <v>141</v>
      </c>
      <c r="K3" s="433">
        <f>3605500+575520+14556.48</f>
        <v>4195576.4800000004</v>
      </c>
      <c r="M3" s="467"/>
    </row>
    <row r="4" spans="1:13" x14ac:dyDescent="0.3">
      <c r="A4" s="547" t="s">
        <v>1</v>
      </c>
      <c r="B4" s="548"/>
      <c r="C4" s="125">
        <f>'2019 CCP Summary'!B4</f>
        <v>43536</v>
      </c>
      <c r="E4" s="125"/>
      <c r="F4" s="125"/>
      <c r="G4" s="125"/>
      <c r="H4" s="341"/>
      <c r="I4" s="6"/>
      <c r="J4" s="432" t="s">
        <v>115</v>
      </c>
      <c r="K4" s="433">
        <f>204425+103883.55</f>
        <v>308308.55</v>
      </c>
      <c r="L4" s="104"/>
      <c r="M4" s="101"/>
    </row>
    <row r="5" spans="1:13" x14ac:dyDescent="0.3">
      <c r="A5" s="549" t="s">
        <v>2</v>
      </c>
      <c r="B5" s="548"/>
      <c r="C5" s="6" t="s">
        <v>3</v>
      </c>
      <c r="E5" s="6"/>
      <c r="F5" s="6"/>
      <c r="G5" s="6"/>
      <c r="H5" s="24"/>
      <c r="I5" s="6"/>
      <c r="J5" s="432" t="s">
        <v>71</v>
      </c>
      <c r="K5" s="434">
        <v>1.7999999999999999E-2</v>
      </c>
      <c r="L5" s="468"/>
      <c r="M5" s="467"/>
    </row>
    <row r="6" spans="1:13" x14ac:dyDescent="0.3">
      <c r="A6" s="549" t="s">
        <v>4</v>
      </c>
      <c r="B6" s="548"/>
      <c r="C6" s="6" t="s">
        <v>142</v>
      </c>
      <c r="E6" s="6"/>
      <c r="F6" s="6"/>
      <c r="G6" s="6"/>
      <c r="H6" s="24"/>
      <c r="J6" s="432" t="s">
        <v>73</v>
      </c>
      <c r="K6" s="434">
        <v>1.4999999999999999E-2</v>
      </c>
      <c r="L6" s="126"/>
      <c r="M6" s="467"/>
    </row>
    <row r="7" spans="1:13" ht="14.5" customHeight="1" x14ac:dyDescent="0.3">
      <c r="A7" s="550" t="s">
        <v>6</v>
      </c>
      <c r="B7" s="548"/>
      <c r="C7" s="6" t="s">
        <v>7</v>
      </c>
      <c r="E7" s="6"/>
      <c r="F7" s="6"/>
      <c r="G7" s="6"/>
      <c r="H7" s="24"/>
      <c r="J7" s="432" t="s">
        <v>74</v>
      </c>
      <c r="K7" s="435">
        <v>4.438053878410439E-2</v>
      </c>
      <c r="L7" s="99" t="s">
        <v>0</v>
      </c>
      <c r="M7" s="101" t="s">
        <v>0</v>
      </c>
    </row>
    <row r="8" spans="1:13" ht="14.5" customHeight="1" x14ac:dyDescent="0.3">
      <c r="A8" s="213"/>
      <c r="B8" s="96"/>
      <c r="D8" s="6"/>
      <c r="E8" s="6"/>
      <c r="F8" s="6"/>
      <c r="G8" s="6"/>
      <c r="H8" s="24"/>
      <c r="I8" s="6"/>
      <c r="J8" s="432" t="s">
        <v>75</v>
      </c>
      <c r="K8" s="435">
        <v>4.4731460893662263E-2</v>
      </c>
      <c r="L8" s="126" t="s">
        <v>0</v>
      </c>
      <c r="M8" s="467" t="s">
        <v>0</v>
      </c>
    </row>
    <row r="9" spans="1:13" ht="41" x14ac:dyDescent="0.3">
      <c r="A9" s="460" t="s">
        <v>76</v>
      </c>
      <c r="B9" s="460" t="s">
        <v>52</v>
      </c>
      <c r="C9" s="460" t="s">
        <v>143</v>
      </c>
      <c r="D9" s="236" t="s">
        <v>144</v>
      </c>
      <c r="E9" s="236" t="s">
        <v>145</v>
      </c>
      <c r="F9" s="236" t="s">
        <v>146</v>
      </c>
      <c r="G9" s="236" t="s">
        <v>147</v>
      </c>
      <c r="H9" s="342" t="s">
        <v>148</v>
      </c>
      <c r="I9" s="236" t="s">
        <v>125</v>
      </c>
      <c r="J9" s="236" t="s">
        <v>149</v>
      </c>
      <c r="K9" s="235" t="s">
        <v>83</v>
      </c>
      <c r="M9" s="467"/>
    </row>
    <row r="10" spans="1:13" ht="14.5" x14ac:dyDescent="0.35">
      <c r="A10" s="97">
        <v>1</v>
      </c>
      <c r="B10" s="97">
        <v>2019</v>
      </c>
      <c r="C10" s="353">
        <v>0</v>
      </c>
      <c r="D10" s="353">
        <v>0</v>
      </c>
      <c r="E10" s="353">
        <v>0</v>
      </c>
      <c r="F10" s="353">
        <v>0</v>
      </c>
      <c r="G10" s="353">
        <v>0</v>
      </c>
      <c r="H10" s="92" t="s">
        <v>150</v>
      </c>
      <c r="I10" s="357">
        <v>0</v>
      </c>
      <c r="J10" s="353">
        <f>(I10)*0.04</f>
        <v>0</v>
      </c>
      <c r="K10" s="353">
        <f>SUM(C10:H10,J10)</f>
        <v>0</v>
      </c>
      <c r="M10" s="467"/>
    </row>
    <row r="11" spans="1:13" ht="14.5" x14ac:dyDescent="0.35">
      <c r="A11" s="97">
        <v>2</v>
      </c>
      <c r="B11" s="97">
        <v>2020</v>
      </c>
      <c r="C11" s="353">
        <v>0</v>
      </c>
      <c r="D11" s="353">
        <v>0</v>
      </c>
      <c r="E11" s="353">
        <v>0</v>
      </c>
      <c r="F11" s="353">
        <v>0</v>
      </c>
      <c r="G11" s="353">
        <v>0</v>
      </c>
      <c r="H11" s="92" t="s">
        <v>150</v>
      </c>
      <c r="I11" s="357">
        <v>0</v>
      </c>
      <c r="J11" s="353">
        <f t="shared" ref="J11:J14" si="0">(I11)*0.04</f>
        <v>0</v>
      </c>
      <c r="K11" s="353">
        <f t="shared" ref="K11:K74" si="1">SUM(C11:H11,J11)</f>
        <v>0</v>
      </c>
      <c r="M11" s="467"/>
    </row>
    <row r="12" spans="1:13" ht="14.5" x14ac:dyDescent="0.35">
      <c r="A12" s="97">
        <v>3</v>
      </c>
      <c r="B12" s="97">
        <v>2021</v>
      </c>
      <c r="C12" s="353">
        <v>0</v>
      </c>
      <c r="D12" s="353">
        <v>0</v>
      </c>
      <c r="E12" s="353">
        <v>0</v>
      </c>
      <c r="F12" s="353">
        <v>0</v>
      </c>
      <c r="G12" s="353">
        <v>0</v>
      </c>
      <c r="H12" s="92" t="s">
        <v>150</v>
      </c>
      <c r="I12" s="357">
        <v>0</v>
      </c>
      <c r="J12" s="353">
        <f t="shared" si="0"/>
        <v>0</v>
      </c>
      <c r="K12" s="353">
        <f t="shared" si="1"/>
        <v>0</v>
      </c>
      <c r="M12" s="467"/>
    </row>
    <row r="13" spans="1:13" ht="14.5" x14ac:dyDescent="0.35">
      <c r="A13" s="97">
        <v>4</v>
      </c>
      <c r="B13" s="97">
        <v>2022</v>
      </c>
      <c r="C13" s="353">
        <v>0</v>
      </c>
      <c r="D13" s="353">
        <v>0</v>
      </c>
      <c r="E13" s="353">
        <v>0</v>
      </c>
      <c r="F13" s="353">
        <v>0</v>
      </c>
      <c r="G13" s="353">
        <v>0</v>
      </c>
      <c r="H13" s="92" t="s">
        <v>150</v>
      </c>
      <c r="I13" s="357">
        <v>0</v>
      </c>
      <c r="J13" s="353">
        <f t="shared" si="0"/>
        <v>0</v>
      </c>
      <c r="K13" s="353">
        <f t="shared" si="1"/>
        <v>0</v>
      </c>
      <c r="M13" s="467"/>
    </row>
    <row r="14" spans="1:13" ht="14.5" x14ac:dyDescent="0.35">
      <c r="A14" s="97">
        <v>5</v>
      </c>
      <c r="B14" s="97">
        <v>2023</v>
      </c>
      <c r="C14" s="353">
        <v>0</v>
      </c>
      <c r="D14" s="353">
        <v>0</v>
      </c>
      <c r="E14" s="353">
        <v>0</v>
      </c>
      <c r="F14" s="353">
        <v>0</v>
      </c>
      <c r="G14" s="353">
        <v>0</v>
      </c>
      <c r="H14" s="92" t="s">
        <v>150</v>
      </c>
      <c r="I14" s="357">
        <v>0</v>
      </c>
      <c r="J14" s="353">
        <f t="shared" si="0"/>
        <v>0</v>
      </c>
      <c r="K14" s="353">
        <f t="shared" si="1"/>
        <v>0</v>
      </c>
      <c r="M14" s="467"/>
    </row>
    <row r="15" spans="1:13" ht="14.5" x14ac:dyDescent="0.35">
      <c r="A15" s="97">
        <v>6</v>
      </c>
      <c r="B15" s="97">
        <v>2024</v>
      </c>
      <c r="C15" s="353">
        <f>792181+78086+575520+103883.55+14556.48</f>
        <v>1564227.03</v>
      </c>
      <c r="D15" s="353">
        <f>$K$3*$K$5</f>
        <v>75520.376640000002</v>
      </c>
      <c r="E15" s="353">
        <f>$K$4*$K$5</f>
        <v>5549.553899999999</v>
      </c>
      <c r="F15" s="353">
        <f t="shared" ref="F15:F46" si="2">$K$3*$K$6</f>
        <v>62933.647200000007</v>
      </c>
      <c r="G15" s="369">
        <f t="shared" ref="G15:G46" si="3">$K$4*$K$6</f>
        <v>4624.6282499999998</v>
      </c>
      <c r="H15" s="103" t="s">
        <v>151</v>
      </c>
      <c r="I15" s="357">
        <v>3516193.1206830814</v>
      </c>
      <c r="J15" s="353">
        <f>(I15)*K7</f>
        <v>156050.54516487653</v>
      </c>
      <c r="K15" s="353">
        <f t="shared" si="1"/>
        <v>1868905.7811548766</v>
      </c>
      <c r="L15" s="203"/>
      <c r="M15" s="467"/>
    </row>
    <row r="16" spans="1:13" ht="14.5" x14ac:dyDescent="0.35">
      <c r="A16" s="97">
        <v>7</v>
      </c>
      <c r="B16" s="97">
        <v>2025</v>
      </c>
      <c r="C16" s="353">
        <v>0</v>
      </c>
      <c r="D16" s="353">
        <f t="shared" ref="D16:D79" si="4">$K$3*$K$5</f>
        <v>75520.376640000002</v>
      </c>
      <c r="E16" s="353">
        <f t="shared" ref="E16:E79" si="5">$K$4*$K$5</f>
        <v>5549.553899999999</v>
      </c>
      <c r="F16" s="353">
        <f t="shared" si="2"/>
        <v>62933.647200000007</v>
      </c>
      <c r="G16" s="369">
        <f t="shared" si="3"/>
        <v>4624.6282499999998</v>
      </c>
      <c r="H16" s="103" t="s">
        <v>151</v>
      </c>
      <c r="I16" s="357">
        <v>3516193.1206830814</v>
      </c>
      <c r="J16" s="353">
        <f t="shared" ref="J16:J47" si="6">(I16)*$K$8</f>
        <v>157284.45507239952</v>
      </c>
      <c r="K16" s="353">
        <f t="shared" si="1"/>
        <v>305912.66106239951</v>
      </c>
      <c r="L16" s="7"/>
      <c r="M16" s="467"/>
    </row>
    <row r="17" spans="1:12" ht="14.5" x14ac:dyDescent="0.35">
      <c r="A17" s="97">
        <v>8</v>
      </c>
      <c r="B17" s="97">
        <v>2026</v>
      </c>
      <c r="C17" s="353">
        <v>0</v>
      </c>
      <c r="D17" s="353">
        <f t="shared" si="4"/>
        <v>75520.376640000002</v>
      </c>
      <c r="E17" s="353">
        <f t="shared" si="5"/>
        <v>5549.553899999999</v>
      </c>
      <c r="F17" s="353">
        <f t="shared" si="2"/>
        <v>62933.647200000007</v>
      </c>
      <c r="G17" s="369">
        <f t="shared" si="3"/>
        <v>4624.6282499999998</v>
      </c>
      <c r="H17" s="103" t="s">
        <v>151</v>
      </c>
      <c r="I17" s="357">
        <v>3516193.1206830814</v>
      </c>
      <c r="J17" s="353">
        <f t="shared" si="6"/>
        <v>157284.45507239952</v>
      </c>
      <c r="K17" s="353">
        <f t="shared" si="1"/>
        <v>305912.66106239951</v>
      </c>
      <c r="L17" s="1"/>
    </row>
    <row r="18" spans="1:12" ht="14.5" x14ac:dyDescent="0.35">
      <c r="A18" s="97">
        <v>9</v>
      </c>
      <c r="B18" s="97">
        <v>2027</v>
      </c>
      <c r="C18" s="353">
        <v>0</v>
      </c>
      <c r="D18" s="353">
        <f t="shared" si="4"/>
        <v>75520.376640000002</v>
      </c>
      <c r="E18" s="353">
        <f t="shared" si="5"/>
        <v>5549.553899999999</v>
      </c>
      <c r="F18" s="353">
        <f t="shared" si="2"/>
        <v>62933.647200000007</v>
      </c>
      <c r="G18" s="369">
        <f t="shared" si="3"/>
        <v>4624.6282499999998</v>
      </c>
      <c r="H18" s="103" t="s">
        <v>151</v>
      </c>
      <c r="I18" s="357">
        <v>3516193.1206830814</v>
      </c>
      <c r="J18" s="353">
        <f t="shared" si="6"/>
        <v>157284.45507239952</v>
      </c>
      <c r="K18" s="353">
        <f t="shared" si="1"/>
        <v>305912.66106239951</v>
      </c>
      <c r="L18" s="1"/>
    </row>
    <row r="19" spans="1:12" ht="14.5" x14ac:dyDescent="0.35">
      <c r="A19" s="97">
        <v>10</v>
      </c>
      <c r="B19" s="97">
        <v>2028</v>
      </c>
      <c r="C19" s="353">
        <v>0</v>
      </c>
      <c r="D19" s="353">
        <f t="shared" si="4"/>
        <v>75520.376640000002</v>
      </c>
      <c r="E19" s="353">
        <f t="shared" si="5"/>
        <v>5549.553899999999</v>
      </c>
      <c r="F19" s="353">
        <f t="shared" si="2"/>
        <v>62933.647200000007</v>
      </c>
      <c r="G19" s="369">
        <f t="shared" si="3"/>
        <v>4624.6282499999998</v>
      </c>
      <c r="H19" s="103" t="s">
        <v>151</v>
      </c>
      <c r="I19" s="357">
        <v>3516193.1206830814</v>
      </c>
      <c r="J19" s="353">
        <f t="shared" si="6"/>
        <v>157284.45507239952</v>
      </c>
      <c r="K19" s="353">
        <f t="shared" si="1"/>
        <v>305912.66106239951</v>
      </c>
      <c r="L19" s="1"/>
    </row>
    <row r="20" spans="1:12" ht="14.5" x14ac:dyDescent="0.35">
      <c r="A20" s="97">
        <v>11</v>
      </c>
      <c r="B20" s="97">
        <v>2029</v>
      </c>
      <c r="C20" s="353">
        <v>0</v>
      </c>
      <c r="D20" s="353">
        <f t="shared" si="4"/>
        <v>75520.376640000002</v>
      </c>
      <c r="E20" s="353">
        <f t="shared" si="5"/>
        <v>5549.553899999999</v>
      </c>
      <c r="F20" s="353">
        <f t="shared" si="2"/>
        <v>62933.647200000007</v>
      </c>
      <c r="G20" s="369">
        <f t="shared" si="3"/>
        <v>4624.6282499999998</v>
      </c>
      <c r="H20" s="103" t="s">
        <v>151</v>
      </c>
      <c r="I20" s="357">
        <v>3516193.1206830814</v>
      </c>
      <c r="J20" s="353">
        <f t="shared" si="6"/>
        <v>157284.45507239952</v>
      </c>
      <c r="K20" s="353">
        <f t="shared" si="1"/>
        <v>305912.66106239951</v>
      </c>
      <c r="L20" s="1"/>
    </row>
    <row r="21" spans="1:12" ht="14.5" x14ac:dyDescent="0.35">
      <c r="A21" s="97">
        <v>12</v>
      </c>
      <c r="B21" s="97">
        <v>2030</v>
      </c>
      <c r="C21" s="353">
        <v>0</v>
      </c>
      <c r="D21" s="353">
        <f t="shared" si="4"/>
        <v>75520.376640000002</v>
      </c>
      <c r="E21" s="353">
        <f t="shared" si="5"/>
        <v>5549.553899999999</v>
      </c>
      <c r="F21" s="353">
        <f t="shared" si="2"/>
        <v>62933.647200000007</v>
      </c>
      <c r="G21" s="369">
        <f t="shared" si="3"/>
        <v>4624.6282499999998</v>
      </c>
      <c r="H21" s="103" t="s">
        <v>151</v>
      </c>
      <c r="I21" s="357">
        <v>3516193.1206830814</v>
      </c>
      <c r="J21" s="353">
        <f t="shared" si="6"/>
        <v>157284.45507239952</v>
      </c>
      <c r="K21" s="353">
        <f t="shared" si="1"/>
        <v>305912.66106239951</v>
      </c>
      <c r="L21" s="1"/>
    </row>
    <row r="22" spans="1:12" ht="14.5" x14ac:dyDescent="0.35">
      <c r="A22" s="97">
        <v>13</v>
      </c>
      <c r="B22" s="97">
        <v>2031</v>
      </c>
      <c r="C22" s="353">
        <v>0</v>
      </c>
      <c r="D22" s="353">
        <f t="shared" si="4"/>
        <v>75520.376640000002</v>
      </c>
      <c r="E22" s="353">
        <f t="shared" si="5"/>
        <v>5549.553899999999</v>
      </c>
      <c r="F22" s="353">
        <f t="shared" si="2"/>
        <v>62933.647200000007</v>
      </c>
      <c r="G22" s="369">
        <f t="shared" si="3"/>
        <v>4624.6282499999998</v>
      </c>
      <c r="H22" s="103" t="s">
        <v>151</v>
      </c>
      <c r="I22" s="357">
        <v>2962689.8363757557</v>
      </c>
      <c r="J22" s="353">
        <f t="shared" si="6"/>
        <v>132525.44455589275</v>
      </c>
      <c r="K22" s="353">
        <f t="shared" si="1"/>
        <v>281153.65054589277</v>
      </c>
      <c r="L22" s="1"/>
    </row>
    <row r="23" spans="1:12" ht="14.5" x14ac:dyDescent="0.35">
      <c r="A23" s="97">
        <v>14</v>
      </c>
      <c r="B23" s="97">
        <v>2032</v>
      </c>
      <c r="C23" s="353">
        <v>0</v>
      </c>
      <c r="D23" s="353">
        <f t="shared" si="4"/>
        <v>75520.376640000002</v>
      </c>
      <c r="E23" s="353">
        <f t="shared" si="5"/>
        <v>5549.553899999999</v>
      </c>
      <c r="F23" s="353">
        <f t="shared" si="2"/>
        <v>62933.647200000007</v>
      </c>
      <c r="G23" s="369">
        <f t="shared" si="3"/>
        <v>4624.6282499999998</v>
      </c>
      <c r="H23" s="103" t="s">
        <v>151</v>
      </c>
      <c r="I23" s="357">
        <v>2962689.8363757557</v>
      </c>
      <c r="J23" s="353">
        <f t="shared" si="6"/>
        <v>132525.44455589275</v>
      </c>
      <c r="K23" s="353">
        <f t="shared" si="1"/>
        <v>281153.65054589277</v>
      </c>
      <c r="L23" s="7"/>
    </row>
    <row r="24" spans="1:12" ht="14.5" x14ac:dyDescent="0.35">
      <c r="A24" s="97">
        <v>15</v>
      </c>
      <c r="B24" s="97">
        <v>2033</v>
      </c>
      <c r="C24" s="353">
        <v>0</v>
      </c>
      <c r="D24" s="353">
        <f t="shared" si="4"/>
        <v>75520.376640000002</v>
      </c>
      <c r="E24" s="353">
        <f t="shared" si="5"/>
        <v>5549.553899999999</v>
      </c>
      <c r="F24" s="353">
        <f t="shared" si="2"/>
        <v>62933.647200000007</v>
      </c>
      <c r="G24" s="369">
        <f t="shared" si="3"/>
        <v>4624.6282499999998</v>
      </c>
      <c r="H24" s="103" t="s">
        <v>151</v>
      </c>
      <c r="I24" s="357">
        <v>2962689.8363757557</v>
      </c>
      <c r="J24" s="353">
        <f t="shared" si="6"/>
        <v>132525.44455589275</v>
      </c>
      <c r="K24" s="353">
        <f t="shared" si="1"/>
        <v>281153.65054589277</v>
      </c>
      <c r="L24" s="1"/>
    </row>
    <row r="25" spans="1:12" ht="14.5" x14ac:dyDescent="0.35">
      <c r="A25" s="97">
        <v>16</v>
      </c>
      <c r="B25" s="97">
        <v>2034</v>
      </c>
      <c r="C25" s="353">
        <v>0</v>
      </c>
      <c r="D25" s="353">
        <f t="shared" si="4"/>
        <v>75520.376640000002</v>
      </c>
      <c r="E25" s="353">
        <f t="shared" si="5"/>
        <v>5549.553899999999</v>
      </c>
      <c r="F25" s="353">
        <f t="shared" si="2"/>
        <v>62933.647200000007</v>
      </c>
      <c r="G25" s="369">
        <f t="shared" si="3"/>
        <v>4624.6282499999998</v>
      </c>
      <c r="H25" s="103" t="s">
        <v>151</v>
      </c>
      <c r="I25" s="357">
        <v>2962689.8363757557</v>
      </c>
      <c r="J25" s="353">
        <f t="shared" si="6"/>
        <v>132525.44455589275</v>
      </c>
      <c r="K25" s="353">
        <f t="shared" si="1"/>
        <v>281153.65054589277</v>
      </c>
      <c r="L25" s="1"/>
    </row>
    <row r="26" spans="1:12" ht="14.5" x14ac:dyDescent="0.35">
      <c r="A26" s="97">
        <v>17</v>
      </c>
      <c r="B26" s="97">
        <v>2035</v>
      </c>
      <c r="C26" s="353">
        <v>0</v>
      </c>
      <c r="D26" s="353">
        <f t="shared" si="4"/>
        <v>75520.376640000002</v>
      </c>
      <c r="E26" s="353">
        <f t="shared" si="5"/>
        <v>5549.553899999999</v>
      </c>
      <c r="F26" s="353">
        <f t="shared" si="2"/>
        <v>62933.647200000007</v>
      </c>
      <c r="G26" s="369">
        <f t="shared" si="3"/>
        <v>4624.6282499999998</v>
      </c>
      <c r="H26" s="103" t="s">
        <v>151</v>
      </c>
      <c r="I26" s="357">
        <v>2962689.8363757557</v>
      </c>
      <c r="J26" s="353">
        <f t="shared" si="6"/>
        <v>132525.44455589275</v>
      </c>
      <c r="K26" s="353">
        <f t="shared" si="1"/>
        <v>281153.65054589277</v>
      </c>
      <c r="L26" s="1"/>
    </row>
    <row r="27" spans="1:12" ht="14.5" x14ac:dyDescent="0.35">
      <c r="A27" s="97">
        <v>18</v>
      </c>
      <c r="B27" s="97">
        <v>2036</v>
      </c>
      <c r="C27" s="353">
        <v>0</v>
      </c>
      <c r="D27" s="353">
        <f t="shared" si="4"/>
        <v>75520.376640000002</v>
      </c>
      <c r="E27" s="353">
        <f t="shared" si="5"/>
        <v>5549.553899999999</v>
      </c>
      <c r="F27" s="353">
        <f t="shared" si="2"/>
        <v>62933.647200000007</v>
      </c>
      <c r="G27" s="369">
        <f t="shared" si="3"/>
        <v>4624.6282499999998</v>
      </c>
      <c r="H27" s="103" t="s">
        <v>151</v>
      </c>
      <c r="I27" s="357">
        <v>2962689.8363757557</v>
      </c>
      <c r="J27" s="353">
        <f t="shared" si="6"/>
        <v>132525.44455589275</v>
      </c>
      <c r="K27" s="353">
        <f t="shared" si="1"/>
        <v>281153.65054589277</v>
      </c>
      <c r="L27" s="1"/>
    </row>
    <row r="28" spans="1:12" ht="14.5" x14ac:dyDescent="0.35">
      <c r="A28" s="97">
        <v>19</v>
      </c>
      <c r="B28" s="97">
        <v>2037</v>
      </c>
      <c r="C28" s="353">
        <v>0</v>
      </c>
      <c r="D28" s="353">
        <f t="shared" si="4"/>
        <v>75520.376640000002</v>
      </c>
      <c r="E28" s="353">
        <f t="shared" si="5"/>
        <v>5549.553899999999</v>
      </c>
      <c r="F28" s="353">
        <f t="shared" si="2"/>
        <v>62933.647200000007</v>
      </c>
      <c r="G28" s="369">
        <f t="shared" si="3"/>
        <v>4624.6282499999998</v>
      </c>
      <c r="H28" s="103" t="s">
        <v>151</v>
      </c>
      <c r="I28" s="357">
        <v>2962689.8363757557</v>
      </c>
      <c r="J28" s="353">
        <f t="shared" si="6"/>
        <v>132525.44455589275</v>
      </c>
      <c r="K28" s="353">
        <f t="shared" si="1"/>
        <v>281153.65054589277</v>
      </c>
      <c r="L28" s="1"/>
    </row>
    <row r="29" spans="1:12" ht="14.5" x14ac:dyDescent="0.35">
      <c r="A29" s="97">
        <v>20</v>
      </c>
      <c r="B29" s="97">
        <v>2038</v>
      </c>
      <c r="C29" s="353">
        <v>0</v>
      </c>
      <c r="D29" s="353">
        <f t="shared" si="4"/>
        <v>75520.376640000002</v>
      </c>
      <c r="E29" s="353">
        <f t="shared" si="5"/>
        <v>5549.553899999999</v>
      </c>
      <c r="F29" s="353">
        <f t="shared" si="2"/>
        <v>62933.647200000007</v>
      </c>
      <c r="G29" s="369">
        <f t="shared" si="3"/>
        <v>4624.6282499999998</v>
      </c>
      <c r="H29" s="103" t="s">
        <v>151</v>
      </c>
      <c r="I29" s="357">
        <v>2962689.8363757557</v>
      </c>
      <c r="J29" s="353">
        <f t="shared" si="6"/>
        <v>132525.44455589275</v>
      </c>
      <c r="K29" s="353">
        <f t="shared" si="1"/>
        <v>281153.65054589277</v>
      </c>
      <c r="L29" s="1"/>
    </row>
    <row r="30" spans="1:12" ht="14.5" x14ac:dyDescent="0.35">
      <c r="A30" s="97">
        <v>21</v>
      </c>
      <c r="B30" s="97">
        <v>2039</v>
      </c>
      <c r="C30" s="353">
        <v>0</v>
      </c>
      <c r="D30" s="353">
        <f t="shared" si="4"/>
        <v>75520.376640000002</v>
      </c>
      <c r="E30" s="353">
        <f t="shared" si="5"/>
        <v>5549.553899999999</v>
      </c>
      <c r="F30" s="353">
        <f t="shared" si="2"/>
        <v>62933.647200000007</v>
      </c>
      <c r="G30" s="369">
        <f t="shared" si="3"/>
        <v>4624.6282499999998</v>
      </c>
      <c r="H30" s="103" t="s">
        <v>151</v>
      </c>
      <c r="I30" s="357">
        <v>2962689.8363757557</v>
      </c>
      <c r="J30" s="353">
        <f t="shared" si="6"/>
        <v>132525.44455589275</v>
      </c>
      <c r="K30" s="353">
        <f t="shared" si="1"/>
        <v>281153.65054589277</v>
      </c>
      <c r="L30" s="1"/>
    </row>
    <row r="31" spans="1:12" ht="14.5" x14ac:dyDescent="0.35">
      <c r="A31" s="97">
        <v>22</v>
      </c>
      <c r="B31" s="97">
        <v>2040</v>
      </c>
      <c r="C31" s="353">
        <v>0</v>
      </c>
      <c r="D31" s="353">
        <f t="shared" si="4"/>
        <v>75520.376640000002</v>
      </c>
      <c r="E31" s="353">
        <f t="shared" si="5"/>
        <v>5549.553899999999</v>
      </c>
      <c r="F31" s="353">
        <f t="shared" si="2"/>
        <v>62933.647200000007</v>
      </c>
      <c r="G31" s="369">
        <f t="shared" si="3"/>
        <v>4624.6282499999998</v>
      </c>
      <c r="H31" s="103" t="s">
        <v>151</v>
      </c>
      <c r="I31" s="357">
        <v>2962689.8363757557</v>
      </c>
      <c r="J31" s="353">
        <f t="shared" si="6"/>
        <v>132525.44455589275</v>
      </c>
      <c r="K31" s="353">
        <f t="shared" si="1"/>
        <v>281153.65054589277</v>
      </c>
      <c r="L31" s="7"/>
    </row>
    <row r="32" spans="1:12" ht="14.5" x14ac:dyDescent="0.35">
      <c r="A32" s="97">
        <v>23</v>
      </c>
      <c r="B32" s="97">
        <v>2041</v>
      </c>
      <c r="C32" s="353">
        <v>0</v>
      </c>
      <c r="D32" s="353">
        <f t="shared" si="4"/>
        <v>75520.376640000002</v>
      </c>
      <c r="E32" s="353">
        <f t="shared" si="5"/>
        <v>5549.553899999999</v>
      </c>
      <c r="F32" s="353">
        <f t="shared" si="2"/>
        <v>62933.647200000007</v>
      </c>
      <c r="G32" s="369">
        <f t="shared" si="3"/>
        <v>4624.6282499999998</v>
      </c>
      <c r="H32" s="103" t="s">
        <v>151</v>
      </c>
      <c r="I32" s="357">
        <v>2962689.8363757557</v>
      </c>
      <c r="J32" s="353">
        <f t="shared" si="6"/>
        <v>132525.44455589275</v>
      </c>
      <c r="K32" s="353">
        <f t="shared" si="1"/>
        <v>281153.65054589277</v>
      </c>
      <c r="L32" s="1"/>
    </row>
    <row r="33" spans="1:12" ht="14.5" x14ac:dyDescent="0.35">
      <c r="A33" s="97">
        <v>24</v>
      </c>
      <c r="B33" s="97">
        <v>2042</v>
      </c>
      <c r="C33" s="353">
        <v>0</v>
      </c>
      <c r="D33" s="353">
        <f t="shared" si="4"/>
        <v>75520.376640000002</v>
      </c>
      <c r="E33" s="353">
        <f t="shared" si="5"/>
        <v>5549.553899999999</v>
      </c>
      <c r="F33" s="353">
        <f t="shared" si="2"/>
        <v>62933.647200000007</v>
      </c>
      <c r="G33" s="369">
        <f t="shared" si="3"/>
        <v>4624.6282499999998</v>
      </c>
      <c r="H33" s="103" t="s">
        <v>151</v>
      </c>
      <c r="I33" s="357">
        <v>2962689.8363757557</v>
      </c>
      <c r="J33" s="353">
        <f t="shared" si="6"/>
        <v>132525.44455589275</v>
      </c>
      <c r="K33" s="353">
        <f t="shared" si="1"/>
        <v>281153.65054589277</v>
      </c>
      <c r="L33" s="1"/>
    </row>
    <row r="34" spans="1:12" ht="14.5" x14ac:dyDescent="0.35">
      <c r="A34" s="97">
        <v>25</v>
      </c>
      <c r="B34" s="97">
        <v>2043</v>
      </c>
      <c r="C34" s="353">
        <v>0</v>
      </c>
      <c r="D34" s="353">
        <f t="shared" si="4"/>
        <v>75520.376640000002</v>
      </c>
      <c r="E34" s="353">
        <f t="shared" si="5"/>
        <v>5549.553899999999</v>
      </c>
      <c r="F34" s="353">
        <f t="shared" si="2"/>
        <v>62933.647200000007</v>
      </c>
      <c r="G34" s="369">
        <f t="shared" si="3"/>
        <v>4624.6282499999998</v>
      </c>
      <c r="H34" s="103" t="s">
        <v>151</v>
      </c>
      <c r="I34" s="357">
        <v>2962689.8363757557</v>
      </c>
      <c r="J34" s="353">
        <f t="shared" si="6"/>
        <v>132525.44455589275</v>
      </c>
      <c r="K34" s="353">
        <f t="shared" si="1"/>
        <v>281153.65054589277</v>
      </c>
      <c r="L34" s="1"/>
    </row>
    <row r="35" spans="1:12" ht="14.5" x14ac:dyDescent="0.35">
      <c r="A35" s="97">
        <v>26</v>
      </c>
      <c r="B35" s="97">
        <v>2044</v>
      </c>
      <c r="C35" s="353">
        <v>0</v>
      </c>
      <c r="D35" s="353">
        <f t="shared" si="4"/>
        <v>75520.376640000002</v>
      </c>
      <c r="E35" s="353">
        <f t="shared" si="5"/>
        <v>5549.553899999999</v>
      </c>
      <c r="F35" s="353">
        <f t="shared" si="2"/>
        <v>62933.647200000007</v>
      </c>
      <c r="G35" s="369">
        <f t="shared" si="3"/>
        <v>4624.6282499999998</v>
      </c>
      <c r="H35" s="103" t="s">
        <v>151</v>
      </c>
      <c r="I35" s="357">
        <v>2962689.8363757557</v>
      </c>
      <c r="J35" s="353">
        <f t="shared" si="6"/>
        <v>132525.44455589275</v>
      </c>
      <c r="K35" s="353">
        <f t="shared" si="1"/>
        <v>281153.65054589277</v>
      </c>
      <c r="L35" s="1"/>
    </row>
    <row r="36" spans="1:12" ht="14.5" x14ac:dyDescent="0.35">
      <c r="A36" s="97">
        <v>27</v>
      </c>
      <c r="B36" s="97">
        <v>2045</v>
      </c>
      <c r="C36" s="353">
        <v>0</v>
      </c>
      <c r="D36" s="353">
        <f t="shared" si="4"/>
        <v>75520.376640000002</v>
      </c>
      <c r="E36" s="353">
        <f t="shared" si="5"/>
        <v>5549.553899999999</v>
      </c>
      <c r="F36" s="353">
        <f t="shared" si="2"/>
        <v>62933.647200000007</v>
      </c>
      <c r="G36" s="369">
        <f t="shared" si="3"/>
        <v>4624.6282499999998</v>
      </c>
      <c r="H36" s="103" t="s">
        <v>151</v>
      </c>
      <c r="I36" s="357">
        <v>2962689.8363757557</v>
      </c>
      <c r="J36" s="353">
        <f t="shared" si="6"/>
        <v>132525.44455589275</v>
      </c>
      <c r="K36" s="353">
        <f t="shared" si="1"/>
        <v>281153.65054589277</v>
      </c>
      <c r="L36" s="1"/>
    </row>
    <row r="37" spans="1:12" ht="14.5" x14ac:dyDescent="0.35">
      <c r="A37" s="97">
        <v>28</v>
      </c>
      <c r="B37" s="97">
        <v>2046</v>
      </c>
      <c r="C37" s="353">
        <v>0</v>
      </c>
      <c r="D37" s="353">
        <f t="shared" si="4"/>
        <v>75520.376640000002</v>
      </c>
      <c r="E37" s="353">
        <f t="shared" si="5"/>
        <v>5549.553899999999</v>
      </c>
      <c r="F37" s="353">
        <f t="shared" si="2"/>
        <v>62933.647200000007</v>
      </c>
      <c r="G37" s="369">
        <f t="shared" si="3"/>
        <v>4624.6282499999998</v>
      </c>
      <c r="H37" s="103" t="s">
        <v>151</v>
      </c>
      <c r="I37" s="357">
        <v>2962689.8363757557</v>
      </c>
      <c r="J37" s="353">
        <f t="shared" si="6"/>
        <v>132525.44455589275</v>
      </c>
      <c r="K37" s="353">
        <f t="shared" si="1"/>
        <v>281153.65054589277</v>
      </c>
      <c r="L37" s="1"/>
    </row>
    <row r="38" spans="1:12" ht="14.5" x14ac:dyDescent="0.35">
      <c r="A38" s="97">
        <v>29</v>
      </c>
      <c r="B38" s="97">
        <v>2047</v>
      </c>
      <c r="C38" s="353">
        <v>0</v>
      </c>
      <c r="D38" s="353">
        <f t="shared" si="4"/>
        <v>75520.376640000002</v>
      </c>
      <c r="E38" s="353">
        <f t="shared" si="5"/>
        <v>5549.553899999999</v>
      </c>
      <c r="F38" s="353">
        <f t="shared" si="2"/>
        <v>62933.647200000007</v>
      </c>
      <c r="G38" s="369">
        <f t="shared" si="3"/>
        <v>4624.6282499999998</v>
      </c>
      <c r="H38" s="103" t="s">
        <v>151</v>
      </c>
      <c r="I38" s="357">
        <v>2962689.8363757557</v>
      </c>
      <c r="J38" s="353">
        <f t="shared" si="6"/>
        <v>132525.44455589275</v>
      </c>
      <c r="K38" s="353">
        <f t="shared" si="1"/>
        <v>281153.65054589277</v>
      </c>
      <c r="L38" s="1"/>
    </row>
    <row r="39" spans="1:12" ht="14.5" x14ac:dyDescent="0.35">
      <c r="A39" s="97">
        <v>30</v>
      </c>
      <c r="B39" s="97">
        <v>2048</v>
      </c>
      <c r="C39" s="353">
        <v>0</v>
      </c>
      <c r="D39" s="353">
        <f t="shared" si="4"/>
        <v>75520.376640000002</v>
      </c>
      <c r="E39" s="353">
        <f t="shared" si="5"/>
        <v>5549.553899999999</v>
      </c>
      <c r="F39" s="353">
        <f t="shared" si="2"/>
        <v>62933.647200000007</v>
      </c>
      <c r="G39" s="369">
        <f t="shared" si="3"/>
        <v>4624.6282499999998</v>
      </c>
      <c r="H39" s="103" t="s">
        <v>151</v>
      </c>
      <c r="I39" s="357">
        <v>2962689.8363757557</v>
      </c>
      <c r="J39" s="353">
        <f t="shared" si="6"/>
        <v>132525.44455589275</v>
      </c>
      <c r="K39" s="353">
        <f t="shared" si="1"/>
        <v>281153.65054589277</v>
      </c>
      <c r="L39" s="1"/>
    </row>
    <row r="40" spans="1:12" ht="14.5" x14ac:dyDescent="0.35">
      <c r="A40" s="97">
        <v>31</v>
      </c>
      <c r="B40" s="97">
        <v>2049</v>
      </c>
      <c r="C40" s="353">
        <v>0</v>
      </c>
      <c r="D40" s="353">
        <f t="shared" si="4"/>
        <v>75520.376640000002</v>
      </c>
      <c r="E40" s="353">
        <f t="shared" si="5"/>
        <v>5549.553899999999</v>
      </c>
      <c r="F40" s="353">
        <f t="shared" si="2"/>
        <v>62933.647200000007</v>
      </c>
      <c r="G40" s="369">
        <f t="shared" si="3"/>
        <v>4624.6282499999998</v>
      </c>
      <c r="H40" s="103" t="s">
        <v>151</v>
      </c>
      <c r="I40" s="357">
        <v>2962689.8363757557</v>
      </c>
      <c r="J40" s="353">
        <f t="shared" si="6"/>
        <v>132525.44455589275</v>
      </c>
      <c r="K40" s="353">
        <f t="shared" si="1"/>
        <v>281153.65054589277</v>
      </c>
      <c r="L40" s="1"/>
    </row>
    <row r="41" spans="1:12" ht="14.5" x14ac:dyDescent="0.35">
      <c r="A41" s="97">
        <v>32</v>
      </c>
      <c r="B41" s="97">
        <v>2050</v>
      </c>
      <c r="C41" s="353">
        <v>0</v>
      </c>
      <c r="D41" s="353">
        <f t="shared" si="4"/>
        <v>75520.376640000002</v>
      </c>
      <c r="E41" s="353">
        <f t="shared" si="5"/>
        <v>5549.553899999999</v>
      </c>
      <c r="F41" s="353">
        <f t="shared" si="2"/>
        <v>62933.647200000007</v>
      </c>
      <c r="G41" s="369">
        <f t="shared" si="3"/>
        <v>4624.6282499999998</v>
      </c>
      <c r="H41" s="103" t="s">
        <v>151</v>
      </c>
      <c r="I41" s="357">
        <v>2962689.8363757557</v>
      </c>
      <c r="J41" s="353">
        <f t="shared" si="6"/>
        <v>132525.44455589275</v>
      </c>
      <c r="K41" s="353">
        <f t="shared" si="1"/>
        <v>281153.65054589277</v>
      </c>
      <c r="L41" s="1"/>
    </row>
    <row r="42" spans="1:12" ht="14.5" x14ac:dyDescent="0.35">
      <c r="A42" s="97">
        <v>33</v>
      </c>
      <c r="B42" s="97">
        <v>2051</v>
      </c>
      <c r="C42" s="353">
        <v>0</v>
      </c>
      <c r="D42" s="353">
        <f t="shared" si="4"/>
        <v>75520.376640000002</v>
      </c>
      <c r="E42" s="353">
        <f t="shared" si="5"/>
        <v>5549.553899999999</v>
      </c>
      <c r="F42" s="353">
        <f t="shared" si="2"/>
        <v>62933.647200000007</v>
      </c>
      <c r="G42" s="369">
        <f t="shared" si="3"/>
        <v>4624.6282499999998</v>
      </c>
      <c r="H42" s="103" t="s">
        <v>151</v>
      </c>
      <c r="I42" s="357">
        <v>2392784.8816643832</v>
      </c>
      <c r="J42" s="353">
        <f t="shared" si="6"/>
        <v>107032.76336111664</v>
      </c>
      <c r="K42" s="353">
        <f t="shared" si="1"/>
        <v>255660.96935111666</v>
      </c>
      <c r="L42" s="1"/>
    </row>
    <row r="43" spans="1:12" ht="14.5" x14ac:dyDescent="0.35">
      <c r="A43" s="97">
        <v>34</v>
      </c>
      <c r="B43" s="97">
        <v>2052</v>
      </c>
      <c r="C43" s="353">
        <v>0</v>
      </c>
      <c r="D43" s="353">
        <f t="shared" si="4"/>
        <v>75520.376640000002</v>
      </c>
      <c r="E43" s="353">
        <f t="shared" si="5"/>
        <v>5549.553899999999</v>
      </c>
      <c r="F43" s="353">
        <f t="shared" si="2"/>
        <v>62933.647200000007</v>
      </c>
      <c r="G43" s="369">
        <f t="shared" si="3"/>
        <v>4624.6282499999998</v>
      </c>
      <c r="H43" s="103" t="s">
        <v>151</v>
      </c>
      <c r="I43" s="357">
        <v>2392784.8816643832</v>
      </c>
      <c r="J43" s="353">
        <f t="shared" si="6"/>
        <v>107032.76336111664</v>
      </c>
      <c r="K43" s="353">
        <f t="shared" si="1"/>
        <v>255660.96935111666</v>
      </c>
      <c r="L43" s="1"/>
    </row>
    <row r="44" spans="1:12" ht="14.5" x14ac:dyDescent="0.35">
      <c r="A44" s="97">
        <v>35</v>
      </c>
      <c r="B44" s="97">
        <v>2053</v>
      </c>
      <c r="C44" s="353">
        <v>0</v>
      </c>
      <c r="D44" s="353">
        <f t="shared" si="4"/>
        <v>75520.376640000002</v>
      </c>
      <c r="E44" s="353">
        <f t="shared" si="5"/>
        <v>5549.553899999999</v>
      </c>
      <c r="F44" s="353">
        <f t="shared" si="2"/>
        <v>62933.647200000007</v>
      </c>
      <c r="G44" s="369">
        <f t="shared" si="3"/>
        <v>4624.6282499999998</v>
      </c>
      <c r="H44" s="103" t="s">
        <v>151</v>
      </c>
      <c r="I44" s="357">
        <v>2392784.8816643832</v>
      </c>
      <c r="J44" s="353">
        <f t="shared" si="6"/>
        <v>107032.76336111664</v>
      </c>
      <c r="K44" s="353">
        <f t="shared" si="1"/>
        <v>255660.96935111666</v>
      </c>
      <c r="L44" s="1"/>
    </row>
    <row r="45" spans="1:12" ht="14.5" x14ac:dyDescent="0.35">
      <c r="A45" s="97">
        <v>36</v>
      </c>
      <c r="B45" s="97">
        <v>2054</v>
      </c>
      <c r="C45" s="353">
        <v>0</v>
      </c>
      <c r="D45" s="353">
        <f t="shared" si="4"/>
        <v>75520.376640000002</v>
      </c>
      <c r="E45" s="353">
        <f t="shared" si="5"/>
        <v>5549.553899999999</v>
      </c>
      <c r="F45" s="353">
        <f t="shared" si="2"/>
        <v>62933.647200000007</v>
      </c>
      <c r="G45" s="369">
        <f t="shared" si="3"/>
        <v>4624.6282499999998</v>
      </c>
      <c r="H45" s="103" t="s">
        <v>151</v>
      </c>
      <c r="I45" s="357">
        <v>2392784.8816643832</v>
      </c>
      <c r="J45" s="353">
        <f t="shared" si="6"/>
        <v>107032.76336111664</v>
      </c>
      <c r="K45" s="353">
        <f t="shared" si="1"/>
        <v>255660.96935111666</v>
      </c>
      <c r="L45" s="1"/>
    </row>
    <row r="46" spans="1:12" ht="14.5" x14ac:dyDescent="0.35">
      <c r="A46" s="97">
        <v>37</v>
      </c>
      <c r="B46" s="97">
        <v>2055</v>
      </c>
      <c r="C46" s="353">
        <v>0</v>
      </c>
      <c r="D46" s="353">
        <f t="shared" si="4"/>
        <v>75520.376640000002</v>
      </c>
      <c r="E46" s="353">
        <f t="shared" si="5"/>
        <v>5549.553899999999</v>
      </c>
      <c r="F46" s="353">
        <f t="shared" si="2"/>
        <v>62933.647200000007</v>
      </c>
      <c r="G46" s="369">
        <f t="shared" si="3"/>
        <v>4624.6282499999998</v>
      </c>
      <c r="H46" s="103" t="s">
        <v>151</v>
      </c>
      <c r="I46" s="357">
        <v>2392784.8816643832</v>
      </c>
      <c r="J46" s="353">
        <f t="shared" si="6"/>
        <v>107032.76336111664</v>
      </c>
      <c r="K46" s="353">
        <f t="shared" si="1"/>
        <v>255660.96935111666</v>
      </c>
      <c r="L46" s="1"/>
    </row>
    <row r="47" spans="1:12" ht="14.5" x14ac:dyDescent="0.35">
      <c r="A47" s="97">
        <v>38</v>
      </c>
      <c r="B47" s="97">
        <v>2056</v>
      </c>
      <c r="C47" s="353">
        <v>0</v>
      </c>
      <c r="D47" s="353">
        <f t="shared" si="4"/>
        <v>75520.376640000002</v>
      </c>
      <c r="E47" s="353">
        <f t="shared" si="5"/>
        <v>5549.553899999999</v>
      </c>
      <c r="F47" s="353">
        <f t="shared" ref="F47:F78" si="7">$K$3*$K$6</f>
        <v>62933.647200000007</v>
      </c>
      <c r="G47" s="369">
        <f t="shared" ref="G47:G78" si="8">$K$4*$K$6</f>
        <v>4624.6282499999998</v>
      </c>
      <c r="H47" s="103" t="s">
        <v>151</v>
      </c>
      <c r="I47" s="357">
        <v>2392784.8816643832</v>
      </c>
      <c r="J47" s="353">
        <f t="shared" si="6"/>
        <v>107032.76336111664</v>
      </c>
      <c r="K47" s="353">
        <f t="shared" si="1"/>
        <v>255660.96935111666</v>
      </c>
      <c r="L47" s="1"/>
    </row>
    <row r="48" spans="1:12" ht="14.5" x14ac:dyDescent="0.35">
      <c r="A48" s="97">
        <v>39</v>
      </c>
      <c r="B48" s="97">
        <v>2057</v>
      </c>
      <c r="C48" s="353">
        <v>0</v>
      </c>
      <c r="D48" s="353">
        <f t="shared" si="4"/>
        <v>75520.376640000002</v>
      </c>
      <c r="E48" s="353">
        <f t="shared" si="5"/>
        <v>5549.553899999999</v>
      </c>
      <c r="F48" s="353">
        <f t="shared" si="7"/>
        <v>62933.647200000007</v>
      </c>
      <c r="G48" s="369">
        <f t="shared" si="8"/>
        <v>4624.6282499999998</v>
      </c>
      <c r="H48" s="103" t="s">
        <v>151</v>
      </c>
      <c r="I48" s="357">
        <v>2392784.8816643832</v>
      </c>
      <c r="J48" s="353">
        <f t="shared" ref="J48:J79" si="9">(I48)*$K$8</f>
        <v>107032.76336111664</v>
      </c>
      <c r="K48" s="353">
        <f t="shared" si="1"/>
        <v>255660.96935111666</v>
      </c>
      <c r="L48" s="1"/>
    </row>
    <row r="49" spans="1:12" ht="14.5" x14ac:dyDescent="0.35">
      <c r="A49" s="97">
        <v>40</v>
      </c>
      <c r="B49" s="97">
        <v>2058</v>
      </c>
      <c r="C49" s="353">
        <v>0</v>
      </c>
      <c r="D49" s="353">
        <f t="shared" si="4"/>
        <v>75520.376640000002</v>
      </c>
      <c r="E49" s="353">
        <f t="shared" si="5"/>
        <v>5549.553899999999</v>
      </c>
      <c r="F49" s="353">
        <f t="shared" si="7"/>
        <v>62933.647200000007</v>
      </c>
      <c r="G49" s="369">
        <f t="shared" si="8"/>
        <v>4624.6282499999998</v>
      </c>
      <c r="H49" s="103" t="s">
        <v>151</v>
      </c>
      <c r="I49" s="357">
        <v>2392784.8816643832</v>
      </c>
      <c r="J49" s="353">
        <f t="shared" si="9"/>
        <v>107032.76336111664</v>
      </c>
      <c r="K49" s="353">
        <f t="shared" si="1"/>
        <v>255660.96935111666</v>
      </c>
      <c r="L49" s="1"/>
    </row>
    <row r="50" spans="1:12" ht="14.5" x14ac:dyDescent="0.35">
      <c r="A50" s="97">
        <v>41</v>
      </c>
      <c r="B50" s="97">
        <v>2059</v>
      </c>
      <c r="C50" s="353">
        <v>0</v>
      </c>
      <c r="D50" s="353">
        <f t="shared" si="4"/>
        <v>75520.376640000002</v>
      </c>
      <c r="E50" s="353">
        <f t="shared" si="5"/>
        <v>5549.553899999999</v>
      </c>
      <c r="F50" s="353">
        <f t="shared" si="7"/>
        <v>62933.647200000007</v>
      </c>
      <c r="G50" s="369">
        <f t="shared" si="8"/>
        <v>4624.6282499999998</v>
      </c>
      <c r="H50" s="103" t="s">
        <v>151</v>
      </c>
      <c r="I50" s="357">
        <v>2392784.8816643832</v>
      </c>
      <c r="J50" s="353">
        <f t="shared" si="9"/>
        <v>107032.76336111664</v>
      </c>
      <c r="K50" s="353">
        <f t="shared" si="1"/>
        <v>255660.96935111666</v>
      </c>
      <c r="L50" s="1"/>
    </row>
    <row r="51" spans="1:12" ht="14.5" x14ac:dyDescent="0.35">
      <c r="A51" s="97">
        <v>42</v>
      </c>
      <c r="B51" s="97">
        <v>2060</v>
      </c>
      <c r="C51" s="353">
        <v>0</v>
      </c>
      <c r="D51" s="353">
        <f t="shared" si="4"/>
        <v>75520.376640000002</v>
      </c>
      <c r="E51" s="353">
        <f t="shared" si="5"/>
        <v>5549.553899999999</v>
      </c>
      <c r="F51" s="353">
        <f t="shared" si="7"/>
        <v>62933.647200000007</v>
      </c>
      <c r="G51" s="369">
        <f t="shared" si="8"/>
        <v>4624.6282499999998</v>
      </c>
      <c r="H51" s="103" t="s">
        <v>151</v>
      </c>
      <c r="I51" s="357">
        <v>2392784.8816643832</v>
      </c>
      <c r="J51" s="353">
        <f t="shared" si="9"/>
        <v>107032.76336111664</v>
      </c>
      <c r="K51" s="353">
        <f t="shared" si="1"/>
        <v>255660.96935111666</v>
      </c>
      <c r="L51" s="1"/>
    </row>
    <row r="52" spans="1:12" ht="14.5" x14ac:dyDescent="0.35">
      <c r="A52" s="97">
        <v>43</v>
      </c>
      <c r="B52" s="97">
        <v>2061</v>
      </c>
      <c r="C52" s="353">
        <v>0</v>
      </c>
      <c r="D52" s="353">
        <f t="shared" si="4"/>
        <v>75520.376640000002</v>
      </c>
      <c r="E52" s="353">
        <f t="shared" si="5"/>
        <v>5549.553899999999</v>
      </c>
      <c r="F52" s="353">
        <f t="shared" si="7"/>
        <v>62933.647200000007</v>
      </c>
      <c r="G52" s="369">
        <f t="shared" si="8"/>
        <v>4624.6282499999998</v>
      </c>
      <c r="H52" s="103" t="s">
        <v>151</v>
      </c>
      <c r="I52" s="357">
        <v>2392784.8816643832</v>
      </c>
      <c r="J52" s="353">
        <f t="shared" si="9"/>
        <v>107032.76336111664</v>
      </c>
      <c r="K52" s="353">
        <f t="shared" si="1"/>
        <v>255660.96935111666</v>
      </c>
      <c r="L52" s="1"/>
    </row>
    <row r="53" spans="1:12" ht="14.5" x14ac:dyDescent="0.35">
      <c r="A53" s="97">
        <v>44</v>
      </c>
      <c r="B53" s="97">
        <v>2062</v>
      </c>
      <c r="C53" s="353">
        <v>0</v>
      </c>
      <c r="D53" s="353">
        <f t="shared" si="4"/>
        <v>75520.376640000002</v>
      </c>
      <c r="E53" s="353">
        <f t="shared" si="5"/>
        <v>5549.553899999999</v>
      </c>
      <c r="F53" s="353">
        <f t="shared" si="7"/>
        <v>62933.647200000007</v>
      </c>
      <c r="G53" s="369">
        <f t="shared" si="8"/>
        <v>4624.6282499999998</v>
      </c>
      <c r="H53" s="103" t="s">
        <v>151</v>
      </c>
      <c r="I53" s="357">
        <v>2392784.8816643832</v>
      </c>
      <c r="J53" s="353">
        <f t="shared" si="9"/>
        <v>107032.76336111664</v>
      </c>
      <c r="K53" s="353">
        <f t="shared" si="1"/>
        <v>255660.96935111666</v>
      </c>
      <c r="L53" s="1"/>
    </row>
    <row r="54" spans="1:12" ht="14.5" x14ac:dyDescent="0.35">
      <c r="A54" s="97">
        <v>45</v>
      </c>
      <c r="B54" s="97">
        <v>2063</v>
      </c>
      <c r="C54" s="353">
        <v>0</v>
      </c>
      <c r="D54" s="353">
        <f t="shared" si="4"/>
        <v>75520.376640000002</v>
      </c>
      <c r="E54" s="353">
        <f t="shared" si="5"/>
        <v>5549.553899999999</v>
      </c>
      <c r="F54" s="353">
        <f t="shared" si="7"/>
        <v>62933.647200000007</v>
      </c>
      <c r="G54" s="369">
        <f t="shared" si="8"/>
        <v>4624.6282499999998</v>
      </c>
      <c r="H54" s="103" t="s">
        <v>151</v>
      </c>
      <c r="I54" s="357">
        <v>2392784.8816643832</v>
      </c>
      <c r="J54" s="353">
        <f t="shared" si="9"/>
        <v>107032.76336111664</v>
      </c>
      <c r="K54" s="353">
        <f t="shared" si="1"/>
        <v>255660.96935111666</v>
      </c>
      <c r="L54" s="1"/>
    </row>
    <row r="55" spans="1:12" ht="14.5" x14ac:dyDescent="0.35">
      <c r="A55" s="97">
        <v>46</v>
      </c>
      <c r="B55" s="97">
        <v>2064</v>
      </c>
      <c r="C55" s="353">
        <v>0</v>
      </c>
      <c r="D55" s="353">
        <f t="shared" si="4"/>
        <v>75520.376640000002</v>
      </c>
      <c r="E55" s="353">
        <f t="shared" si="5"/>
        <v>5549.553899999999</v>
      </c>
      <c r="F55" s="353">
        <f t="shared" si="7"/>
        <v>62933.647200000007</v>
      </c>
      <c r="G55" s="369">
        <f t="shared" si="8"/>
        <v>4624.6282499999998</v>
      </c>
      <c r="H55" s="103" t="s">
        <v>151</v>
      </c>
      <c r="I55" s="357">
        <v>2392784.8816643832</v>
      </c>
      <c r="J55" s="353">
        <f t="shared" si="9"/>
        <v>107032.76336111664</v>
      </c>
      <c r="K55" s="353">
        <f t="shared" si="1"/>
        <v>255660.96935111666</v>
      </c>
      <c r="L55" s="1"/>
    </row>
    <row r="56" spans="1:12" ht="14.5" x14ac:dyDescent="0.35">
      <c r="A56" s="97">
        <v>47</v>
      </c>
      <c r="B56" s="97">
        <v>2065</v>
      </c>
      <c r="C56" s="353">
        <v>0</v>
      </c>
      <c r="D56" s="353">
        <f t="shared" si="4"/>
        <v>75520.376640000002</v>
      </c>
      <c r="E56" s="353">
        <f t="shared" si="5"/>
        <v>5549.553899999999</v>
      </c>
      <c r="F56" s="353">
        <f t="shared" si="7"/>
        <v>62933.647200000007</v>
      </c>
      <c r="G56" s="369">
        <f t="shared" si="8"/>
        <v>4624.6282499999998</v>
      </c>
      <c r="H56" s="103" t="s">
        <v>151</v>
      </c>
      <c r="I56" s="357">
        <v>2392784.8816643832</v>
      </c>
      <c r="J56" s="353">
        <f t="shared" si="9"/>
        <v>107032.76336111664</v>
      </c>
      <c r="K56" s="353">
        <f t="shared" si="1"/>
        <v>255660.96935111666</v>
      </c>
      <c r="L56" s="1"/>
    </row>
    <row r="57" spans="1:12" ht="14.5" x14ac:dyDescent="0.35">
      <c r="A57" s="97">
        <v>48</v>
      </c>
      <c r="B57" s="97">
        <v>2066</v>
      </c>
      <c r="C57" s="353">
        <v>0</v>
      </c>
      <c r="D57" s="353">
        <f t="shared" si="4"/>
        <v>75520.376640000002</v>
      </c>
      <c r="E57" s="353">
        <f t="shared" si="5"/>
        <v>5549.553899999999</v>
      </c>
      <c r="F57" s="353">
        <f t="shared" si="7"/>
        <v>62933.647200000007</v>
      </c>
      <c r="G57" s="369">
        <f t="shared" si="8"/>
        <v>4624.6282499999998</v>
      </c>
      <c r="H57" s="103" t="s">
        <v>151</v>
      </c>
      <c r="I57" s="357">
        <v>2392784.8816643832</v>
      </c>
      <c r="J57" s="353">
        <f t="shared" si="9"/>
        <v>107032.76336111664</v>
      </c>
      <c r="K57" s="353">
        <f t="shared" si="1"/>
        <v>255660.96935111666</v>
      </c>
      <c r="L57" s="1"/>
    </row>
    <row r="58" spans="1:12" ht="14.5" x14ac:dyDescent="0.35">
      <c r="A58" s="97">
        <v>49</v>
      </c>
      <c r="B58" s="97">
        <v>2067</v>
      </c>
      <c r="C58" s="353">
        <v>0</v>
      </c>
      <c r="D58" s="353">
        <f t="shared" si="4"/>
        <v>75520.376640000002</v>
      </c>
      <c r="E58" s="353">
        <f t="shared" si="5"/>
        <v>5549.553899999999</v>
      </c>
      <c r="F58" s="353">
        <f t="shared" si="7"/>
        <v>62933.647200000007</v>
      </c>
      <c r="G58" s="369">
        <f t="shared" si="8"/>
        <v>4624.6282499999998</v>
      </c>
      <c r="H58" s="103" t="s">
        <v>151</v>
      </c>
      <c r="I58" s="357">
        <v>2392784.8816643832</v>
      </c>
      <c r="J58" s="353">
        <f t="shared" si="9"/>
        <v>107032.76336111664</v>
      </c>
      <c r="K58" s="353">
        <f t="shared" si="1"/>
        <v>255660.96935111666</v>
      </c>
      <c r="L58" s="1"/>
    </row>
    <row r="59" spans="1:12" ht="14.5" x14ac:dyDescent="0.35">
      <c r="A59" s="97">
        <v>50</v>
      </c>
      <c r="B59" s="97">
        <v>2068</v>
      </c>
      <c r="C59" s="353">
        <v>0</v>
      </c>
      <c r="D59" s="353">
        <f t="shared" si="4"/>
        <v>75520.376640000002</v>
      </c>
      <c r="E59" s="353">
        <f t="shared" si="5"/>
        <v>5549.553899999999</v>
      </c>
      <c r="F59" s="353">
        <f t="shared" si="7"/>
        <v>62933.647200000007</v>
      </c>
      <c r="G59" s="369">
        <f t="shared" si="8"/>
        <v>4624.6282499999998</v>
      </c>
      <c r="H59" s="103" t="s">
        <v>151</v>
      </c>
      <c r="I59" s="357">
        <v>2392784.8816643832</v>
      </c>
      <c r="J59" s="353">
        <f t="shared" si="9"/>
        <v>107032.76336111664</v>
      </c>
      <c r="K59" s="353">
        <f t="shared" si="1"/>
        <v>255660.96935111666</v>
      </c>
      <c r="L59" s="7"/>
    </row>
    <row r="60" spans="1:12" ht="14.5" x14ac:dyDescent="0.35">
      <c r="A60" s="97">
        <v>51</v>
      </c>
      <c r="B60" s="97">
        <v>2069</v>
      </c>
      <c r="C60" s="353">
        <v>0</v>
      </c>
      <c r="D60" s="353">
        <f t="shared" si="4"/>
        <v>75520.376640000002</v>
      </c>
      <c r="E60" s="353">
        <f t="shared" si="5"/>
        <v>5549.553899999999</v>
      </c>
      <c r="F60" s="353">
        <f t="shared" si="7"/>
        <v>62933.647200000007</v>
      </c>
      <c r="G60" s="369">
        <f t="shared" si="8"/>
        <v>4624.6282499999998</v>
      </c>
      <c r="H60" s="103" t="s">
        <v>151</v>
      </c>
      <c r="I60" s="357">
        <v>2392784.8816643832</v>
      </c>
      <c r="J60" s="353">
        <f t="shared" si="9"/>
        <v>107032.76336111664</v>
      </c>
      <c r="K60" s="353">
        <f t="shared" si="1"/>
        <v>255660.96935111666</v>
      </c>
      <c r="L60" s="1"/>
    </row>
    <row r="61" spans="1:12" ht="14.5" x14ac:dyDescent="0.35">
      <c r="A61" s="97">
        <v>52</v>
      </c>
      <c r="B61" s="97">
        <v>2070</v>
      </c>
      <c r="C61" s="353">
        <v>0</v>
      </c>
      <c r="D61" s="353">
        <f t="shared" si="4"/>
        <v>75520.376640000002</v>
      </c>
      <c r="E61" s="353">
        <f t="shared" si="5"/>
        <v>5549.553899999999</v>
      </c>
      <c r="F61" s="353">
        <f t="shared" si="7"/>
        <v>62933.647200000007</v>
      </c>
      <c r="G61" s="369">
        <f t="shared" si="8"/>
        <v>4624.6282499999998</v>
      </c>
      <c r="H61" s="103" t="s">
        <v>151</v>
      </c>
      <c r="I61" s="357">
        <v>2392784.8816643832</v>
      </c>
      <c r="J61" s="353">
        <f t="shared" si="9"/>
        <v>107032.76336111664</v>
      </c>
      <c r="K61" s="353">
        <f t="shared" si="1"/>
        <v>255660.96935111666</v>
      </c>
      <c r="L61" s="1"/>
    </row>
    <row r="62" spans="1:12" ht="14.5" x14ac:dyDescent="0.35">
      <c r="A62" s="97">
        <v>53</v>
      </c>
      <c r="B62" s="97">
        <v>2071</v>
      </c>
      <c r="C62" s="353">
        <v>0</v>
      </c>
      <c r="D62" s="353">
        <f t="shared" si="4"/>
        <v>75520.376640000002</v>
      </c>
      <c r="E62" s="353">
        <f t="shared" si="5"/>
        <v>5549.553899999999</v>
      </c>
      <c r="F62" s="353">
        <f t="shared" si="7"/>
        <v>62933.647200000007</v>
      </c>
      <c r="G62" s="369">
        <f t="shared" si="8"/>
        <v>4624.6282499999998</v>
      </c>
      <c r="H62" s="103" t="s">
        <v>151</v>
      </c>
      <c r="I62" s="357">
        <v>2392784.8816643832</v>
      </c>
      <c r="J62" s="353">
        <f t="shared" si="9"/>
        <v>107032.76336111664</v>
      </c>
      <c r="K62" s="353">
        <f t="shared" si="1"/>
        <v>255660.96935111666</v>
      </c>
      <c r="L62" s="1"/>
    </row>
    <row r="63" spans="1:12" ht="14.5" x14ac:dyDescent="0.35">
      <c r="A63" s="97">
        <v>54</v>
      </c>
      <c r="B63" s="97">
        <v>2072</v>
      </c>
      <c r="C63" s="353">
        <v>0</v>
      </c>
      <c r="D63" s="353">
        <f t="shared" si="4"/>
        <v>75520.376640000002</v>
      </c>
      <c r="E63" s="353">
        <f t="shared" si="5"/>
        <v>5549.553899999999</v>
      </c>
      <c r="F63" s="353">
        <f t="shared" si="7"/>
        <v>62933.647200000007</v>
      </c>
      <c r="G63" s="369">
        <f t="shared" si="8"/>
        <v>4624.6282499999998</v>
      </c>
      <c r="H63" s="103" t="s">
        <v>151</v>
      </c>
      <c r="I63" s="357">
        <v>2392784.8816643832</v>
      </c>
      <c r="J63" s="353">
        <f t="shared" si="9"/>
        <v>107032.76336111664</v>
      </c>
      <c r="K63" s="353">
        <f t="shared" si="1"/>
        <v>255660.96935111666</v>
      </c>
      <c r="L63" s="1"/>
    </row>
    <row r="64" spans="1:12" ht="14.5" x14ac:dyDescent="0.35">
      <c r="A64" s="97">
        <v>55</v>
      </c>
      <c r="B64" s="97">
        <v>2073</v>
      </c>
      <c r="C64" s="353">
        <v>0</v>
      </c>
      <c r="D64" s="353">
        <f t="shared" si="4"/>
        <v>75520.376640000002</v>
      </c>
      <c r="E64" s="353">
        <f t="shared" si="5"/>
        <v>5549.553899999999</v>
      </c>
      <c r="F64" s="353">
        <f t="shared" si="7"/>
        <v>62933.647200000007</v>
      </c>
      <c r="G64" s="369">
        <f t="shared" si="8"/>
        <v>4624.6282499999998</v>
      </c>
      <c r="H64" s="103" t="s">
        <v>151</v>
      </c>
      <c r="I64" s="357">
        <v>2392784.8816643832</v>
      </c>
      <c r="J64" s="353">
        <f t="shared" si="9"/>
        <v>107032.76336111664</v>
      </c>
      <c r="K64" s="353">
        <f t="shared" si="1"/>
        <v>255660.96935111666</v>
      </c>
      <c r="L64" s="1"/>
    </row>
    <row r="65" spans="1:12" ht="14.5" x14ac:dyDescent="0.35">
      <c r="A65" s="97">
        <v>56</v>
      </c>
      <c r="B65" s="97">
        <v>2074</v>
      </c>
      <c r="C65" s="353">
        <v>0</v>
      </c>
      <c r="D65" s="353">
        <f t="shared" si="4"/>
        <v>75520.376640000002</v>
      </c>
      <c r="E65" s="353">
        <f t="shared" si="5"/>
        <v>5549.553899999999</v>
      </c>
      <c r="F65" s="353">
        <f t="shared" si="7"/>
        <v>62933.647200000007</v>
      </c>
      <c r="G65" s="369">
        <f t="shared" si="8"/>
        <v>4624.6282499999998</v>
      </c>
      <c r="H65" s="103" t="s">
        <v>151</v>
      </c>
      <c r="I65" s="357">
        <v>2392784.8816643832</v>
      </c>
      <c r="J65" s="353">
        <f t="shared" si="9"/>
        <v>107032.76336111664</v>
      </c>
      <c r="K65" s="353">
        <f t="shared" si="1"/>
        <v>255660.96935111666</v>
      </c>
      <c r="L65" s="1"/>
    </row>
    <row r="66" spans="1:12" ht="14.5" x14ac:dyDescent="0.35">
      <c r="A66" s="97">
        <v>57</v>
      </c>
      <c r="B66" s="97">
        <v>2075</v>
      </c>
      <c r="C66" s="353">
        <v>0</v>
      </c>
      <c r="D66" s="353">
        <f t="shared" si="4"/>
        <v>75520.376640000002</v>
      </c>
      <c r="E66" s="353">
        <f t="shared" si="5"/>
        <v>5549.553899999999</v>
      </c>
      <c r="F66" s="353">
        <f t="shared" si="7"/>
        <v>62933.647200000007</v>
      </c>
      <c r="G66" s="369">
        <f t="shared" si="8"/>
        <v>4624.6282499999998</v>
      </c>
      <c r="H66" s="103" t="s">
        <v>151</v>
      </c>
      <c r="I66" s="357">
        <v>2392784.8816643832</v>
      </c>
      <c r="J66" s="353">
        <f t="shared" si="9"/>
        <v>107032.76336111664</v>
      </c>
      <c r="K66" s="353">
        <f t="shared" si="1"/>
        <v>255660.96935111666</v>
      </c>
      <c r="L66" s="1"/>
    </row>
    <row r="67" spans="1:12" ht="14.5" x14ac:dyDescent="0.35">
      <c r="A67" s="97">
        <v>58</v>
      </c>
      <c r="B67" s="97">
        <v>2076</v>
      </c>
      <c r="C67" s="353">
        <v>0</v>
      </c>
      <c r="D67" s="353">
        <f t="shared" si="4"/>
        <v>75520.376640000002</v>
      </c>
      <c r="E67" s="353">
        <f t="shared" si="5"/>
        <v>5549.553899999999</v>
      </c>
      <c r="F67" s="353">
        <f t="shared" si="7"/>
        <v>62933.647200000007</v>
      </c>
      <c r="G67" s="369">
        <f t="shared" si="8"/>
        <v>4624.6282499999998</v>
      </c>
      <c r="H67" s="103" t="s">
        <v>151</v>
      </c>
      <c r="I67" s="357">
        <v>2392784.8816643832</v>
      </c>
      <c r="J67" s="353">
        <f t="shared" si="9"/>
        <v>107032.76336111664</v>
      </c>
      <c r="K67" s="353">
        <f t="shared" si="1"/>
        <v>255660.96935111666</v>
      </c>
      <c r="L67" s="1"/>
    </row>
    <row r="68" spans="1:12" ht="14.5" x14ac:dyDescent="0.35">
      <c r="A68" s="97">
        <v>59</v>
      </c>
      <c r="B68" s="97">
        <v>2077</v>
      </c>
      <c r="C68" s="353">
        <v>0</v>
      </c>
      <c r="D68" s="353">
        <f t="shared" si="4"/>
        <v>75520.376640000002</v>
      </c>
      <c r="E68" s="353">
        <f t="shared" si="5"/>
        <v>5549.553899999999</v>
      </c>
      <c r="F68" s="353">
        <f t="shared" si="7"/>
        <v>62933.647200000007</v>
      </c>
      <c r="G68" s="369">
        <f t="shared" si="8"/>
        <v>4624.6282499999998</v>
      </c>
      <c r="H68" s="103" t="s">
        <v>151</v>
      </c>
      <c r="I68" s="357">
        <v>2392784.8816643832</v>
      </c>
      <c r="J68" s="353">
        <f t="shared" si="9"/>
        <v>107032.76336111664</v>
      </c>
      <c r="K68" s="353">
        <f t="shared" si="1"/>
        <v>255660.96935111666</v>
      </c>
      <c r="L68" s="1"/>
    </row>
    <row r="69" spans="1:12" ht="14.5" x14ac:dyDescent="0.35">
      <c r="A69" s="97">
        <v>60</v>
      </c>
      <c r="B69" s="97">
        <v>2078</v>
      </c>
      <c r="C69" s="353">
        <v>0</v>
      </c>
      <c r="D69" s="353">
        <f t="shared" si="4"/>
        <v>75520.376640000002</v>
      </c>
      <c r="E69" s="353">
        <f t="shared" si="5"/>
        <v>5549.553899999999</v>
      </c>
      <c r="F69" s="353">
        <f t="shared" si="7"/>
        <v>62933.647200000007</v>
      </c>
      <c r="G69" s="369">
        <f t="shared" si="8"/>
        <v>4624.6282499999998</v>
      </c>
      <c r="H69" s="103" t="s">
        <v>151</v>
      </c>
      <c r="I69" s="357">
        <v>2392784.8816643832</v>
      </c>
      <c r="J69" s="353">
        <f t="shared" si="9"/>
        <v>107032.76336111664</v>
      </c>
      <c r="K69" s="353">
        <f t="shared" si="1"/>
        <v>255660.96935111666</v>
      </c>
      <c r="L69" s="1"/>
    </row>
    <row r="70" spans="1:12" ht="14.5" x14ac:dyDescent="0.35">
      <c r="A70" s="97">
        <v>61</v>
      </c>
      <c r="B70" s="97">
        <v>2079</v>
      </c>
      <c r="C70" s="353">
        <v>0</v>
      </c>
      <c r="D70" s="353">
        <f t="shared" si="4"/>
        <v>75520.376640000002</v>
      </c>
      <c r="E70" s="353">
        <f t="shared" si="5"/>
        <v>5549.553899999999</v>
      </c>
      <c r="F70" s="353">
        <f t="shared" si="7"/>
        <v>62933.647200000007</v>
      </c>
      <c r="G70" s="369">
        <f t="shared" si="8"/>
        <v>4624.6282499999998</v>
      </c>
      <c r="H70" s="103" t="s">
        <v>151</v>
      </c>
      <c r="I70" s="357">
        <v>2392784.8816643832</v>
      </c>
      <c r="J70" s="353">
        <f t="shared" si="9"/>
        <v>107032.76336111664</v>
      </c>
      <c r="K70" s="353">
        <f t="shared" si="1"/>
        <v>255660.96935111666</v>
      </c>
      <c r="L70" s="1"/>
    </row>
    <row r="71" spans="1:12" ht="14.5" x14ac:dyDescent="0.35">
      <c r="A71" s="97">
        <v>62</v>
      </c>
      <c r="B71" s="97">
        <v>2080</v>
      </c>
      <c r="C71" s="353">
        <v>0</v>
      </c>
      <c r="D71" s="353">
        <f t="shared" si="4"/>
        <v>75520.376640000002</v>
      </c>
      <c r="E71" s="353">
        <f t="shared" si="5"/>
        <v>5549.553899999999</v>
      </c>
      <c r="F71" s="353">
        <f t="shared" si="7"/>
        <v>62933.647200000007</v>
      </c>
      <c r="G71" s="369">
        <f t="shared" si="8"/>
        <v>4624.6282499999998</v>
      </c>
      <c r="H71" s="103" t="s">
        <v>151</v>
      </c>
      <c r="I71" s="357">
        <v>2392784.8816643832</v>
      </c>
      <c r="J71" s="353">
        <f t="shared" si="9"/>
        <v>107032.76336111664</v>
      </c>
      <c r="K71" s="353">
        <f t="shared" si="1"/>
        <v>255660.96935111666</v>
      </c>
      <c r="L71" s="1"/>
    </row>
    <row r="72" spans="1:12" ht="14.5" x14ac:dyDescent="0.35">
      <c r="A72" s="97">
        <v>63</v>
      </c>
      <c r="B72" s="97">
        <v>2081</v>
      </c>
      <c r="C72" s="353">
        <v>0</v>
      </c>
      <c r="D72" s="353">
        <f t="shared" si="4"/>
        <v>75520.376640000002</v>
      </c>
      <c r="E72" s="353">
        <f t="shared" si="5"/>
        <v>5549.553899999999</v>
      </c>
      <c r="F72" s="353">
        <f t="shared" si="7"/>
        <v>62933.647200000007</v>
      </c>
      <c r="G72" s="369">
        <f t="shared" si="8"/>
        <v>4624.6282499999998</v>
      </c>
      <c r="H72" s="103" t="s">
        <v>151</v>
      </c>
      <c r="I72" s="357">
        <v>2392784.8816643832</v>
      </c>
      <c r="J72" s="353">
        <f t="shared" si="9"/>
        <v>107032.76336111664</v>
      </c>
      <c r="K72" s="353">
        <f t="shared" si="1"/>
        <v>255660.96935111666</v>
      </c>
      <c r="L72" s="1"/>
    </row>
    <row r="73" spans="1:12" ht="14.5" x14ac:dyDescent="0.35">
      <c r="A73" s="97">
        <v>64</v>
      </c>
      <c r="B73" s="97">
        <v>2082</v>
      </c>
      <c r="C73" s="353">
        <v>0</v>
      </c>
      <c r="D73" s="353">
        <f t="shared" si="4"/>
        <v>75520.376640000002</v>
      </c>
      <c r="E73" s="353">
        <f t="shared" si="5"/>
        <v>5549.553899999999</v>
      </c>
      <c r="F73" s="353">
        <f t="shared" si="7"/>
        <v>62933.647200000007</v>
      </c>
      <c r="G73" s="369">
        <f t="shared" si="8"/>
        <v>4624.6282499999998</v>
      </c>
      <c r="H73" s="103" t="s">
        <v>151</v>
      </c>
      <c r="I73" s="357">
        <v>2392784.8816643832</v>
      </c>
      <c r="J73" s="353">
        <f t="shared" si="9"/>
        <v>107032.76336111664</v>
      </c>
      <c r="K73" s="353">
        <f t="shared" si="1"/>
        <v>255660.96935111666</v>
      </c>
      <c r="L73" s="1"/>
    </row>
    <row r="74" spans="1:12" ht="14.5" x14ac:dyDescent="0.35">
      <c r="A74" s="97">
        <v>65</v>
      </c>
      <c r="B74" s="97">
        <v>2083</v>
      </c>
      <c r="C74" s="353">
        <v>0</v>
      </c>
      <c r="D74" s="353">
        <f t="shared" si="4"/>
        <v>75520.376640000002</v>
      </c>
      <c r="E74" s="353">
        <f t="shared" si="5"/>
        <v>5549.553899999999</v>
      </c>
      <c r="F74" s="353">
        <f t="shared" si="7"/>
        <v>62933.647200000007</v>
      </c>
      <c r="G74" s="369">
        <f t="shared" si="8"/>
        <v>4624.6282499999998</v>
      </c>
      <c r="H74" s="103" t="s">
        <v>151</v>
      </c>
      <c r="I74" s="357">
        <v>2392784.8816643832</v>
      </c>
      <c r="J74" s="353">
        <f t="shared" si="9"/>
        <v>107032.76336111664</v>
      </c>
      <c r="K74" s="353">
        <f t="shared" si="1"/>
        <v>255660.96935111666</v>
      </c>
      <c r="L74" s="1"/>
    </row>
    <row r="75" spans="1:12" ht="14.5" x14ac:dyDescent="0.35">
      <c r="A75" s="97">
        <v>66</v>
      </c>
      <c r="B75" s="97">
        <v>2084</v>
      </c>
      <c r="C75" s="353">
        <v>0</v>
      </c>
      <c r="D75" s="353">
        <f t="shared" si="4"/>
        <v>75520.376640000002</v>
      </c>
      <c r="E75" s="353">
        <f t="shared" si="5"/>
        <v>5549.553899999999</v>
      </c>
      <c r="F75" s="353">
        <f t="shared" si="7"/>
        <v>62933.647200000007</v>
      </c>
      <c r="G75" s="369">
        <f t="shared" si="8"/>
        <v>4624.6282499999998</v>
      </c>
      <c r="H75" s="103" t="s">
        <v>151</v>
      </c>
      <c r="I75" s="357">
        <v>2392784.8816643832</v>
      </c>
      <c r="J75" s="353">
        <f t="shared" si="9"/>
        <v>107032.76336111664</v>
      </c>
      <c r="K75" s="353">
        <f t="shared" ref="K75:K109" si="10">SUM(C75:H75,J75)</f>
        <v>255660.96935111666</v>
      </c>
      <c r="L75" s="1"/>
    </row>
    <row r="76" spans="1:12" ht="14.5" x14ac:dyDescent="0.35">
      <c r="A76" s="97">
        <v>67</v>
      </c>
      <c r="B76" s="97">
        <v>2085</v>
      </c>
      <c r="C76" s="353">
        <v>0</v>
      </c>
      <c r="D76" s="353">
        <f t="shared" si="4"/>
        <v>75520.376640000002</v>
      </c>
      <c r="E76" s="353">
        <f t="shared" si="5"/>
        <v>5549.553899999999</v>
      </c>
      <c r="F76" s="353">
        <f t="shared" si="7"/>
        <v>62933.647200000007</v>
      </c>
      <c r="G76" s="369">
        <f t="shared" si="8"/>
        <v>4624.6282499999998</v>
      </c>
      <c r="H76" s="103" t="s">
        <v>151</v>
      </c>
      <c r="I76" s="357">
        <v>2392784.8816643832</v>
      </c>
      <c r="J76" s="353">
        <f t="shared" si="9"/>
        <v>107032.76336111664</v>
      </c>
      <c r="K76" s="353">
        <f t="shared" si="10"/>
        <v>255660.96935111666</v>
      </c>
      <c r="L76" s="1"/>
    </row>
    <row r="77" spans="1:12" ht="14.5" x14ac:dyDescent="0.35">
      <c r="A77" s="97">
        <v>68</v>
      </c>
      <c r="B77" s="97">
        <v>2086</v>
      </c>
      <c r="C77" s="353">
        <v>0</v>
      </c>
      <c r="D77" s="353">
        <f t="shared" si="4"/>
        <v>75520.376640000002</v>
      </c>
      <c r="E77" s="353">
        <f t="shared" si="5"/>
        <v>5549.553899999999</v>
      </c>
      <c r="F77" s="353">
        <f t="shared" si="7"/>
        <v>62933.647200000007</v>
      </c>
      <c r="G77" s="369">
        <f t="shared" si="8"/>
        <v>4624.6282499999998</v>
      </c>
      <c r="H77" s="103" t="s">
        <v>151</v>
      </c>
      <c r="I77" s="357">
        <v>2392784.8816643832</v>
      </c>
      <c r="J77" s="353">
        <f t="shared" si="9"/>
        <v>107032.76336111664</v>
      </c>
      <c r="K77" s="353">
        <f t="shared" si="10"/>
        <v>255660.96935111666</v>
      </c>
      <c r="L77" s="1"/>
    </row>
    <row r="78" spans="1:12" ht="14.5" x14ac:dyDescent="0.35">
      <c r="A78" s="97">
        <v>69</v>
      </c>
      <c r="B78" s="97">
        <v>2087</v>
      </c>
      <c r="C78" s="353">
        <v>0</v>
      </c>
      <c r="D78" s="353">
        <f t="shared" si="4"/>
        <v>75520.376640000002</v>
      </c>
      <c r="E78" s="353">
        <f t="shared" si="5"/>
        <v>5549.553899999999</v>
      </c>
      <c r="F78" s="353">
        <f t="shared" si="7"/>
        <v>62933.647200000007</v>
      </c>
      <c r="G78" s="369">
        <f t="shared" si="8"/>
        <v>4624.6282499999998</v>
      </c>
      <c r="H78" s="103" t="s">
        <v>151</v>
      </c>
      <c r="I78" s="357">
        <v>2392784.8816643832</v>
      </c>
      <c r="J78" s="353">
        <f t="shared" si="9"/>
        <v>107032.76336111664</v>
      </c>
      <c r="K78" s="353">
        <f t="shared" si="10"/>
        <v>255660.96935111666</v>
      </c>
      <c r="L78" s="1"/>
    </row>
    <row r="79" spans="1:12" ht="14.5" x14ac:dyDescent="0.35">
      <c r="A79" s="97">
        <v>70</v>
      </c>
      <c r="B79" s="97">
        <v>2088</v>
      </c>
      <c r="C79" s="353">
        <v>0</v>
      </c>
      <c r="D79" s="353">
        <f t="shared" si="4"/>
        <v>75520.376640000002</v>
      </c>
      <c r="E79" s="353">
        <f t="shared" si="5"/>
        <v>5549.553899999999</v>
      </c>
      <c r="F79" s="353">
        <f t="shared" ref="F79:F109" si="11">$K$3*$K$6</f>
        <v>62933.647200000007</v>
      </c>
      <c r="G79" s="369">
        <f t="shared" ref="G79:G109" si="12">$K$4*$K$6</f>
        <v>4624.6282499999998</v>
      </c>
      <c r="H79" s="103" t="s">
        <v>151</v>
      </c>
      <c r="I79" s="357">
        <v>2392784.8816643832</v>
      </c>
      <c r="J79" s="353">
        <f t="shared" si="9"/>
        <v>107032.76336111664</v>
      </c>
      <c r="K79" s="353">
        <f t="shared" si="10"/>
        <v>255660.96935111666</v>
      </c>
      <c r="L79" s="1"/>
    </row>
    <row r="80" spans="1:12" ht="14.5" x14ac:dyDescent="0.35">
      <c r="A80" s="97">
        <v>71</v>
      </c>
      <c r="B80" s="97">
        <v>2089</v>
      </c>
      <c r="C80" s="353">
        <v>0</v>
      </c>
      <c r="D80" s="353">
        <f t="shared" ref="D80:D109" si="13">$K$3*$K$5</f>
        <v>75520.376640000002</v>
      </c>
      <c r="E80" s="353">
        <f t="shared" ref="E80:E109" si="14">$K$4*$K$5</f>
        <v>5549.553899999999</v>
      </c>
      <c r="F80" s="353">
        <f t="shared" si="11"/>
        <v>62933.647200000007</v>
      </c>
      <c r="G80" s="369">
        <f t="shared" si="12"/>
        <v>4624.6282499999998</v>
      </c>
      <c r="H80" s="103" t="s">
        <v>151</v>
      </c>
      <c r="I80" s="357">
        <v>2392784.8816643832</v>
      </c>
      <c r="J80" s="353">
        <f t="shared" ref="J80:J109" si="15">(I80)*$K$8</f>
        <v>107032.76336111664</v>
      </c>
      <c r="K80" s="353">
        <f t="shared" si="10"/>
        <v>255660.96935111666</v>
      </c>
      <c r="L80" s="1"/>
    </row>
    <row r="81" spans="1:12" ht="14.5" x14ac:dyDescent="0.35">
      <c r="A81" s="97">
        <v>72</v>
      </c>
      <c r="B81" s="97">
        <v>2090</v>
      </c>
      <c r="C81" s="353">
        <v>0</v>
      </c>
      <c r="D81" s="353">
        <f t="shared" si="13"/>
        <v>75520.376640000002</v>
      </c>
      <c r="E81" s="353">
        <f t="shared" si="14"/>
        <v>5549.553899999999</v>
      </c>
      <c r="F81" s="353">
        <f t="shared" si="11"/>
        <v>62933.647200000007</v>
      </c>
      <c r="G81" s="369">
        <f t="shared" si="12"/>
        <v>4624.6282499999998</v>
      </c>
      <c r="H81" s="103" t="s">
        <v>151</v>
      </c>
      <c r="I81" s="357">
        <v>2392784.8816643832</v>
      </c>
      <c r="J81" s="353">
        <f t="shared" si="15"/>
        <v>107032.76336111664</v>
      </c>
      <c r="K81" s="353">
        <f t="shared" si="10"/>
        <v>255660.96935111666</v>
      </c>
      <c r="L81" s="1"/>
    </row>
    <row r="82" spans="1:12" ht="14.5" x14ac:dyDescent="0.35">
      <c r="A82" s="97">
        <v>73</v>
      </c>
      <c r="B82" s="97">
        <v>2091</v>
      </c>
      <c r="C82" s="353">
        <v>0</v>
      </c>
      <c r="D82" s="353">
        <f t="shared" si="13"/>
        <v>75520.376640000002</v>
      </c>
      <c r="E82" s="353">
        <f t="shared" si="14"/>
        <v>5549.553899999999</v>
      </c>
      <c r="F82" s="353">
        <f t="shared" si="11"/>
        <v>62933.647200000007</v>
      </c>
      <c r="G82" s="369">
        <f t="shared" si="12"/>
        <v>4624.6282499999998</v>
      </c>
      <c r="H82" s="103" t="s">
        <v>151</v>
      </c>
      <c r="I82" s="357">
        <v>2392784.8816643832</v>
      </c>
      <c r="J82" s="353">
        <f t="shared" si="15"/>
        <v>107032.76336111664</v>
      </c>
      <c r="K82" s="353">
        <f t="shared" si="10"/>
        <v>255660.96935111666</v>
      </c>
      <c r="L82" s="1"/>
    </row>
    <row r="83" spans="1:12" ht="14.5" x14ac:dyDescent="0.35">
      <c r="A83" s="97">
        <v>74</v>
      </c>
      <c r="B83" s="97">
        <v>2092</v>
      </c>
      <c r="C83" s="353">
        <v>0</v>
      </c>
      <c r="D83" s="353">
        <f t="shared" si="13"/>
        <v>75520.376640000002</v>
      </c>
      <c r="E83" s="353">
        <f t="shared" si="14"/>
        <v>5549.553899999999</v>
      </c>
      <c r="F83" s="353">
        <f t="shared" si="11"/>
        <v>62933.647200000007</v>
      </c>
      <c r="G83" s="369">
        <f t="shared" si="12"/>
        <v>4624.6282499999998</v>
      </c>
      <c r="H83" s="103" t="s">
        <v>151</v>
      </c>
      <c r="I83" s="357">
        <v>2392784.8816643832</v>
      </c>
      <c r="J83" s="353">
        <f t="shared" si="15"/>
        <v>107032.76336111664</v>
      </c>
      <c r="K83" s="353">
        <f t="shared" si="10"/>
        <v>255660.96935111666</v>
      </c>
      <c r="L83" s="1"/>
    </row>
    <row r="84" spans="1:12" ht="14.5" x14ac:dyDescent="0.35">
      <c r="A84" s="97">
        <v>75</v>
      </c>
      <c r="B84" s="97">
        <v>2093</v>
      </c>
      <c r="C84" s="353">
        <v>0</v>
      </c>
      <c r="D84" s="353">
        <f t="shared" si="13"/>
        <v>75520.376640000002</v>
      </c>
      <c r="E84" s="353">
        <f t="shared" si="14"/>
        <v>5549.553899999999</v>
      </c>
      <c r="F84" s="353">
        <f t="shared" si="11"/>
        <v>62933.647200000007</v>
      </c>
      <c r="G84" s="369">
        <f t="shared" si="12"/>
        <v>4624.6282499999998</v>
      </c>
      <c r="H84" s="103" t="s">
        <v>151</v>
      </c>
      <c r="I84" s="357">
        <v>2392784.8816643832</v>
      </c>
      <c r="J84" s="353">
        <f t="shared" si="15"/>
        <v>107032.76336111664</v>
      </c>
      <c r="K84" s="353">
        <f t="shared" si="10"/>
        <v>255660.96935111666</v>
      </c>
      <c r="L84" s="1"/>
    </row>
    <row r="85" spans="1:12" ht="14.5" x14ac:dyDescent="0.35">
      <c r="A85" s="97">
        <v>76</v>
      </c>
      <c r="B85" s="97">
        <v>2094</v>
      </c>
      <c r="C85" s="353">
        <v>0</v>
      </c>
      <c r="D85" s="353">
        <f t="shared" si="13"/>
        <v>75520.376640000002</v>
      </c>
      <c r="E85" s="353">
        <f t="shared" si="14"/>
        <v>5549.553899999999</v>
      </c>
      <c r="F85" s="353">
        <f t="shared" si="11"/>
        <v>62933.647200000007</v>
      </c>
      <c r="G85" s="369">
        <f t="shared" si="12"/>
        <v>4624.6282499999998</v>
      </c>
      <c r="H85" s="103" t="s">
        <v>151</v>
      </c>
      <c r="I85" s="357">
        <v>2392784.8816643832</v>
      </c>
      <c r="J85" s="353">
        <f t="shared" si="15"/>
        <v>107032.76336111664</v>
      </c>
      <c r="K85" s="353">
        <f t="shared" si="10"/>
        <v>255660.96935111666</v>
      </c>
      <c r="L85" s="1"/>
    </row>
    <row r="86" spans="1:12" ht="14.5" x14ac:dyDescent="0.35">
      <c r="A86" s="97">
        <v>77</v>
      </c>
      <c r="B86" s="97">
        <v>2095</v>
      </c>
      <c r="C86" s="353">
        <v>0</v>
      </c>
      <c r="D86" s="353">
        <f t="shared" si="13"/>
        <v>75520.376640000002</v>
      </c>
      <c r="E86" s="353">
        <f t="shared" si="14"/>
        <v>5549.553899999999</v>
      </c>
      <c r="F86" s="353">
        <f t="shared" si="11"/>
        <v>62933.647200000007</v>
      </c>
      <c r="G86" s="369">
        <f t="shared" si="12"/>
        <v>4624.6282499999998</v>
      </c>
      <c r="H86" s="103" t="s">
        <v>151</v>
      </c>
      <c r="I86" s="357">
        <v>2392784.8816643832</v>
      </c>
      <c r="J86" s="353">
        <f t="shared" si="15"/>
        <v>107032.76336111664</v>
      </c>
      <c r="K86" s="353">
        <f t="shared" si="10"/>
        <v>255660.96935111666</v>
      </c>
      <c r="L86" s="1"/>
    </row>
    <row r="87" spans="1:12" ht="14.5" x14ac:dyDescent="0.35">
      <c r="A87" s="97">
        <v>78</v>
      </c>
      <c r="B87" s="97">
        <v>2096</v>
      </c>
      <c r="C87" s="353">
        <v>0</v>
      </c>
      <c r="D87" s="353">
        <f t="shared" si="13"/>
        <v>75520.376640000002</v>
      </c>
      <c r="E87" s="353">
        <f t="shared" si="14"/>
        <v>5549.553899999999</v>
      </c>
      <c r="F87" s="353">
        <f t="shared" si="11"/>
        <v>62933.647200000007</v>
      </c>
      <c r="G87" s="369">
        <f t="shared" si="12"/>
        <v>4624.6282499999998</v>
      </c>
      <c r="H87" s="103" t="s">
        <v>151</v>
      </c>
      <c r="I87" s="357">
        <v>2392784.8816643832</v>
      </c>
      <c r="J87" s="353">
        <f t="shared" si="15"/>
        <v>107032.76336111664</v>
      </c>
      <c r="K87" s="353">
        <f t="shared" si="10"/>
        <v>255660.96935111666</v>
      </c>
      <c r="L87" s="1"/>
    </row>
    <row r="88" spans="1:12" ht="14.5" x14ac:dyDescent="0.35">
      <c r="A88" s="97">
        <v>79</v>
      </c>
      <c r="B88" s="97">
        <v>2097</v>
      </c>
      <c r="C88" s="353">
        <v>0</v>
      </c>
      <c r="D88" s="353">
        <f t="shared" si="13"/>
        <v>75520.376640000002</v>
      </c>
      <c r="E88" s="353">
        <f t="shared" si="14"/>
        <v>5549.553899999999</v>
      </c>
      <c r="F88" s="353">
        <f t="shared" si="11"/>
        <v>62933.647200000007</v>
      </c>
      <c r="G88" s="369">
        <f t="shared" si="12"/>
        <v>4624.6282499999998</v>
      </c>
      <c r="H88" s="103" t="s">
        <v>151</v>
      </c>
      <c r="I88" s="357">
        <v>2392784.8816643832</v>
      </c>
      <c r="J88" s="353">
        <f t="shared" si="15"/>
        <v>107032.76336111664</v>
      </c>
      <c r="K88" s="353">
        <f t="shared" si="10"/>
        <v>255660.96935111666</v>
      </c>
      <c r="L88" s="1"/>
    </row>
    <row r="89" spans="1:12" ht="14.5" x14ac:dyDescent="0.35">
      <c r="A89" s="97">
        <v>80</v>
      </c>
      <c r="B89" s="97">
        <v>2098</v>
      </c>
      <c r="C89" s="353">
        <v>0</v>
      </c>
      <c r="D89" s="353">
        <f t="shared" si="13"/>
        <v>75520.376640000002</v>
      </c>
      <c r="E89" s="353">
        <f t="shared" si="14"/>
        <v>5549.553899999999</v>
      </c>
      <c r="F89" s="353">
        <f t="shared" si="11"/>
        <v>62933.647200000007</v>
      </c>
      <c r="G89" s="369">
        <f t="shared" si="12"/>
        <v>4624.6282499999998</v>
      </c>
      <c r="H89" s="103" t="s">
        <v>151</v>
      </c>
      <c r="I89" s="357">
        <v>2392784.8816643832</v>
      </c>
      <c r="J89" s="353">
        <f t="shared" si="15"/>
        <v>107032.76336111664</v>
      </c>
      <c r="K89" s="353">
        <f t="shared" si="10"/>
        <v>255660.96935111666</v>
      </c>
      <c r="L89" s="1"/>
    </row>
    <row r="90" spans="1:12" ht="14.5" x14ac:dyDescent="0.35">
      <c r="A90" s="97">
        <v>81</v>
      </c>
      <c r="B90" s="97">
        <v>2099</v>
      </c>
      <c r="C90" s="353">
        <v>0</v>
      </c>
      <c r="D90" s="353">
        <f t="shared" si="13"/>
        <v>75520.376640000002</v>
      </c>
      <c r="E90" s="353">
        <f t="shared" si="14"/>
        <v>5549.553899999999</v>
      </c>
      <c r="F90" s="353">
        <f t="shared" si="11"/>
        <v>62933.647200000007</v>
      </c>
      <c r="G90" s="369">
        <f t="shared" si="12"/>
        <v>4624.6282499999998</v>
      </c>
      <c r="H90" s="103" t="s">
        <v>151</v>
      </c>
      <c r="I90" s="357">
        <v>2392784.8816643832</v>
      </c>
      <c r="J90" s="353">
        <f t="shared" si="15"/>
        <v>107032.76336111664</v>
      </c>
      <c r="K90" s="353">
        <f t="shared" si="10"/>
        <v>255660.96935111666</v>
      </c>
      <c r="L90" s="1"/>
    </row>
    <row r="91" spans="1:12" ht="14.5" x14ac:dyDescent="0.35">
      <c r="A91" s="97">
        <v>82</v>
      </c>
      <c r="B91" s="97">
        <v>2100</v>
      </c>
      <c r="C91" s="353">
        <v>0</v>
      </c>
      <c r="D91" s="353">
        <f t="shared" si="13"/>
        <v>75520.376640000002</v>
      </c>
      <c r="E91" s="353">
        <f t="shared" si="14"/>
        <v>5549.553899999999</v>
      </c>
      <c r="F91" s="353">
        <f t="shared" si="11"/>
        <v>62933.647200000007</v>
      </c>
      <c r="G91" s="369">
        <f t="shared" si="12"/>
        <v>4624.6282499999998</v>
      </c>
      <c r="H91" s="103" t="s">
        <v>151</v>
      </c>
      <c r="I91" s="357">
        <v>2392784.8816643832</v>
      </c>
      <c r="J91" s="353">
        <f t="shared" si="15"/>
        <v>107032.76336111664</v>
      </c>
      <c r="K91" s="353">
        <f t="shared" si="10"/>
        <v>255660.96935111666</v>
      </c>
      <c r="L91" s="1"/>
    </row>
    <row r="92" spans="1:12" ht="14.5" x14ac:dyDescent="0.35">
      <c r="A92" s="97">
        <v>83</v>
      </c>
      <c r="B92" s="97">
        <v>2101</v>
      </c>
      <c r="C92" s="353">
        <v>0</v>
      </c>
      <c r="D92" s="353">
        <f t="shared" si="13"/>
        <v>75520.376640000002</v>
      </c>
      <c r="E92" s="353">
        <f t="shared" si="14"/>
        <v>5549.553899999999</v>
      </c>
      <c r="F92" s="353">
        <f t="shared" si="11"/>
        <v>62933.647200000007</v>
      </c>
      <c r="G92" s="369">
        <f t="shared" si="12"/>
        <v>4624.6282499999998</v>
      </c>
      <c r="H92" s="103" t="s">
        <v>151</v>
      </c>
      <c r="I92" s="357">
        <v>2392784.8816643832</v>
      </c>
      <c r="J92" s="353">
        <f t="shared" si="15"/>
        <v>107032.76336111664</v>
      </c>
      <c r="K92" s="353">
        <f t="shared" si="10"/>
        <v>255660.96935111666</v>
      </c>
      <c r="L92" s="1"/>
    </row>
    <row r="93" spans="1:12" ht="14.5" x14ac:dyDescent="0.35">
      <c r="A93" s="97">
        <v>84</v>
      </c>
      <c r="B93" s="97">
        <v>2102</v>
      </c>
      <c r="C93" s="353">
        <v>0</v>
      </c>
      <c r="D93" s="353">
        <f t="shared" si="13"/>
        <v>75520.376640000002</v>
      </c>
      <c r="E93" s="353">
        <f t="shared" si="14"/>
        <v>5549.553899999999</v>
      </c>
      <c r="F93" s="353">
        <f t="shared" si="11"/>
        <v>62933.647200000007</v>
      </c>
      <c r="G93" s="369">
        <f t="shared" si="12"/>
        <v>4624.6282499999998</v>
      </c>
      <c r="H93" s="103" t="s">
        <v>151</v>
      </c>
      <c r="I93" s="357">
        <v>2392784.8816643832</v>
      </c>
      <c r="J93" s="353">
        <f t="shared" si="15"/>
        <v>107032.76336111664</v>
      </c>
      <c r="K93" s="353">
        <f t="shared" si="10"/>
        <v>255660.96935111666</v>
      </c>
      <c r="L93" s="1"/>
    </row>
    <row r="94" spans="1:12" ht="14.5" x14ac:dyDescent="0.35">
      <c r="A94" s="97">
        <v>85</v>
      </c>
      <c r="B94" s="97">
        <v>2103</v>
      </c>
      <c r="C94" s="353">
        <v>0</v>
      </c>
      <c r="D94" s="353">
        <f t="shared" si="13"/>
        <v>75520.376640000002</v>
      </c>
      <c r="E94" s="353">
        <f t="shared" si="14"/>
        <v>5549.553899999999</v>
      </c>
      <c r="F94" s="353">
        <f t="shared" si="11"/>
        <v>62933.647200000007</v>
      </c>
      <c r="G94" s="369">
        <f t="shared" si="12"/>
        <v>4624.6282499999998</v>
      </c>
      <c r="H94" s="103" t="s">
        <v>151</v>
      </c>
      <c r="I94" s="357">
        <v>2392784.8816643832</v>
      </c>
      <c r="J94" s="353">
        <f t="shared" si="15"/>
        <v>107032.76336111664</v>
      </c>
      <c r="K94" s="353">
        <f t="shared" si="10"/>
        <v>255660.96935111666</v>
      </c>
      <c r="L94" s="1"/>
    </row>
    <row r="95" spans="1:12" ht="14.5" x14ac:dyDescent="0.35">
      <c r="A95" s="97">
        <v>86</v>
      </c>
      <c r="B95" s="97">
        <v>2104</v>
      </c>
      <c r="C95" s="353">
        <v>0</v>
      </c>
      <c r="D95" s="353">
        <f t="shared" si="13"/>
        <v>75520.376640000002</v>
      </c>
      <c r="E95" s="353">
        <f t="shared" si="14"/>
        <v>5549.553899999999</v>
      </c>
      <c r="F95" s="353">
        <f t="shared" si="11"/>
        <v>62933.647200000007</v>
      </c>
      <c r="G95" s="369">
        <f t="shared" si="12"/>
        <v>4624.6282499999998</v>
      </c>
      <c r="H95" s="103" t="s">
        <v>151</v>
      </c>
      <c r="I95" s="357">
        <v>2392784.8816643832</v>
      </c>
      <c r="J95" s="353">
        <f t="shared" si="15"/>
        <v>107032.76336111664</v>
      </c>
      <c r="K95" s="353">
        <f t="shared" si="10"/>
        <v>255660.96935111666</v>
      </c>
      <c r="L95" s="1"/>
    </row>
    <row r="96" spans="1:12" ht="14.5" x14ac:dyDescent="0.35">
      <c r="A96" s="97">
        <v>87</v>
      </c>
      <c r="B96" s="97">
        <v>2105</v>
      </c>
      <c r="C96" s="353">
        <v>0</v>
      </c>
      <c r="D96" s="353">
        <f t="shared" si="13"/>
        <v>75520.376640000002</v>
      </c>
      <c r="E96" s="353">
        <f t="shared" si="14"/>
        <v>5549.553899999999</v>
      </c>
      <c r="F96" s="353">
        <f t="shared" si="11"/>
        <v>62933.647200000007</v>
      </c>
      <c r="G96" s="369">
        <f t="shared" si="12"/>
        <v>4624.6282499999998</v>
      </c>
      <c r="H96" s="103" t="s">
        <v>151</v>
      </c>
      <c r="I96" s="357">
        <v>2392784.8816643832</v>
      </c>
      <c r="J96" s="353">
        <f t="shared" si="15"/>
        <v>107032.76336111664</v>
      </c>
      <c r="K96" s="353">
        <f t="shared" si="10"/>
        <v>255660.96935111666</v>
      </c>
      <c r="L96" s="1"/>
    </row>
    <row r="97" spans="1:12" ht="14.5" x14ac:dyDescent="0.35">
      <c r="A97" s="97">
        <v>88</v>
      </c>
      <c r="B97" s="97">
        <v>2106</v>
      </c>
      <c r="C97" s="353">
        <v>0</v>
      </c>
      <c r="D97" s="353">
        <f t="shared" si="13"/>
        <v>75520.376640000002</v>
      </c>
      <c r="E97" s="353">
        <f t="shared" si="14"/>
        <v>5549.553899999999</v>
      </c>
      <c r="F97" s="353">
        <f t="shared" si="11"/>
        <v>62933.647200000007</v>
      </c>
      <c r="G97" s="369">
        <f t="shared" si="12"/>
        <v>4624.6282499999998</v>
      </c>
      <c r="H97" s="103" t="s">
        <v>151</v>
      </c>
      <c r="I97" s="357">
        <v>2392784.8816643832</v>
      </c>
      <c r="J97" s="353">
        <f t="shared" si="15"/>
        <v>107032.76336111664</v>
      </c>
      <c r="K97" s="353">
        <f t="shared" si="10"/>
        <v>255660.96935111666</v>
      </c>
      <c r="L97" s="1"/>
    </row>
    <row r="98" spans="1:12" ht="14.5" x14ac:dyDescent="0.35">
      <c r="A98" s="97">
        <v>89</v>
      </c>
      <c r="B98" s="97">
        <v>2107</v>
      </c>
      <c r="C98" s="353">
        <v>0</v>
      </c>
      <c r="D98" s="353">
        <f t="shared" si="13"/>
        <v>75520.376640000002</v>
      </c>
      <c r="E98" s="353">
        <f t="shared" si="14"/>
        <v>5549.553899999999</v>
      </c>
      <c r="F98" s="353">
        <f t="shared" si="11"/>
        <v>62933.647200000007</v>
      </c>
      <c r="G98" s="369">
        <f t="shared" si="12"/>
        <v>4624.6282499999998</v>
      </c>
      <c r="H98" s="103" t="s">
        <v>151</v>
      </c>
      <c r="I98" s="357">
        <v>2392784.8816643832</v>
      </c>
      <c r="J98" s="353">
        <f t="shared" si="15"/>
        <v>107032.76336111664</v>
      </c>
      <c r="K98" s="353">
        <f t="shared" si="10"/>
        <v>255660.96935111666</v>
      </c>
      <c r="L98" s="1"/>
    </row>
    <row r="99" spans="1:12" ht="14.5" x14ac:dyDescent="0.35">
      <c r="A99" s="97">
        <v>90</v>
      </c>
      <c r="B99" s="97">
        <v>2108</v>
      </c>
      <c r="C99" s="353">
        <v>0</v>
      </c>
      <c r="D99" s="353">
        <f t="shared" si="13"/>
        <v>75520.376640000002</v>
      </c>
      <c r="E99" s="353">
        <f t="shared" si="14"/>
        <v>5549.553899999999</v>
      </c>
      <c r="F99" s="353">
        <f t="shared" si="11"/>
        <v>62933.647200000007</v>
      </c>
      <c r="G99" s="369">
        <f t="shared" si="12"/>
        <v>4624.6282499999998</v>
      </c>
      <c r="H99" s="103" t="s">
        <v>151</v>
      </c>
      <c r="I99" s="357">
        <v>2392784.8816643832</v>
      </c>
      <c r="J99" s="353">
        <f t="shared" si="15"/>
        <v>107032.76336111664</v>
      </c>
      <c r="K99" s="353">
        <f t="shared" si="10"/>
        <v>255660.96935111666</v>
      </c>
      <c r="L99" s="1"/>
    </row>
    <row r="100" spans="1:12" ht="14.5" x14ac:dyDescent="0.35">
      <c r="A100" s="97">
        <v>91</v>
      </c>
      <c r="B100" s="97">
        <v>2109</v>
      </c>
      <c r="C100" s="353">
        <v>0</v>
      </c>
      <c r="D100" s="353">
        <f t="shared" si="13"/>
        <v>75520.376640000002</v>
      </c>
      <c r="E100" s="353">
        <f t="shared" si="14"/>
        <v>5549.553899999999</v>
      </c>
      <c r="F100" s="353">
        <f t="shared" si="11"/>
        <v>62933.647200000007</v>
      </c>
      <c r="G100" s="369">
        <f t="shared" si="12"/>
        <v>4624.6282499999998</v>
      </c>
      <c r="H100" s="103" t="s">
        <v>151</v>
      </c>
      <c r="I100" s="357">
        <v>2392784.8816643832</v>
      </c>
      <c r="J100" s="353">
        <f t="shared" si="15"/>
        <v>107032.76336111664</v>
      </c>
      <c r="K100" s="353">
        <f t="shared" si="10"/>
        <v>255660.96935111666</v>
      </c>
      <c r="L100" s="1"/>
    </row>
    <row r="101" spans="1:12" ht="14.5" x14ac:dyDescent="0.35">
      <c r="A101" s="97">
        <v>92</v>
      </c>
      <c r="B101" s="97">
        <v>2110</v>
      </c>
      <c r="C101" s="353">
        <v>0</v>
      </c>
      <c r="D101" s="353">
        <f t="shared" si="13"/>
        <v>75520.376640000002</v>
      </c>
      <c r="E101" s="353">
        <f t="shared" si="14"/>
        <v>5549.553899999999</v>
      </c>
      <c r="F101" s="353">
        <f t="shared" si="11"/>
        <v>62933.647200000007</v>
      </c>
      <c r="G101" s="369">
        <f t="shared" si="12"/>
        <v>4624.6282499999998</v>
      </c>
      <c r="H101" s="103" t="s">
        <v>151</v>
      </c>
      <c r="I101" s="357">
        <v>2392784.8816643832</v>
      </c>
      <c r="J101" s="353">
        <f t="shared" si="15"/>
        <v>107032.76336111664</v>
      </c>
      <c r="K101" s="353">
        <f t="shared" si="10"/>
        <v>255660.96935111666</v>
      </c>
      <c r="L101" s="1"/>
    </row>
    <row r="102" spans="1:12" ht="14.5" x14ac:dyDescent="0.35">
      <c r="A102" s="97">
        <v>93</v>
      </c>
      <c r="B102" s="97">
        <v>2111</v>
      </c>
      <c r="C102" s="353">
        <v>0</v>
      </c>
      <c r="D102" s="353">
        <f t="shared" si="13"/>
        <v>75520.376640000002</v>
      </c>
      <c r="E102" s="353">
        <f t="shared" si="14"/>
        <v>5549.553899999999</v>
      </c>
      <c r="F102" s="353">
        <f t="shared" si="11"/>
        <v>62933.647200000007</v>
      </c>
      <c r="G102" s="369">
        <f t="shared" si="12"/>
        <v>4624.6282499999998</v>
      </c>
      <c r="H102" s="103" t="s">
        <v>151</v>
      </c>
      <c r="I102" s="357">
        <v>2392784.8816643832</v>
      </c>
      <c r="J102" s="353">
        <f t="shared" si="15"/>
        <v>107032.76336111664</v>
      </c>
      <c r="K102" s="353">
        <f t="shared" si="10"/>
        <v>255660.96935111666</v>
      </c>
      <c r="L102" s="1"/>
    </row>
    <row r="103" spans="1:12" ht="14.5" x14ac:dyDescent="0.35">
      <c r="A103" s="97">
        <v>94</v>
      </c>
      <c r="B103" s="97">
        <v>2112</v>
      </c>
      <c r="C103" s="353">
        <v>0</v>
      </c>
      <c r="D103" s="353">
        <f t="shared" si="13"/>
        <v>75520.376640000002</v>
      </c>
      <c r="E103" s="353">
        <f t="shared" si="14"/>
        <v>5549.553899999999</v>
      </c>
      <c r="F103" s="353">
        <f t="shared" si="11"/>
        <v>62933.647200000007</v>
      </c>
      <c r="G103" s="369">
        <f t="shared" si="12"/>
        <v>4624.6282499999998</v>
      </c>
      <c r="H103" s="103" t="s">
        <v>151</v>
      </c>
      <c r="I103" s="357">
        <v>2392784.8816643832</v>
      </c>
      <c r="J103" s="353">
        <f t="shared" si="15"/>
        <v>107032.76336111664</v>
      </c>
      <c r="K103" s="353">
        <f t="shared" si="10"/>
        <v>255660.96935111666</v>
      </c>
      <c r="L103" s="1"/>
    </row>
    <row r="104" spans="1:12" ht="14.5" x14ac:dyDescent="0.35">
      <c r="A104" s="97">
        <v>95</v>
      </c>
      <c r="B104" s="97">
        <v>2113</v>
      </c>
      <c r="C104" s="353">
        <v>0</v>
      </c>
      <c r="D104" s="353">
        <f t="shared" si="13"/>
        <v>75520.376640000002</v>
      </c>
      <c r="E104" s="353">
        <f t="shared" si="14"/>
        <v>5549.553899999999</v>
      </c>
      <c r="F104" s="353">
        <f t="shared" si="11"/>
        <v>62933.647200000007</v>
      </c>
      <c r="G104" s="369">
        <f t="shared" si="12"/>
        <v>4624.6282499999998</v>
      </c>
      <c r="H104" s="103" t="s">
        <v>151</v>
      </c>
      <c r="I104" s="357">
        <v>2392784.8816643832</v>
      </c>
      <c r="J104" s="353">
        <f t="shared" si="15"/>
        <v>107032.76336111664</v>
      </c>
      <c r="K104" s="353">
        <f t="shared" si="10"/>
        <v>255660.96935111666</v>
      </c>
      <c r="L104" s="1"/>
    </row>
    <row r="105" spans="1:12" ht="14.5" x14ac:dyDescent="0.35">
      <c r="A105" s="97">
        <v>96</v>
      </c>
      <c r="B105" s="97">
        <v>2114</v>
      </c>
      <c r="C105" s="353">
        <v>0</v>
      </c>
      <c r="D105" s="353">
        <f t="shared" si="13"/>
        <v>75520.376640000002</v>
      </c>
      <c r="E105" s="353">
        <f t="shared" si="14"/>
        <v>5549.553899999999</v>
      </c>
      <c r="F105" s="353">
        <f t="shared" si="11"/>
        <v>62933.647200000007</v>
      </c>
      <c r="G105" s="369">
        <f t="shared" si="12"/>
        <v>4624.6282499999998</v>
      </c>
      <c r="H105" s="103" t="s">
        <v>151</v>
      </c>
      <c r="I105" s="357">
        <v>2392784.8816643832</v>
      </c>
      <c r="J105" s="353">
        <f t="shared" si="15"/>
        <v>107032.76336111664</v>
      </c>
      <c r="K105" s="353">
        <f t="shared" si="10"/>
        <v>255660.96935111666</v>
      </c>
      <c r="L105" s="1"/>
    </row>
    <row r="106" spans="1:12" ht="14.5" x14ac:dyDescent="0.35">
      <c r="A106" s="97">
        <v>97</v>
      </c>
      <c r="B106" s="97">
        <v>2115</v>
      </c>
      <c r="C106" s="353">
        <v>0</v>
      </c>
      <c r="D106" s="353">
        <f t="shared" si="13"/>
        <v>75520.376640000002</v>
      </c>
      <c r="E106" s="353">
        <f t="shared" si="14"/>
        <v>5549.553899999999</v>
      </c>
      <c r="F106" s="353">
        <f t="shared" si="11"/>
        <v>62933.647200000007</v>
      </c>
      <c r="G106" s="369">
        <f t="shared" si="12"/>
        <v>4624.6282499999998</v>
      </c>
      <c r="H106" s="103" t="s">
        <v>151</v>
      </c>
      <c r="I106" s="357">
        <v>2392784.8816643832</v>
      </c>
      <c r="J106" s="353">
        <f t="shared" si="15"/>
        <v>107032.76336111664</v>
      </c>
      <c r="K106" s="353">
        <f t="shared" si="10"/>
        <v>255660.96935111666</v>
      </c>
      <c r="L106" s="1"/>
    </row>
    <row r="107" spans="1:12" ht="14.5" x14ac:dyDescent="0.35">
      <c r="A107" s="97">
        <v>98</v>
      </c>
      <c r="B107" s="97">
        <v>2116</v>
      </c>
      <c r="C107" s="353">
        <v>0</v>
      </c>
      <c r="D107" s="353">
        <f t="shared" si="13"/>
        <v>75520.376640000002</v>
      </c>
      <c r="E107" s="353">
        <f t="shared" si="14"/>
        <v>5549.553899999999</v>
      </c>
      <c r="F107" s="353">
        <f t="shared" si="11"/>
        <v>62933.647200000007</v>
      </c>
      <c r="G107" s="369">
        <f t="shared" si="12"/>
        <v>4624.6282499999998</v>
      </c>
      <c r="H107" s="103" t="s">
        <v>151</v>
      </c>
      <c r="I107" s="357">
        <v>2392784.8816643832</v>
      </c>
      <c r="J107" s="353">
        <f t="shared" si="15"/>
        <v>107032.76336111664</v>
      </c>
      <c r="K107" s="353">
        <f t="shared" si="10"/>
        <v>255660.96935111666</v>
      </c>
      <c r="L107" s="1"/>
    </row>
    <row r="108" spans="1:12" ht="14.5" x14ac:dyDescent="0.35">
      <c r="A108" s="97">
        <v>99</v>
      </c>
      <c r="B108" s="97">
        <v>2117</v>
      </c>
      <c r="C108" s="353">
        <v>0</v>
      </c>
      <c r="D108" s="353">
        <f t="shared" si="13"/>
        <v>75520.376640000002</v>
      </c>
      <c r="E108" s="353">
        <f t="shared" si="14"/>
        <v>5549.553899999999</v>
      </c>
      <c r="F108" s="353">
        <f t="shared" si="11"/>
        <v>62933.647200000007</v>
      </c>
      <c r="G108" s="369">
        <f t="shared" si="12"/>
        <v>4624.6282499999998</v>
      </c>
      <c r="H108" s="103" t="s">
        <v>151</v>
      </c>
      <c r="I108" s="357">
        <v>2392784.8816643832</v>
      </c>
      <c r="J108" s="353">
        <f t="shared" si="15"/>
        <v>107032.76336111664</v>
      </c>
      <c r="K108" s="353">
        <f t="shared" si="10"/>
        <v>255660.96935111666</v>
      </c>
      <c r="L108" s="1"/>
    </row>
    <row r="109" spans="1:12" ht="14.5" x14ac:dyDescent="0.35">
      <c r="A109" s="204">
        <v>100</v>
      </c>
      <c r="B109" s="204">
        <v>2118</v>
      </c>
      <c r="C109" s="353">
        <v>0</v>
      </c>
      <c r="D109" s="353">
        <f t="shared" si="13"/>
        <v>75520.376640000002</v>
      </c>
      <c r="E109" s="353">
        <f t="shared" si="14"/>
        <v>5549.553899999999</v>
      </c>
      <c r="F109" s="369">
        <f t="shared" si="11"/>
        <v>62933.647200000007</v>
      </c>
      <c r="G109" s="369">
        <f t="shared" si="12"/>
        <v>4624.6282499999998</v>
      </c>
      <c r="H109" s="103" t="s">
        <v>151</v>
      </c>
      <c r="I109" s="370">
        <v>2392784.8816643832</v>
      </c>
      <c r="J109" s="353">
        <f t="shared" si="15"/>
        <v>107032.76336111664</v>
      </c>
      <c r="K109" s="353">
        <f t="shared" si="10"/>
        <v>255660.96935111666</v>
      </c>
      <c r="L109" s="7"/>
    </row>
    <row r="110" spans="1:12" x14ac:dyDescent="0.3">
      <c r="A110" s="545" t="s">
        <v>57</v>
      </c>
      <c r="B110" s="545"/>
      <c r="C110" s="356">
        <f>SUM(C10:C109)</f>
        <v>1564227.03</v>
      </c>
      <c r="D110" s="356">
        <f t="shared" ref="D110:K110" si="16">SUM(D10:D109)</f>
        <v>7174435.7808000119</v>
      </c>
      <c r="E110" s="356">
        <f t="shared" si="16"/>
        <v>527207.62049999996</v>
      </c>
      <c r="F110" s="356">
        <f t="shared" si="16"/>
        <v>5978696.4839999881</v>
      </c>
      <c r="G110" s="356">
        <f t="shared" si="16"/>
        <v>439339.68375000049</v>
      </c>
      <c r="H110" s="356">
        <f t="shared" si="16"/>
        <v>0</v>
      </c>
      <c r="I110" s="361">
        <f t="shared" si="16"/>
        <v>246576520.52547526</v>
      </c>
      <c r="J110" s="356">
        <f t="shared" si="16"/>
        <v>11028494.075273074</v>
      </c>
      <c r="K110" s="356">
        <f t="shared" si="16"/>
        <v>26712400.674323063</v>
      </c>
      <c r="L110" s="7"/>
    </row>
    <row r="111" spans="1:12" x14ac:dyDescent="0.3">
      <c r="A111" s="94" t="s">
        <v>69</v>
      </c>
    </row>
    <row r="112" spans="1:12" ht="29.25" customHeight="1" x14ac:dyDescent="0.3">
      <c r="A112" s="94" t="s">
        <v>152</v>
      </c>
      <c r="L112" s="126"/>
    </row>
    <row r="113" spans="1:12" ht="29.25" customHeight="1" x14ac:dyDescent="0.3">
      <c r="A113" s="546" t="s">
        <v>153</v>
      </c>
      <c r="B113" s="546"/>
      <c r="C113" s="546"/>
      <c r="D113" s="546"/>
      <c r="E113" s="546"/>
      <c r="F113" s="546"/>
      <c r="G113" s="546"/>
      <c r="H113" s="546"/>
      <c r="I113" s="546"/>
      <c r="J113" s="546"/>
      <c r="K113" s="546"/>
      <c r="L113" s="126"/>
    </row>
    <row r="114" spans="1:12" ht="30.75" customHeight="1" x14ac:dyDescent="0.3">
      <c r="A114" s="546" t="s">
        <v>154</v>
      </c>
      <c r="B114" s="546"/>
      <c r="C114" s="546"/>
      <c r="D114" s="546"/>
      <c r="E114" s="546"/>
      <c r="F114" s="546"/>
      <c r="G114" s="546"/>
      <c r="H114" s="546"/>
      <c r="I114" s="546"/>
      <c r="J114" s="546"/>
      <c r="K114" s="546"/>
      <c r="L114" s="126"/>
    </row>
    <row r="115" spans="1:12" ht="14.25" customHeight="1" x14ac:dyDescent="0.3">
      <c r="A115" s="546" t="s">
        <v>155</v>
      </c>
      <c r="B115" s="546"/>
      <c r="C115" s="546"/>
      <c r="D115" s="546"/>
      <c r="E115" s="546"/>
      <c r="F115" s="546"/>
      <c r="G115" s="546"/>
      <c r="H115" s="546"/>
      <c r="I115" s="546"/>
      <c r="J115" s="546"/>
      <c r="K115" s="546"/>
    </row>
    <row r="116" spans="1:12" ht="14.25" customHeight="1" x14ac:dyDescent="0.3">
      <c r="A116" s="94" t="s">
        <v>85</v>
      </c>
      <c r="B116" s="454"/>
      <c r="C116" s="454"/>
      <c r="D116" s="454"/>
      <c r="E116" s="454"/>
      <c r="F116" s="454"/>
      <c r="G116" s="454"/>
      <c r="H116" s="454"/>
      <c r="I116" s="454"/>
      <c r="J116" s="93"/>
      <c r="K116" s="467"/>
    </row>
    <row r="117" spans="1:12" x14ac:dyDescent="0.3">
      <c r="A117" s="94" t="s">
        <v>86</v>
      </c>
    </row>
    <row r="118" spans="1:12" x14ac:dyDescent="0.3">
      <c r="D118" s="346">
        <v>5456610.2294712439</v>
      </c>
      <c r="E118" s="346">
        <v>613273.62617813016</v>
      </c>
      <c r="F118" s="346">
        <f>SUM(D118:E118)</f>
        <v>6069883.8556493744</v>
      </c>
    </row>
    <row r="119" spans="1:12" x14ac:dyDescent="0.3">
      <c r="D119" s="371"/>
      <c r="E119" s="371"/>
      <c r="F119" s="346">
        <f>SUM(D110:E110)-F118</f>
        <v>1631759.5456506377</v>
      </c>
    </row>
    <row r="121" spans="1:12" x14ac:dyDescent="0.3">
      <c r="D121" s="346" t="s">
        <v>0</v>
      </c>
      <c r="E121" s="346" t="s">
        <v>0</v>
      </c>
      <c r="F121" s="346" t="s">
        <v>0</v>
      </c>
    </row>
  </sheetData>
  <mergeCells count="9">
    <mergeCell ref="A115:K115"/>
    <mergeCell ref="A114:K114"/>
    <mergeCell ref="J2:K2"/>
    <mergeCell ref="A110:B110"/>
    <mergeCell ref="A113:K113"/>
    <mergeCell ref="A4:B4"/>
    <mergeCell ref="A5:B5"/>
    <mergeCell ref="A6:B6"/>
    <mergeCell ref="A7:B7"/>
  </mergeCells>
  <pageMargins left="0.7" right="0.7" top="0.75" bottom="0.75" header="0.3" footer="0.3"/>
  <pageSetup scale="53" fitToHeight="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A98D-3C5E-4A36-9062-77B4F84D6210}">
  <sheetPr>
    <tabColor rgb="FF00B050"/>
    <pageSetUpPr fitToPage="1"/>
  </sheetPr>
  <dimension ref="A1:K119"/>
  <sheetViews>
    <sheetView view="pageBreakPreview" zoomScaleNormal="100" zoomScaleSheetLayoutView="100" workbookViewId="0">
      <pane xSplit="2" ySplit="9" topLeftCell="C67" activePane="bottomRight" state="frozen"/>
      <selection pane="topRight" activeCell="G32" sqref="G32"/>
      <selection pane="bottomLeft" activeCell="G32" sqref="G32"/>
      <selection pane="bottomRight" activeCell="G19" sqref="G19"/>
    </sheetView>
  </sheetViews>
  <sheetFormatPr defaultColWidth="9.1796875" defaultRowHeight="14" x14ac:dyDescent="0.3"/>
  <cols>
    <col min="1" max="1" width="10.1796875" style="94" customWidth="1"/>
    <col min="2" max="2" width="9.1796875" style="94"/>
    <col min="3" max="3" width="12.26953125" style="94" bestFit="1" customWidth="1"/>
    <col min="4" max="4" width="19" style="94" customWidth="1"/>
    <col min="5" max="5" width="27.54296875" style="94" customWidth="1"/>
    <col min="6" max="6" width="28" style="95" customWidth="1"/>
    <col min="7" max="8" width="19" style="94" customWidth="1"/>
    <col min="9" max="9" width="9.54296875" style="72" bestFit="1" customWidth="1"/>
    <col min="10" max="16384" width="9.1796875" style="72"/>
  </cols>
  <sheetData>
    <row r="1" spans="1:10" x14ac:dyDescent="0.3">
      <c r="A1" s="7"/>
      <c r="B1" s="7"/>
      <c r="C1" s="7"/>
      <c r="I1" s="467"/>
      <c r="J1" s="467"/>
    </row>
    <row r="2" spans="1:10" ht="14.5" x14ac:dyDescent="0.35">
      <c r="A2" s="7"/>
      <c r="B2" s="7"/>
      <c r="C2" s="7"/>
      <c r="E2" s="94" t="s">
        <v>0</v>
      </c>
      <c r="F2" s="283"/>
      <c r="G2" s="544" t="s">
        <v>11</v>
      </c>
      <c r="H2" s="544"/>
      <c r="I2" s="467"/>
      <c r="J2" s="467"/>
    </row>
    <row r="3" spans="1:10" ht="18" customHeight="1" x14ac:dyDescent="0.3">
      <c r="A3" s="3"/>
      <c r="B3" s="3"/>
      <c r="C3" s="3"/>
      <c r="G3" s="432" t="s">
        <v>70</v>
      </c>
      <c r="H3" s="433">
        <v>138682</v>
      </c>
      <c r="I3" s="467"/>
      <c r="J3" s="467"/>
    </row>
    <row r="4" spans="1:10" x14ac:dyDescent="0.3">
      <c r="A4" s="547" t="s">
        <v>1</v>
      </c>
      <c r="B4" s="548"/>
      <c r="C4" s="125">
        <f>'2019 CCP Summary'!B4</f>
        <v>43536</v>
      </c>
      <c r="E4" s="125"/>
      <c r="G4" s="432" t="s">
        <v>117</v>
      </c>
      <c r="H4" s="434">
        <v>0.01</v>
      </c>
      <c r="I4" s="469"/>
      <c r="J4" s="467"/>
    </row>
    <row r="5" spans="1:10" x14ac:dyDescent="0.3">
      <c r="A5" s="549" t="s">
        <v>2</v>
      </c>
      <c r="B5" s="548"/>
      <c r="C5" s="6" t="s">
        <v>3</v>
      </c>
      <c r="E5" s="6"/>
      <c r="G5" s="437" t="s">
        <v>156</v>
      </c>
      <c r="H5" s="442">
        <v>5.34</v>
      </c>
      <c r="I5" s="100"/>
      <c r="J5" s="101"/>
    </row>
    <row r="6" spans="1:10" x14ac:dyDescent="0.3">
      <c r="A6" s="549" t="s">
        <v>4</v>
      </c>
      <c r="B6" s="548"/>
      <c r="C6" s="6" t="s">
        <v>157</v>
      </c>
      <c r="E6" s="6"/>
      <c r="G6" s="441"/>
      <c r="H6" s="441"/>
      <c r="I6" s="470"/>
      <c r="J6" s="467"/>
    </row>
    <row r="7" spans="1:10" ht="14.5" customHeight="1" x14ac:dyDescent="0.3">
      <c r="A7" s="550" t="s">
        <v>6</v>
      </c>
      <c r="B7" s="548"/>
      <c r="C7" s="6" t="s">
        <v>7</v>
      </c>
      <c r="E7" s="6"/>
      <c r="G7" s="441"/>
      <c r="H7" s="441"/>
      <c r="I7" s="467"/>
      <c r="J7" s="467"/>
    </row>
    <row r="8" spans="1:10" ht="14.5" customHeight="1" x14ac:dyDescent="0.3">
      <c r="A8" s="213"/>
      <c r="B8" s="96"/>
      <c r="D8" s="6"/>
      <c r="E8" s="6"/>
      <c r="G8" s="441"/>
      <c r="H8" s="441"/>
      <c r="I8" s="467"/>
      <c r="J8" s="467"/>
    </row>
    <row r="9" spans="1:10" ht="39" x14ac:dyDescent="0.3">
      <c r="A9" s="460" t="s">
        <v>76</v>
      </c>
      <c r="B9" s="460" t="s">
        <v>52</v>
      </c>
      <c r="C9" s="460" t="s">
        <v>58</v>
      </c>
      <c r="D9" s="460" t="s">
        <v>158</v>
      </c>
      <c r="E9" s="460" t="s">
        <v>159</v>
      </c>
      <c r="F9" s="460" t="s">
        <v>135</v>
      </c>
      <c r="G9" s="460" t="s">
        <v>160</v>
      </c>
      <c r="H9" s="460" t="s">
        <v>161</v>
      </c>
      <c r="I9" s="93"/>
      <c r="J9" s="467"/>
    </row>
    <row r="10" spans="1:10" x14ac:dyDescent="0.3">
      <c r="A10" s="97">
        <v>1</v>
      </c>
      <c r="B10" s="97">
        <v>2019</v>
      </c>
      <c r="C10" s="353">
        <v>0</v>
      </c>
      <c r="D10" s="353">
        <v>0</v>
      </c>
      <c r="E10" s="353">
        <v>0</v>
      </c>
      <c r="F10" s="353">
        <v>0</v>
      </c>
      <c r="G10" s="367">
        <v>0</v>
      </c>
      <c r="H10" s="353">
        <f t="shared" ref="H10:H17" si="0">+(G10*$H$5)+D10+C10</f>
        <v>0</v>
      </c>
      <c r="I10" s="93"/>
      <c r="J10" s="467"/>
    </row>
    <row r="11" spans="1:10" x14ac:dyDescent="0.3">
      <c r="A11" s="97">
        <v>2</v>
      </c>
      <c r="B11" s="97">
        <v>2020</v>
      </c>
      <c r="C11" s="353">
        <v>0</v>
      </c>
      <c r="D11" s="353">
        <v>0</v>
      </c>
      <c r="E11" s="353">
        <v>0</v>
      </c>
      <c r="F11" s="353">
        <v>0</v>
      </c>
      <c r="G11" s="367">
        <v>0</v>
      </c>
      <c r="H11" s="353">
        <f t="shared" si="0"/>
        <v>0</v>
      </c>
      <c r="I11" s="93"/>
      <c r="J11" s="467"/>
    </row>
    <row r="12" spans="1:10" x14ac:dyDescent="0.3">
      <c r="A12" s="97">
        <v>3</v>
      </c>
      <c r="B12" s="97">
        <v>2021</v>
      </c>
      <c r="C12" s="353">
        <v>0</v>
      </c>
      <c r="D12" s="353">
        <v>0</v>
      </c>
      <c r="E12" s="353">
        <v>0</v>
      </c>
      <c r="F12" s="353">
        <v>0</v>
      </c>
      <c r="G12" s="367">
        <v>0</v>
      </c>
      <c r="H12" s="353">
        <f t="shared" si="0"/>
        <v>0</v>
      </c>
      <c r="I12" s="93"/>
      <c r="J12" s="467"/>
    </row>
    <row r="13" spans="1:10" x14ac:dyDescent="0.3">
      <c r="A13" s="97">
        <v>4</v>
      </c>
      <c r="B13" s="97">
        <v>2022</v>
      </c>
      <c r="C13" s="353">
        <v>0</v>
      </c>
      <c r="D13" s="353">
        <v>0</v>
      </c>
      <c r="E13" s="353">
        <v>0</v>
      </c>
      <c r="F13" s="353">
        <v>0</v>
      </c>
      <c r="G13" s="367">
        <v>0</v>
      </c>
      <c r="H13" s="353">
        <f t="shared" si="0"/>
        <v>0</v>
      </c>
      <c r="I13" s="93"/>
      <c r="J13" s="467"/>
    </row>
    <row r="14" spans="1:10" x14ac:dyDescent="0.3">
      <c r="A14" s="97">
        <v>5</v>
      </c>
      <c r="B14" s="97">
        <v>2023</v>
      </c>
      <c r="C14" s="353">
        <v>0</v>
      </c>
      <c r="D14" s="353">
        <v>0</v>
      </c>
      <c r="E14" s="353">
        <v>0</v>
      </c>
      <c r="F14" s="353">
        <v>0</v>
      </c>
      <c r="G14" s="367">
        <v>0</v>
      </c>
      <c r="H14" s="353">
        <f t="shared" si="0"/>
        <v>0</v>
      </c>
      <c r="I14" s="93"/>
      <c r="J14" s="467"/>
    </row>
    <row r="15" spans="1:10" x14ac:dyDescent="0.3">
      <c r="A15" s="97">
        <v>6</v>
      </c>
      <c r="B15" s="97">
        <v>2024</v>
      </c>
      <c r="C15" s="353">
        <f>H3</f>
        <v>138682</v>
      </c>
      <c r="D15" s="353">
        <f>$H$3*$H$4</f>
        <v>1386.82</v>
      </c>
      <c r="E15" s="92" t="s">
        <v>127</v>
      </c>
      <c r="F15" s="92" t="s">
        <v>127</v>
      </c>
      <c r="G15" s="367">
        <v>39769.69172568473</v>
      </c>
      <c r="H15" s="353">
        <f t="shared" si="0"/>
        <v>352438.9738151565</v>
      </c>
      <c r="I15" s="338"/>
      <c r="J15" s="467"/>
    </row>
    <row r="16" spans="1:10" x14ac:dyDescent="0.3">
      <c r="A16" s="97">
        <v>7</v>
      </c>
      <c r="B16" s="97">
        <v>2025</v>
      </c>
      <c r="C16" s="353">
        <v>0</v>
      </c>
      <c r="D16" s="353">
        <f t="shared" ref="D16:D79" si="1">$H$3*$H$4</f>
        <v>1386.82</v>
      </c>
      <c r="E16" s="92" t="s">
        <v>127</v>
      </c>
      <c r="F16" s="92" t="s">
        <v>127</v>
      </c>
      <c r="G16" s="367">
        <v>36372.712582197259</v>
      </c>
      <c r="H16" s="353">
        <f t="shared" si="0"/>
        <v>195617.10518893338</v>
      </c>
      <c r="I16" s="338"/>
      <c r="J16" s="467"/>
    </row>
    <row r="17" spans="1:9" x14ac:dyDescent="0.3">
      <c r="A17" s="97">
        <v>8</v>
      </c>
      <c r="B17" s="97">
        <v>2026</v>
      </c>
      <c r="C17" s="353">
        <v>0</v>
      </c>
      <c r="D17" s="353">
        <f t="shared" si="1"/>
        <v>1386.82</v>
      </c>
      <c r="E17" s="92" t="s">
        <v>127</v>
      </c>
      <c r="F17" s="92" t="s">
        <v>127</v>
      </c>
      <c r="G17" s="367">
        <v>36443.081188731849</v>
      </c>
      <c r="H17" s="353">
        <f t="shared" si="0"/>
        <v>195992.87354782809</v>
      </c>
      <c r="I17" s="338"/>
    </row>
    <row r="18" spans="1:9" x14ac:dyDescent="0.3">
      <c r="A18" s="97">
        <v>9</v>
      </c>
      <c r="B18" s="97">
        <v>2027</v>
      </c>
      <c r="C18" s="353">
        <v>0</v>
      </c>
      <c r="D18" s="353">
        <f t="shared" si="1"/>
        <v>1386.82</v>
      </c>
      <c r="E18" s="92" t="s">
        <v>127</v>
      </c>
      <c r="F18" s="92" t="s">
        <v>127</v>
      </c>
      <c r="G18" s="367">
        <v>36494.48566424747</v>
      </c>
      <c r="H18" s="353">
        <f t="shared" ref="H18:H81" si="2">+(G18*$H$5)+D18+C18</f>
        <v>196267.37344708148</v>
      </c>
      <c r="I18" s="338"/>
    </row>
    <row r="19" spans="1:9" ht="14.5" x14ac:dyDescent="0.35">
      <c r="A19" s="97">
        <v>10</v>
      </c>
      <c r="B19" s="97">
        <v>2028</v>
      </c>
      <c r="C19" s="353">
        <v>0</v>
      </c>
      <c r="D19" s="353">
        <f t="shared" si="1"/>
        <v>1386.82</v>
      </c>
      <c r="E19" s="92" t="s">
        <v>127</v>
      </c>
      <c r="F19" s="92" t="s">
        <v>127</v>
      </c>
      <c r="G19" s="367">
        <v>36525.320086210711</v>
      </c>
      <c r="H19" s="353">
        <f t="shared" si="2"/>
        <v>196432.02926036521</v>
      </c>
      <c r="I19" s="339"/>
    </row>
    <row r="20" spans="1:9" ht="14.5" x14ac:dyDescent="0.35">
      <c r="A20" s="97">
        <v>11</v>
      </c>
      <c r="B20" s="97">
        <v>2029</v>
      </c>
      <c r="C20" s="353">
        <v>0</v>
      </c>
      <c r="D20" s="353">
        <f t="shared" si="1"/>
        <v>1386.82</v>
      </c>
      <c r="E20" s="92" t="s">
        <v>127</v>
      </c>
      <c r="F20" s="92" t="s">
        <v>127</v>
      </c>
      <c r="G20" s="367">
        <v>33559.612300689369</v>
      </c>
      <c r="H20" s="353">
        <f t="shared" si="2"/>
        <v>180595.14968568124</v>
      </c>
      <c r="I20" s="339"/>
    </row>
    <row r="21" spans="1:9" ht="14.5" x14ac:dyDescent="0.35">
      <c r="A21" s="97">
        <v>12</v>
      </c>
      <c r="B21" s="97">
        <v>2030</v>
      </c>
      <c r="C21" s="353">
        <v>0</v>
      </c>
      <c r="D21" s="353">
        <f t="shared" si="1"/>
        <v>1386.82</v>
      </c>
      <c r="E21" s="92" t="s">
        <v>127</v>
      </c>
      <c r="F21" s="92" t="s">
        <v>127</v>
      </c>
      <c r="G21" s="367">
        <v>30884.089645564025</v>
      </c>
      <c r="H21" s="353">
        <f t="shared" si="2"/>
        <v>166307.85870731188</v>
      </c>
      <c r="I21" s="339"/>
    </row>
    <row r="22" spans="1:9" ht="14.5" x14ac:dyDescent="0.35">
      <c r="A22" s="97">
        <v>13</v>
      </c>
      <c r="B22" s="97">
        <v>2031</v>
      </c>
      <c r="C22" s="353">
        <v>0</v>
      </c>
      <c r="D22" s="353">
        <f t="shared" si="1"/>
        <v>1386.82</v>
      </c>
      <c r="E22" s="92" t="s">
        <v>127</v>
      </c>
      <c r="F22" s="92" t="s">
        <v>127</v>
      </c>
      <c r="G22" s="367">
        <v>26335.191663669841</v>
      </c>
      <c r="H22" s="353">
        <f t="shared" si="2"/>
        <v>142016.74348399695</v>
      </c>
      <c r="I22" s="339"/>
    </row>
    <row r="23" spans="1:9" ht="14.5" x14ac:dyDescent="0.35">
      <c r="A23" s="97">
        <v>14</v>
      </c>
      <c r="B23" s="97">
        <v>2032</v>
      </c>
      <c r="C23" s="353">
        <v>0</v>
      </c>
      <c r="D23" s="353">
        <f t="shared" si="1"/>
        <v>1386.82</v>
      </c>
      <c r="E23" s="92" t="s">
        <v>127</v>
      </c>
      <c r="F23" s="92" t="s">
        <v>127</v>
      </c>
      <c r="G23" s="367">
        <v>23733.827083072556</v>
      </c>
      <c r="H23" s="353">
        <f t="shared" si="2"/>
        <v>128125.45662360745</v>
      </c>
      <c r="I23" s="339"/>
    </row>
    <row r="24" spans="1:9" ht="14.5" x14ac:dyDescent="0.35">
      <c r="A24" s="97">
        <v>15</v>
      </c>
      <c r="B24" s="97">
        <v>2033</v>
      </c>
      <c r="C24" s="353">
        <v>0</v>
      </c>
      <c r="D24" s="353">
        <f t="shared" si="1"/>
        <v>1386.82</v>
      </c>
      <c r="E24" s="92" t="s">
        <v>127</v>
      </c>
      <c r="F24" s="92" t="s">
        <v>127</v>
      </c>
      <c r="G24" s="367">
        <v>20474.153120708368</v>
      </c>
      <c r="H24" s="353">
        <f t="shared" si="2"/>
        <v>110718.79766458269</v>
      </c>
      <c r="I24" s="339"/>
    </row>
    <row r="25" spans="1:9" ht="14.5" x14ac:dyDescent="0.35">
      <c r="A25" s="97">
        <v>16</v>
      </c>
      <c r="B25" s="97">
        <v>2034</v>
      </c>
      <c r="C25" s="353">
        <v>0</v>
      </c>
      <c r="D25" s="353">
        <f t="shared" si="1"/>
        <v>1386.82</v>
      </c>
      <c r="E25" s="92" t="s">
        <v>127</v>
      </c>
      <c r="F25" s="92" t="s">
        <v>127</v>
      </c>
      <c r="G25" s="367">
        <v>19883.395177273094</v>
      </c>
      <c r="H25" s="353">
        <f t="shared" si="2"/>
        <v>107564.15024663832</v>
      </c>
      <c r="I25" s="339"/>
    </row>
    <row r="26" spans="1:9" x14ac:dyDescent="0.3">
      <c r="A26" s="97">
        <v>17</v>
      </c>
      <c r="B26" s="97">
        <v>2035</v>
      </c>
      <c r="C26" s="353">
        <v>0</v>
      </c>
      <c r="D26" s="353">
        <f t="shared" si="1"/>
        <v>1386.82</v>
      </c>
      <c r="E26" s="92" t="s">
        <v>127</v>
      </c>
      <c r="F26" s="92" t="s">
        <v>127</v>
      </c>
      <c r="G26" s="367">
        <v>19306.56066838167</v>
      </c>
      <c r="H26" s="353">
        <f t="shared" si="2"/>
        <v>104483.85396915812</v>
      </c>
      <c r="I26" s="338"/>
    </row>
    <row r="27" spans="1:9" ht="14.5" x14ac:dyDescent="0.35">
      <c r="A27" s="97">
        <v>18</v>
      </c>
      <c r="B27" s="97">
        <v>2036</v>
      </c>
      <c r="C27" s="353">
        <v>0</v>
      </c>
      <c r="D27" s="353">
        <f t="shared" si="1"/>
        <v>1386.82</v>
      </c>
      <c r="E27" s="92" t="s">
        <v>127</v>
      </c>
      <c r="F27" s="92" t="s">
        <v>127</v>
      </c>
      <c r="G27" s="367">
        <v>18743.167465261398</v>
      </c>
      <c r="H27" s="353">
        <f t="shared" si="2"/>
        <v>101475.33426449588</v>
      </c>
      <c r="I27" s="339"/>
    </row>
    <row r="28" spans="1:9" ht="14.5" x14ac:dyDescent="0.35">
      <c r="A28" s="97">
        <v>19</v>
      </c>
      <c r="B28" s="97">
        <v>2037</v>
      </c>
      <c r="C28" s="353">
        <v>0</v>
      </c>
      <c r="D28" s="353">
        <f t="shared" si="1"/>
        <v>1386.82</v>
      </c>
      <c r="E28" s="92" t="s">
        <v>127</v>
      </c>
      <c r="F28" s="92" t="s">
        <v>127</v>
      </c>
      <c r="G28" s="367">
        <v>18192.753245583011</v>
      </c>
      <c r="H28" s="353">
        <f t="shared" si="2"/>
        <v>98536.12233141328</v>
      </c>
      <c r="I28" s="339"/>
    </row>
    <row r="29" spans="1:9" ht="14.5" x14ac:dyDescent="0.35">
      <c r="A29" s="97">
        <v>20</v>
      </c>
      <c r="B29" s="97">
        <v>2038</v>
      </c>
      <c r="C29" s="353">
        <v>0</v>
      </c>
      <c r="D29" s="353">
        <f t="shared" si="1"/>
        <v>1386.82</v>
      </c>
      <c r="E29" s="92" t="s">
        <v>127</v>
      </c>
      <c r="F29" s="92" t="s">
        <v>127</v>
      </c>
      <c r="G29" s="367">
        <v>17654.882202892753</v>
      </c>
      <c r="H29" s="353">
        <f t="shared" si="2"/>
        <v>95663.890963447309</v>
      </c>
      <c r="I29" s="339"/>
    </row>
    <row r="30" spans="1:9" ht="14.5" x14ac:dyDescent="0.35">
      <c r="A30" s="97">
        <v>21</v>
      </c>
      <c r="B30" s="97">
        <v>2039</v>
      </c>
      <c r="C30" s="353">
        <v>0</v>
      </c>
      <c r="D30" s="353">
        <f t="shared" si="1"/>
        <v>1386.82</v>
      </c>
      <c r="E30" s="92" t="s">
        <v>127</v>
      </c>
      <c r="F30" s="92" t="s">
        <v>127</v>
      </c>
      <c r="G30" s="367">
        <v>17129.137830379776</v>
      </c>
      <c r="H30" s="353">
        <f t="shared" si="2"/>
        <v>92856.416014228002</v>
      </c>
      <c r="I30" s="339"/>
    </row>
    <row r="31" spans="1:9" x14ac:dyDescent="0.3">
      <c r="A31" s="97">
        <v>22</v>
      </c>
      <c r="B31" s="97">
        <v>2040</v>
      </c>
      <c r="C31" s="353">
        <v>0</v>
      </c>
      <c r="D31" s="353">
        <f t="shared" si="1"/>
        <v>1386.82</v>
      </c>
      <c r="E31" s="92" t="s">
        <v>127</v>
      </c>
      <c r="F31" s="92" t="s">
        <v>127</v>
      </c>
      <c r="G31" s="367">
        <v>16625.637578474463</v>
      </c>
      <c r="H31" s="353">
        <f t="shared" si="2"/>
        <v>90167.724669053641</v>
      </c>
      <c r="I31" s="338"/>
    </row>
    <row r="32" spans="1:9" ht="14.5" x14ac:dyDescent="0.35">
      <c r="A32" s="97">
        <v>23</v>
      </c>
      <c r="B32" s="97">
        <v>2041</v>
      </c>
      <c r="C32" s="353">
        <v>0</v>
      </c>
      <c r="D32" s="353">
        <f t="shared" si="1"/>
        <v>1386.82</v>
      </c>
      <c r="E32" s="92" t="s">
        <v>127</v>
      </c>
      <c r="F32" s="92" t="s">
        <v>127</v>
      </c>
      <c r="G32" s="367">
        <v>16260.194117867508</v>
      </c>
      <c r="H32" s="353">
        <f t="shared" si="2"/>
        <v>88216.2565894125</v>
      </c>
      <c r="I32" s="339"/>
    </row>
    <row r="33" spans="1:9" ht="14.5" x14ac:dyDescent="0.35">
      <c r="A33" s="97">
        <v>24</v>
      </c>
      <c r="B33" s="97">
        <v>2042</v>
      </c>
      <c r="C33" s="353">
        <v>0</v>
      </c>
      <c r="D33" s="353">
        <f t="shared" si="1"/>
        <v>1386.82</v>
      </c>
      <c r="E33" s="92" t="s">
        <v>127</v>
      </c>
      <c r="F33" s="92" t="s">
        <v>127</v>
      </c>
      <c r="G33" s="367">
        <v>15897.050198767412</v>
      </c>
      <c r="H33" s="353">
        <f t="shared" si="2"/>
        <v>86277.068061417987</v>
      </c>
      <c r="I33" s="339"/>
    </row>
    <row r="34" spans="1:9" ht="14.5" x14ac:dyDescent="0.35">
      <c r="A34" s="97">
        <v>25</v>
      </c>
      <c r="B34" s="97">
        <v>2043</v>
      </c>
      <c r="C34" s="353">
        <v>0</v>
      </c>
      <c r="D34" s="353">
        <f t="shared" si="1"/>
        <v>1386.82</v>
      </c>
      <c r="E34" s="92" t="s">
        <v>127</v>
      </c>
      <c r="F34" s="92" t="s">
        <v>127</v>
      </c>
      <c r="G34" s="367">
        <v>15291.056394083445</v>
      </c>
      <c r="H34" s="353">
        <f t="shared" si="2"/>
        <v>83041.061144405598</v>
      </c>
      <c r="I34" s="339"/>
    </row>
    <row r="35" spans="1:9" ht="14.5" x14ac:dyDescent="0.35">
      <c r="A35" s="97">
        <v>26</v>
      </c>
      <c r="B35" s="97">
        <v>2044</v>
      </c>
      <c r="C35" s="353">
        <v>0</v>
      </c>
      <c r="D35" s="353">
        <f t="shared" si="1"/>
        <v>1386.82</v>
      </c>
      <c r="E35" s="92" t="s">
        <v>127</v>
      </c>
      <c r="F35" s="92" t="s">
        <v>127</v>
      </c>
      <c r="G35" s="367">
        <v>14904.826974443051</v>
      </c>
      <c r="H35" s="353">
        <f t="shared" si="2"/>
        <v>80978.596043525889</v>
      </c>
      <c r="I35" s="339"/>
    </row>
    <row r="36" spans="1:9" ht="14.5" x14ac:dyDescent="0.35">
      <c r="A36" s="97">
        <v>27</v>
      </c>
      <c r="B36" s="97">
        <v>2045</v>
      </c>
      <c r="C36" s="353">
        <v>0</v>
      </c>
      <c r="D36" s="353">
        <f t="shared" si="1"/>
        <v>1386.82</v>
      </c>
      <c r="E36" s="92" t="s">
        <v>127</v>
      </c>
      <c r="F36" s="92" t="s">
        <v>127</v>
      </c>
      <c r="G36" s="367">
        <v>14523.381357007474</v>
      </c>
      <c r="H36" s="353">
        <f t="shared" si="2"/>
        <v>78941.676446419922</v>
      </c>
      <c r="I36" s="339"/>
    </row>
    <row r="37" spans="1:9" ht="14.5" x14ac:dyDescent="0.35">
      <c r="A37" s="97">
        <v>28</v>
      </c>
      <c r="B37" s="97">
        <v>2046</v>
      </c>
      <c r="C37" s="353">
        <v>0</v>
      </c>
      <c r="D37" s="353">
        <f t="shared" si="1"/>
        <v>1386.82</v>
      </c>
      <c r="E37" s="92" t="s">
        <v>127</v>
      </c>
      <c r="F37" s="92" t="s">
        <v>127</v>
      </c>
      <c r="G37" s="367">
        <v>14146.711878917777</v>
      </c>
      <c r="H37" s="353">
        <f t="shared" si="2"/>
        <v>76930.261433420936</v>
      </c>
      <c r="I37" s="339"/>
    </row>
    <row r="38" spans="1:9" ht="14.5" x14ac:dyDescent="0.35">
      <c r="A38" s="97">
        <v>29</v>
      </c>
      <c r="B38" s="97">
        <v>2047</v>
      </c>
      <c r="C38" s="353">
        <v>0</v>
      </c>
      <c r="D38" s="353">
        <f t="shared" si="1"/>
        <v>1386.82</v>
      </c>
      <c r="E38" s="92" t="s">
        <v>127</v>
      </c>
      <c r="F38" s="92" t="s">
        <v>127</v>
      </c>
      <c r="G38" s="367">
        <v>13774.825879621099</v>
      </c>
      <c r="H38" s="353">
        <f t="shared" si="2"/>
        <v>74944.390197176675</v>
      </c>
      <c r="I38" s="339"/>
    </row>
    <row r="39" spans="1:9" ht="14.5" x14ac:dyDescent="0.35">
      <c r="A39" s="97">
        <v>30</v>
      </c>
      <c r="B39" s="97">
        <v>2048</v>
      </c>
      <c r="C39" s="353">
        <v>0</v>
      </c>
      <c r="D39" s="353">
        <f t="shared" si="1"/>
        <v>1386.82</v>
      </c>
      <c r="E39" s="92" t="s">
        <v>127</v>
      </c>
      <c r="F39" s="92" t="s">
        <v>127</v>
      </c>
      <c r="G39" s="367">
        <v>13407.720928132403</v>
      </c>
      <c r="H39" s="353">
        <f t="shared" si="2"/>
        <v>72984.049756227032</v>
      </c>
      <c r="I39" s="339"/>
    </row>
    <row r="40" spans="1:9" ht="14.5" x14ac:dyDescent="0.35">
      <c r="A40" s="97">
        <v>31</v>
      </c>
      <c r="B40" s="97">
        <v>2049</v>
      </c>
      <c r="C40" s="353">
        <v>0</v>
      </c>
      <c r="D40" s="353">
        <f t="shared" si="1"/>
        <v>1386.82</v>
      </c>
      <c r="E40" s="92" t="s">
        <v>127</v>
      </c>
      <c r="F40" s="92" t="s">
        <v>127</v>
      </c>
      <c r="G40" s="367">
        <v>13045.397384011014</v>
      </c>
      <c r="H40" s="353">
        <f t="shared" si="2"/>
        <v>71049.242030618814</v>
      </c>
      <c r="I40" s="339"/>
    </row>
    <row r="41" spans="1:9" ht="14.5" x14ac:dyDescent="0.35">
      <c r="A41" s="97">
        <v>32</v>
      </c>
      <c r="B41" s="97">
        <v>2050</v>
      </c>
      <c r="C41" s="353">
        <v>0</v>
      </c>
      <c r="D41" s="353">
        <f t="shared" si="1"/>
        <v>1386.82</v>
      </c>
      <c r="E41" s="92" t="s">
        <v>127</v>
      </c>
      <c r="F41" s="92" t="s">
        <v>127</v>
      </c>
      <c r="G41" s="367">
        <v>12687.856918683001</v>
      </c>
      <c r="H41" s="353">
        <f t="shared" si="2"/>
        <v>69139.975945767233</v>
      </c>
      <c r="I41" s="339"/>
    </row>
    <row r="42" spans="1:9" ht="14.5" x14ac:dyDescent="0.35">
      <c r="A42" s="97">
        <v>33</v>
      </c>
      <c r="B42" s="97">
        <v>2051</v>
      </c>
      <c r="C42" s="353">
        <v>0</v>
      </c>
      <c r="D42" s="353">
        <f t="shared" si="1"/>
        <v>1386.82</v>
      </c>
      <c r="E42" s="92" t="s">
        <v>127</v>
      </c>
      <c r="F42" s="92" t="s">
        <v>127</v>
      </c>
      <c r="G42" s="367">
        <v>12558.553537446887</v>
      </c>
      <c r="H42" s="353">
        <f t="shared" si="2"/>
        <v>68449.495889966376</v>
      </c>
      <c r="I42" s="339"/>
    </row>
    <row r="43" spans="1:9" ht="14.5" x14ac:dyDescent="0.35">
      <c r="A43" s="97">
        <v>34</v>
      </c>
      <c r="B43" s="97">
        <v>2052</v>
      </c>
      <c r="C43" s="353">
        <v>0</v>
      </c>
      <c r="D43" s="353">
        <f t="shared" si="1"/>
        <v>1386.82</v>
      </c>
      <c r="E43" s="92" t="s">
        <v>127</v>
      </c>
      <c r="F43" s="92" t="s">
        <v>127</v>
      </c>
      <c r="G43" s="367">
        <v>12432.753832104452</v>
      </c>
      <c r="H43" s="353">
        <f t="shared" si="2"/>
        <v>67777.725463437775</v>
      </c>
      <c r="I43" s="339"/>
    </row>
    <row r="44" spans="1:9" x14ac:dyDescent="0.3">
      <c r="A44" s="97">
        <v>35</v>
      </c>
      <c r="B44" s="97">
        <v>2053</v>
      </c>
      <c r="C44" s="353">
        <v>0</v>
      </c>
      <c r="D44" s="353">
        <f t="shared" si="1"/>
        <v>1386.82</v>
      </c>
      <c r="E44" s="92" t="s">
        <v>127</v>
      </c>
      <c r="F44" s="92" t="s">
        <v>127</v>
      </c>
      <c r="G44" s="367">
        <v>12305.202720398895</v>
      </c>
      <c r="H44" s="353">
        <f t="shared" si="2"/>
        <v>67096.602526930103</v>
      </c>
      <c r="I44" s="338"/>
    </row>
    <row r="45" spans="1:9" ht="14.5" x14ac:dyDescent="0.35">
      <c r="A45" s="97">
        <v>36</v>
      </c>
      <c r="B45" s="97">
        <v>2054</v>
      </c>
      <c r="C45" s="353">
        <v>0</v>
      </c>
      <c r="D45" s="353">
        <f t="shared" si="1"/>
        <v>1386.82</v>
      </c>
      <c r="E45" s="92" t="s">
        <v>127</v>
      </c>
      <c r="F45" s="92" t="s">
        <v>127</v>
      </c>
      <c r="G45" s="367">
        <v>12177.652967973067</v>
      </c>
      <c r="H45" s="353">
        <f t="shared" si="2"/>
        <v>66415.486848976172</v>
      </c>
      <c r="I45" s="339"/>
    </row>
    <row r="46" spans="1:9" ht="14.5" x14ac:dyDescent="0.35">
      <c r="A46" s="97">
        <v>37</v>
      </c>
      <c r="B46" s="97">
        <v>2055</v>
      </c>
      <c r="C46" s="353">
        <v>0</v>
      </c>
      <c r="D46" s="353">
        <f t="shared" si="1"/>
        <v>1386.82</v>
      </c>
      <c r="E46" s="92" t="s">
        <v>127</v>
      </c>
      <c r="F46" s="92" t="s">
        <v>127</v>
      </c>
      <c r="G46" s="367">
        <v>12050.100940848111</v>
      </c>
      <c r="H46" s="353">
        <f t="shared" si="2"/>
        <v>65734.35902412892</v>
      </c>
      <c r="I46" s="339"/>
    </row>
    <row r="47" spans="1:9" ht="14.5" x14ac:dyDescent="0.35">
      <c r="A47" s="97">
        <v>38</v>
      </c>
      <c r="B47" s="97">
        <v>2056</v>
      </c>
      <c r="C47" s="353">
        <v>0</v>
      </c>
      <c r="D47" s="353">
        <f t="shared" si="1"/>
        <v>1386.82</v>
      </c>
      <c r="E47" s="92" t="s">
        <v>127</v>
      </c>
      <c r="F47" s="92" t="s">
        <v>127</v>
      </c>
      <c r="G47" s="367">
        <v>11922.546728674575</v>
      </c>
      <c r="H47" s="353">
        <f t="shared" si="2"/>
        <v>65053.219531122231</v>
      </c>
      <c r="I47" s="339"/>
    </row>
    <row r="48" spans="1:9" ht="14.5" x14ac:dyDescent="0.35">
      <c r="A48" s="97">
        <v>39</v>
      </c>
      <c r="B48" s="97">
        <v>2057</v>
      </c>
      <c r="C48" s="353">
        <v>0</v>
      </c>
      <c r="D48" s="353">
        <f t="shared" si="1"/>
        <v>1386.82</v>
      </c>
      <c r="E48" s="92" t="s">
        <v>127</v>
      </c>
      <c r="F48" s="92" t="s">
        <v>127</v>
      </c>
      <c r="G48" s="367">
        <v>11794.99389332781</v>
      </c>
      <c r="H48" s="353">
        <f t="shared" si="2"/>
        <v>64372.0873903705</v>
      </c>
      <c r="I48" s="339"/>
    </row>
    <row r="49" spans="1:9" ht="14.5" x14ac:dyDescent="0.35">
      <c r="A49" s="97">
        <v>40</v>
      </c>
      <c r="B49" s="97">
        <v>2058</v>
      </c>
      <c r="C49" s="353">
        <v>0</v>
      </c>
      <c r="D49" s="353">
        <f t="shared" si="1"/>
        <v>1386.82</v>
      </c>
      <c r="E49" s="92" t="s">
        <v>127</v>
      </c>
      <c r="F49" s="92" t="s">
        <v>127</v>
      </c>
      <c r="G49" s="367">
        <v>11667.442341924658</v>
      </c>
      <c r="H49" s="353">
        <f t="shared" si="2"/>
        <v>63690.962105877668</v>
      </c>
      <c r="I49" s="339"/>
    </row>
    <row r="50" spans="1:9" x14ac:dyDescent="0.3">
      <c r="A50" s="97">
        <v>41</v>
      </c>
      <c r="B50" s="97">
        <v>2059</v>
      </c>
      <c r="C50" s="353">
        <v>0</v>
      </c>
      <c r="D50" s="353">
        <f t="shared" si="1"/>
        <v>1386.82</v>
      </c>
      <c r="E50" s="92" t="s">
        <v>127</v>
      </c>
      <c r="F50" s="92" t="s">
        <v>127</v>
      </c>
      <c r="G50" s="367">
        <v>11667.442341924658</v>
      </c>
      <c r="H50" s="353">
        <f t="shared" si="2"/>
        <v>63690.962105877668</v>
      </c>
      <c r="I50" s="338"/>
    </row>
    <row r="51" spans="1:9" ht="14.5" x14ac:dyDescent="0.35">
      <c r="A51" s="97">
        <v>42</v>
      </c>
      <c r="B51" s="97">
        <v>2060</v>
      </c>
      <c r="C51" s="353">
        <v>0</v>
      </c>
      <c r="D51" s="353">
        <f t="shared" si="1"/>
        <v>1386.82</v>
      </c>
      <c r="E51" s="92" t="s">
        <v>127</v>
      </c>
      <c r="F51" s="92" t="s">
        <v>127</v>
      </c>
      <c r="G51" s="367">
        <v>11667.442341924658</v>
      </c>
      <c r="H51" s="353">
        <f t="shared" si="2"/>
        <v>63690.962105877668</v>
      </c>
      <c r="I51" s="339"/>
    </row>
    <row r="52" spans="1:9" ht="14.5" x14ac:dyDescent="0.35">
      <c r="A52" s="97">
        <v>43</v>
      </c>
      <c r="B52" s="97">
        <v>2061</v>
      </c>
      <c r="C52" s="353">
        <v>0</v>
      </c>
      <c r="D52" s="353">
        <f t="shared" si="1"/>
        <v>1386.82</v>
      </c>
      <c r="E52" s="92" t="s">
        <v>127</v>
      </c>
      <c r="F52" s="92" t="s">
        <v>127</v>
      </c>
      <c r="G52" s="367">
        <v>11667.442341924658</v>
      </c>
      <c r="H52" s="353">
        <f t="shared" si="2"/>
        <v>63690.962105877668</v>
      </c>
      <c r="I52" s="339"/>
    </row>
    <row r="53" spans="1:9" ht="14.5" x14ac:dyDescent="0.35">
      <c r="A53" s="97">
        <v>44</v>
      </c>
      <c r="B53" s="97">
        <v>2062</v>
      </c>
      <c r="C53" s="353">
        <v>0</v>
      </c>
      <c r="D53" s="353">
        <f t="shared" si="1"/>
        <v>1386.82</v>
      </c>
      <c r="E53" s="92" t="s">
        <v>127</v>
      </c>
      <c r="F53" s="92" t="s">
        <v>127</v>
      </c>
      <c r="G53" s="367">
        <v>11667.442341924658</v>
      </c>
      <c r="H53" s="353">
        <f t="shared" si="2"/>
        <v>63690.962105877668</v>
      </c>
      <c r="I53" s="339"/>
    </row>
    <row r="54" spans="1:9" ht="14.5" x14ac:dyDescent="0.35">
      <c r="A54" s="97">
        <v>45</v>
      </c>
      <c r="B54" s="97">
        <v>2063</v>
      </c>
      <c r="C54" s="353">
        <v>0</v>
      </c>
      <c r="D54" s="353">
        <f t="shared" si="1"/>
        <v>1386.82</v>
      </c>
      <c r="E54" s="92" t="s">
        <v>127</v>
      </c>
      <c r="F54" s="92" t="s">
        <v>127</v>
      </c>
      <c r="G54" s="367">
        <v>11667.442341924658</v>
      </c>
      <c r="H54" s="353">
        <f t="shared" si="2"/>
        <v>63690.962105877668</v>
      </c>
      <c r="I54" s="339"/>
    </row>
    <row r="55" spans="1:9" ht="14.5" x14ac:dyDescent="0.35">
      <c r="A55" s="97">
        <v>46</v>
      </c>
      <c r="B55" s="97">
        <v>2064</v>
      </c>
      <c r="C55" s="353">
        <v>0</v>
      </c>
      <c r="D55" s="353">
        <f t="shared" si="1"/>
        <v>1386.82</v>
      </c>
      <c r="E55" s="92" t="s">
        <v>127</v>
      </c>
      <c r="F55" s="92" t="s">
        <v>127</v>
      </c>
      <c r="G55" s="367">
        <v>11667.442341924658</v>
      </c>
      <c r="H55" s="353">
        <f t="shared" si="2"/>
        <v>63690.962105877668</v>
      </c>
      <c r="I55" s="339"/>
    </row>
    <row r="56" spans="1:9" ht="14.5" x14ac:dyDescent="0.35">
      <c r="A56" s="97">
        <v>47</v>
      </c>
      <c r="B56" s="97">
        <v>2065</v>
      </c>
      <c r="C56" s="353">
        <v>0</v>
      </c>
      <c r="D56" s="353">
        <f t="shared" si="1"/>
        <v>1386.82</v>
      </c>
      <c r="E56" s="92" t="s">
        <v>127</v>
      </c>
      <c r="F56" s="92" t="s">
        <v>127</v>
      </c>
      <c r="G56" s="367">
        <v>11667.442341924658</v>
      </c>
      <c r="H56" s="353">
        <f t="shared" si="2"/>
        <v>63690.962105877668</v>
      </c>
      <c r="I56" s="339"/>
    </row>
    <row r="57" spans="1:9" ht="14.5" x14ac:dyDescent="0.35">
      <c r="A57" s="97">
        <v>48</v>
      </c>
      <c r="B57" s="97">
        <v>2066</v>
      </c>
      <c r="C57" s="353">
        <v>0</v>
      </c>
      <c r="D57" s="353">
        <f t="shared" si="1"/>
        <v>1386.82</v>
      </c>
      <c r="E57" s="92" t="s">
        <v>127</v>
      </c>
      <c r="F57" s="92" t="s">
        <v>127</v>
      </c>
      <c r="G57" s="367">
        <v>11667.442341924658</v>
      </c>
      <c r="H57" s="353">
        <f t="shared" si="2"/>
        <v>63690.962105877668</v>
      </c>
      <c r="I57" s="339"/>
    </row>
    <row r="58" spans="1:9" ht="14.5" x14ac:dyDescent="0.35">
      <c r="A58" s="97">
        <v>49</v>
      </c>
      <c r="B58" s="97">
        <v>2067</v>
      </c>
      <c r="C58" s="353">
        <v>0</v>
      </c>
      <c r="D58" s="353">
        <f t="shared" si="1"/>
        <v>1386.82</v>
      </c>
      <c r="E58" s="92" t="s">
        <v>127</v>
      </c>
      <c r="F58" s="92" t="s">
        <v>127</v>
      </c>
      <c r="G58" s="367">
        <v>11667.442341924658</v>
      </c>
      <c r="H58" s="353">
        <f t="shared" si="2"/>
        <v>63690.962105877668</v>
      </c>
      <c r="I58" s="339"/>
    </row>
    <row r="59" spans="1:9" x14ac:dyDescent="0.3">
      <c r="A59" s="97">
        <v>50</v>
      </c>
      <c r="B59" s="97">
        <v>2068</v>
      </c>
      <c r="C59" s="353">
        <v>0</v>
      </c>
      <c r="D59" s="353">
        <f t="shared" si="1"/>
        <v>1386.82</v>
      </c>
      <c r="E59" s="92" t="s">
        <v>127</v>
      </c>
      <c r="F59" s="92" t="s">
        <v>127</v>
      </c>
      <c r="G59" s="367">
        <v>11667.442286334435</v>
      </c>
      <c r="H59" s="353">
        <f t="shared" si="2"/>
        <v>63690.961809025881</v>
      </c>
      <c r="I59" s="338"/>
    </row>
    <row r="60" spans="1:9" ht="14.5" x14ac:dyDescent="0.35">
      <c r="A60" s="97">
        <v>51</v>
      </c>
      <c r="B60" s="97">
        <v>2069</v>
      </c>
      <c r="C60" s="353">
        <v>0</v>
      </c>
      <c r="D60" s="353">
        <f t="shared" si="1"/>
        <v>1386.82</v>
      </c>
      <c r="E60" s="92" t="s">
        <v>127</v>
      </c>
      <c r="F60" s="92" t="s">
        <v>127</v>
      </c>
      <c r="G60" s="367">
        <v>11667.442341924658</v>
      </c>
      <c r="H60" s="353">
        <f t="shared" si="2"/>
        <v>63690.962105877668</v>
      </c>
      <c r="I60" s="339"/>
    </row>
    <row r="61" spans="1:9" ht="14.5" x14ac:dyDescent="0.35">
      <c r="A61" s="97">
        <v>52</v>
      </c>
      <c r="B61" s="97">
        <v>2070</v>
      </c>
      <c r="C61" s="353">
        <v>0</v>
      </c>
      <c r="D61" s="353">
        <f t="shared" si="1"/>
        <v>1386.82</v>
      </c>
      <c r="E61" s="92" t="s">
        <v>127</v>
      </c>
      <c r="F61" s="92" t="s">
        <v>127</v>
      </c>
      <c r="G61" s="367">
        <v>11667.442341924658</v>
      </c>
      <c r="H61" s="353">
        <f t="shared" si="2"/>
        <v>63690.962105877668</v>
      </c>
      <c r="I61" s="339"/>
    </row>
    <row r="62" spans="1:9" ht="14.5" x14ac:dyDescent="0.35">
      <c r="A62" s="97">
        <v>53</v>
      </c>
      <c r="B62" s="97">
        <v>2071</v>
      </c>
      <c r="C62" s="353">
        <v>0</v>
      </c>
      <c r="D62" s="353">
        <f t="shared" si="1"/>
        <v>1386.82</v>
      </c>
      <c r="E62" s="92" t="s">
        <v>127</v>
      </c>
      <c r="F62" s="92" t="s">
        <v>127</v>
      </c>
      <c r="G62" s="367">
        <v>11667.442341924658</v>
      </c>
      <c r="H62" s="353">
        <f t="shared" si="2"/>
        <v>63690.962105877668</v>
      </c>
      <c r="I62" s="339"/>
    </row>
    <row r="63" spans="1:9" ht="14.5" x14ac:dyDescent="0.35">
      <c r="A63" s="97">
        <v>54</v>
      </c>
      <c r="B63" s="97">
        <v>2072</v>
      </c>
      <c r="C63" s="353">
        <v>0</v>
      </c>
      <c r="D63" s="353">
        <f t="shared" si="1"/>
        <v>1386.82</v>
      </c>
      <c r="E63" s="92" t="s">
        <v>127</v>
      </c>
      <c r="F63" s="92" t="s">
        <v>127</v>
      </c>
      <c r="G63" s="367">
        <v>11667.442341924658</v>
      </c>
      <c r="H63" s="353">
        <f t="shared" si="2"/>
        <v>63690.962105877668</v>
      </c>
      <c r="I63" s="339"/>
    </row>
    <row r="64" spans="1:9" ht="14.5" x14ac:dyDescent="0.35">
      <c r="A64" s="97">
        <v>55</v>
      </c>
      <c r="B64" s="97">
        <v>2073</v>
      </c>
      <c r="C64" s="353">
        <v>0</v>
      </c>
      <c r="D64" s="353">
        <f t="shared" si="1"/>
        <v>1386.82</v>
      </c>
      <c r="E64" s="92" t="s">
        <v>127</v>
      </c>
      <c r="F64" s="92" t="s">
        <v>127</v>
      </c>
      <c r="G64" s="367">
        <v>11667.442286334435</v>
      </c>
      <c r="H64" s="353">
        <f t="shared" si="2"/>
        <v>63690.961809025881</v>
      </c>
      <c r="I64" s="339"/>
    </row>
    <row r="65" spans="1:9" ht="14.5" x14ac:dyDescent="0.35">
      <c r="A65" s="97">
        <v>56</v>
      </c>
      <c r="B65" s="97">
        <v>2074</v>
      </c>
      <c r="C65" s="353">
        <v>0</v>
      </c>
      <c r="D65" s="353">
        <f t="shared" si="1"/>
        <v>1386.82</v>
      </c>
      <c r="E65" s="92" t="s">
        <v>127</v>
      </c>
      <c r="F65" s="92" t="s">
        <v>127</v>
      </c>
      <c r="G65" s="367">
        <v>11667.442341924658</v>
      </c>
      <c r="H65" s="353">
        <f t="shared" si="2"/>
        <v>63690.962105877668</v>
      </c>
      <c r="I65" s="339"/>
    </row>
    <row r="66" spans="1:9" ht="14.5" x14ac:dyDescent="0.35">
      <c r="A66" s="97">
        <v>57</v>
      </c>
      <c r="B66" s="97">
        <v>2075</v>
      </c>
      <c r="C66" s="353">
        <v>0</v>
      </c>
      <c r="D66" s="353">
        <f t="shared" si="1"/>
        <v>1386.82</v>
      </c>
      <c r="E66" s="92" t="s">
        <v>127</v>
      </c>
      <c r="F66" s="92" t="s">
        <v>127</v>
      </c>
      <c r="G66" s="367">
        <v>11667.442341924658</v>
      </c>
      <c r="H66" s="353">
        <f t="shared" si="2"/>
        <v>63690.962105877668</v>
      </c>
      <c r="I66" s="339"/>
    </row>
    <row r="67" spans="1:9" ht="14.5" x14ac:dyDescent="0.35">
      <c r="A67" s="97">
        <v>58</v>
      </c>
      <c r="B67" s="97">
        <v>2076</v>
      </c>
      <c r="C67" s="353">
        <v>0</v>
      </c>
      <c r="D67" s="353">
        <f t="shared" si="1"/>
        <v>1386.82</v>
      </c>
      <c r="E67" s="92" t="s">
        <v>127</v>
      </c>
      <c r="F67" s="92" t="s">
        <v>127</v>
      </c>
      <c r="G67" s="367">
        <v>11667.442341924658</v>
      </c>
      <c r="H67" s="353">
        <f t="shared" si="2"/>
        <v>63690.962105877668</v>
      </c>
      <c r="I67" s="339"/>
    </row>
    <row r="68" spans="1:9" ht="14.5" x14ac:dyDescent="0.35">
      <c r="A68" s="97">
        <v>59</v>
      </c>
      <c r="B68" s="97">
        <v>2077</v>
      </c>
      <c r="C68" s="353">
        <v>0</v>
      </c>
      <c r="D68" s="353">
        <f t="shared" si="1"/>
        <v>1386.82</v>
      </c>
      <c r="E68" s="92" t="s">
        <v>127</v>
      </c>
      <c r="F68" s="92" t="s">
        <v>127</v>
      </c>
      <c r="G68" s="367">
        <v>11667.442341924658</v>
      </c>
      <c r="H68" s="353">
        <f t="shared" si="2"/>
        <v>63690.962105877668</v>
      </c>
      <c r="I68" s="339"/>
    </row>
    <row r="69" spans="1:9" ht="14.5" x14ac:dyDescent="0.35">
      <c r="A69" s="97">
        <v>60</v>
      </c>
      <c r="B69" s="97">
        <v>2078</v>
      </c>
      <c r="C69" s="353">
        <v>0</v>
      </c>
      <c r="D69" s="353">
        <f t="shared" si="1"/>
        <v>1386.82</v>
      </c>
      <c r="E69" s="92" t="s">
        <v>127</v>
      </c>
      <c r="F69" s="92" t="s">
        <v>127</v>
      </c>
      <c r="G69" s="367">
        <v>11667.442341924658</v>
      </c>
      <c r="H69" s="353">
        <f t="shared" si="2"/>
        <v>63690.962105877668</v>
      </c>
      <c r="I69" s="339"/>
    </row>
    <row r="70" spans="1:9" ht="14.5" x14ac:dyDescent="0.35">
      <c r="A70" s="97">
        <v>61</v>
      </c>
      <c r="B70" s="97">
        <v>2079</v>
      </c>
      <c r="C70" s="353">
        <v>0</v>
      </c>
      <c r="D70" s="353">
        <f t="shared" si="1"/>
        <v>1386.82</v>
      </c>
      <c r="E70" s="92" t="s">
        <v>127</v>
      </c>
      <c r="F70" s="92" t="s">
        <v>127</v>
      </c>
      <c r="G70" s="367">
        <v>11667.442341924658</v>
      </c>
      <c r="H70" s="353">
        <f t="shared" si="2"/>
        <v>63690.962105877668</v>
      </c>
      <c r="I70" s="339"/>
    </row>
    <row r="71" spans="1:9" ht="14.5" x14ac:dyDescent="0.35">
      <c r="A71" s="97">
        <v>62</v>
      </c>
      <c r="B71" s="97">
        <v>2080</v>
      </c>
      <c r="C71" s="353">
        <v>0</v>
      </c>
      <c r="D71" s="353">
        <f t="shared" si="1"/>
        <v>1386.82</v>
      </c>
      <c r="E71" s="92" t="s">
        <v>127</v>
      </c>
      <c r="F71" s="92" t="s">
        <v>127</v>
      </c>
      <c r="G71" s="367">
        <v>11667.442341924658</v>
      </c>
      <c r="H71" s="353">
        <f t="shared" si="2"/>
        <v>63690.962105877668</v>
      </c>
      <c r="I71" s="339"/>
    </row>
    <row r="72" spans="1:9" ht="14.5" x14ac:dyDescent="0.35">
      <c r="A72" s="97">
        <v>63</v>
      </c>
      <c r="B72" s="97">
        <v>2081</v>
      </c>
      <c r="C72" s="353">
        <v>0</v>
      </c>
      <c r="D72" s="353">
        <f t="shared" si="1"/>
        <v>1386.82</v>
      </c>
      <c r="E72" s="92" t="s">
        <v>127</v>
      </c>
      <c r="F72" s="92" t="s">
        <v>127</v>
      </c>
      <c r="G72" s="367">
        <v>11667.442341924658</v>
      </c>
      <c r="H72" s="353">
        <f t="shared" si="2"/>
        <v>63690.962105877668</v>
      </c>
      <c r="I72" s="339"/>
    </row>
    <row r="73" spans="1:9" ht="14.5" x14ac:dyDescent="0.35">
      <c r="A73" s="97">
        <v>64</v>
      </c>
      <c r="B73" s="97">
        <v>2082</v>
      </c>
      <c r="C73" s="353">
        <v>0</v>
      </c>
      <c r="D73" s="353">
        <f t="shared" si="1"/>
        <v>1386.82</v>
      </c>
      <c r="E73" s="92" t="s">
        <v>127</v>
      </c>
      <c r="F73" s="92" t="s">
        <v>127</v>
      </c>
      <c r="G73" s="367">
        <v>11667.442341924658</v>
      </c>
      <c r="H73" s="353">
        <f t="shared" si="2"/>
        <v>63690.962105877668</v>
      </c>
      <c r="I73" s="339"/>
    </row>
    <row r="74" spans="1:9" ht="14.5" x14ac:dyDescent="0.35">
      <c r="A74" s="97">
        <v>65</v>
      </c>
      <c r="B74" s="97">
        <v>2083</v>
      </c>
      <c r="C74" s="353">
        <v>0</v>
      </c>
      <c r="D74" s="353">
        <f t="shared" si="1"/>
        <v>1386.82</v>
      </c>
      <c r="E74" s="92" t="s">
        <v>127</v>
      </c>
      <c r="F74" s="92" t="s">
        <v>127</v>
      </c>
      <c r="G74" s="367">
        <v>11667.442286334435</v>
      </c>
      <c r="H74" s="353">
        <f t="shared" si="2"/>
        <v>63690.961809025881</v>
      </c>
      <c r="I74" s="339"/>
    </row>
    <row r="75" spans="1:9" ht="14.5" x14ac:dyDescent="0.35">
      <c r="A75" s="97">
        <v>66</v>
      </c>
      <c r="B75" s="97">
        <v>2084</v>
      </c>
      <c r="C75" s="353">
        <v>0</v>
      </c>
      <c r="D75" s="353">
        <f t="shared" si="1"/>
        <v>1386.82</v>
      </c>
      <c r="E75" s="92" t="s">
        <v>127</v>
      </c>
      <c r="F75" s="92" t="s">
        <v>127</v>
      </c>
      <c r="G75" s="367">
        <v>11667.442341924658</v>
      </c>
      <c r="H75" s="353">
        <f t="shared" si="2"/>
        <v>63690.962105877668</v>
      </c>
      <c r="I75" s="339"/>
    </row>
    <row r="76" spans="1:9" x14ac:dyDescent="0.3">
      <c r="A76" s="97">
        <v>67</v>
      </c>
      <c r="B76" s="97">
        <v>2085</v>
      </c>
      <c r="C76" s="353">
        <v>0</v>
      </c>
      <c r="D76" s="353">
        <f t="shared" si="1"/>
        <v>1386.82</v>
      </c>
      <c r="E76" s="92" t="s">
        <v>127</v>
      </c>
      <c r="F76" s="92" t="s">
        <v>127</v>
      </c>
      <c r="G76" s="367">
        <v>11667.442341924658</v>
      </c>
      <c r="H76" s="353">
        <f t="shared" si="2"/>
        <v>63690.962105877668</v>
      </c>
      <c r="I76" s="338"/>
    </row>
    <row r="77" spans="1:9" ht="14.5" x14ac:dyDescent="0.35">
      <c r="A77" s="97">
        <v>68</v>
      </c>
      <c r="B77" s="97">
        <v>2086</v>
      </c>
      <c r="C77" s="353">
        <v>0</v>
      </c>
      <c r="D77" s="353">
        <f t="shared" si="1"/>
        <v>1386.82</v>
      </c>
      <c r="E77" s="92" t="s">
        <v>127</v>
      </c>
      <c r="F77" s="92" t="s">
        <v>127</v>
      </c>
      <c r="G77" s="367">
        <v>11667.442341924658</v>
      </c>
      <c r="H77" s="353">
        <f t="shared" si="2"/>
        <v>63690.962105877668</v>
      </c>
      <c r="I77" s="339"/>
    </row>
    <row r="78" spans="1:9" ht="14.5" x14ac:dyDescent="0.35">
      <c r="A78" s="97">
        <v>69</v>
      </c>
      <c r="B78" s="97">
        <v>2087</v>
      </c>
      <c r="C78" s="353">
        <v>0</v>
      </c>
      <c r="D78" s="353">
        <f t="shared" si="1"/>
        <v>1386.82</v>
      </c>
      <c r="E78" s="92" t="s">
        <v>127</v>
      </c>
      <c r="F78" s="92" t="s">
        <v>127</v>
      </c>
      <c r="G78" s="367">
        <v>11667.442341924658</v>
      </c>
      <c r="H78" s="353">
        <f t="shared" si="2"/>
        <v>63690.962105877668</v>
      </c>
      <c r="I78" s="339"/>
    </row>
    <row r="79" spans="1:9" ht="14.5" x14ac:dyDescent="0.35">
      <c r="A79" s="97">
        <v>70</v>
      </c>
      <c r="B79" s="97">
        <v>2088</v>
      </c>
      <c r="C79" s="353">
        <v>0</v>
      </c>
      <c r="D79" s="353">
        <f t="shared" si="1"/>
        <v>1386.82</v>
      </c>
      <c r="E79" s="92" t="s">
        <v>127</v>
      </c>
      <c r="F79" s="92" t="s">
        <v>127</v>
      </c>
      <c r="G79" s="367">
        <v>11667.442341924658</v>
      </c>
      <c r="H79" s="353">
        <f t="shared" si="2"/>
        <v>63690.962105877668</v>
      </c>
      <c r="I79" s="339"/>
    </row>
    <row r="80" spans="1:9" x14ac:dyDescent="0.3">
      <c r="A80" s="97">
        <v>71</v>
      </c>
      <c r="B80" s="97">
        <v>2089</v>
      </c>
      <c r="C80" s="353">
        <v>0</v>
      </c>
      <c r="D80" s="353">
        <f t="shared" ref="D80:D109" si="3">$H$3*$H$4</f>
        <v>1386.82</v>
      </c>
      <c r="E80" s="92" t="s">
        <v>127</v>
      </c>
      <c r="F80" s="92" t="s">
        <v>127</v>
      </c>
      <c r="G80" s="367">
        <v>11667.442341924658</v>
      </c>
      <c r="H80" s="353">
        <f t="shared" si="2"/>
        <v>63690.962105877668</v>
      </c>
      <c r="I80" s="338"/>
    </row>
    <row r="81" spans="1:9" ht="14.5" x14ac:dyDescent="0.35">
      <c r="A81" s="97">
        <v>72</v>
      </c>
      <c r="B81" s="97">
        <v>2090</v>
      </c>
      <c r="C81" s="353">
        <v>0</v>
      </c>
      <c r="D81" s="353">
        <f t="shared" si="3"/>
        <v>1386.82</v>
      </c>
      <c r="E81" s="92" t="s">
        <v>127</v>
      </c>
      <c r="F81" s="92" t="s">
        <v>127</v>
      </c>
      <c r="G81" s="367">
        <v>11667.442341924658</v>
      </c>
      <c r="H81" s="353">
        <f t="shared" si="2"/>
        <v>63690.962105877668</v>
      </c>
      <c r="I81" s="339"/>
    </row>
    <row r="82" spans="1:9" ht="14.5" x14ac:dyDescent="0.35">
      <c r="A82" s="97">
        <v>73</v>
      </c>
      <c r="B82" s="97">
        <v>2091</v>
      </c>
      <c r="C82" s="353">
        <v>0</v>
      </c>
      <c r="D82" s="353">
        <f t="shared" si="3"/>
        <v>1386.82</v>
      </c>
      <c r="E82" s="92" t="s">
        <v>127</v>
      </c>
      <c r="F82" s="92" t="s">
        <v>127</v>
      </c>
      <c r="G82" s="367">
        <v>11667.442286334435</v>
      </c>
      <c r="H82" s="353">
        <f t="shared" ref="H82:H109" si="4">+(G82*$H$5)+D82+C82</f>
        <v>63690.961809025881</v>
      </c>
      <c r="I82" s="339"/>
    </row>
    <row r="83" spans="1:9" ht="14.5" x14ac:dyDescent="0.35">
      <c r="A83" s="97">
        <v>74</v>
      </c>
      <c r="B83" s="97">
        <v>2092</v>
      </c>
      <c r="C83" s="353">
        <v>0</v>
      </c>
      <c r="D83" s="353">
        <f t="shared" si="3"/>
        <v>1386.82</v>
      </c>
      <c r="E83" s="92" t="s">
        <v>127</v>
      </c>
      <c r="F83" s="92" t="s">
        <v>127</v>
      </c>
      <c r="G83" s="367">
        <v>11667.442341924658</v>
      </c>
      <c r="H83" s="353">
        <f t="shared" si="4"/>
        <v>63690.962105877668</v>
      </c>
      <c r="I83" s="339"/>
    </row>
    <row r="84" spans="1:9" ht="14.5" x14ac:dyDescent="0.35">
      <c r="A84" s="97">
        <v>75</v>
      </c>
      <c r="B84" s="97">
        <v>2093</v>
      </c>
      <c r="C84" s="353">
        <v>0</v>
      </c>
      <c r="D84" s="353">
        <f t="shared" si="3"/>
        <v>1386.82</v>
      </c>
      <c r="E84" s="92" t="s">
        <v>127</v>
      </c>
      <c r="F84" s="92" t="s">
        <v>127</v>
      </c>
      <c r="G84" s="367">
        <v>11667.442341924658</v>
      </c>
      <c r="H84" s="353">
        <f t="shared" si="4"/>
        <v>63690.962105877668</v>
      </c>
      <c r="I84" s="339"/>
    </row>
    <row r="85" spans="1:9" ht="14.5" x14ac:dyDescent="0.35">
      <c r="A85" s="97">
        <v>76</v>
      </c>
      <c r="B85" s="97">
        <v>2094</v>
      </c>
      <c r="C85" s="353">
        <v>0</v>
      </c>
      <c r="D85" s="353">
        <f t="shared" si="3"/>
        <v>1386.82</v>
      </c>
      <c r="E85" s="92" t="s">
        <v>127</v>
      </c>
      <c r="F85" s="92" t="s">
        <v>127</v>
      </c>
      <c r="G85" s="367">
        <v>11667.442341924658</v>
      </c>
      <c r="H85" s="353">
        <f t="shared" si="4"/>
        <v>63690.962105877668</v>
      </c>
      <c r="I85" s="339"/>
    </row>
    <row r="86" spans="1:9" ht="14.5" x14ac:dyDescent="0.35">
      <c r="A86" s="97">
        <v>77</v>
      </c>
      <c r="B86" s="97">
        <v>2095</v>
      </c>
      <c r="C86" s="353">
        <v>0</v>
      </c>
      <c r="D86" s="353">
        <f t="shared" si="3"/>
        <v>1386.82</v>
      </c>
      <c r="E86" s="92" t="s">
        <v>127</v>
      </c>
      <c r="F86" s="92" t="s">
        <v>127</v>
      </c>
      <c r="G86" s="367">
        <v>11667.442341924658</v>
      </c>
      <c r="H86" s="353">
        <f t="shared" si="4"/>
        <v>63690.962105877668</v>
      </c>
      <c r="I86" s="339"/>
    </row>
    <row r="87" spans="1:9" ht="14.5" x14ac:dyDescent="0.35">
      <c r="A87" s="97">
        <v>78</v>
      </c>
      <c r="B87" s="97">
        <v>2096</v>
      </c>
      <c r="C87" s="353">
        <v>0</v>
      </c>
      <c r="D87" s="353">
        <f t="shared" si="3"/>
        <v>1386.82</v>
      </c>
      <c r="E87" s="92" t="s">
        <v>127</v>
      </c>
      <c r="F87" s="92" t="s">
        <v>127</v>
      </c>
      <c r="G87" s="367">
        <v>11667.442341924658</v>
      </c>
      <c r="H87" s="353">
        <f t="shared" si="4"/>
        <v>63690.962105877668</v>
      </c>
      <c r="I87" s="339"/>
    </row>
    <row r="88" spans="1:9" ht="14.5" x14ac:dyDescent="0.35">
      <c r="A88" s="97">
        <v>79</v>
      </c>
      <c r="B88" s="97">
        <v>2097</v>
      </c>
      <c r="C88" s="353">
        <v>0</v>
      </c>
      <c r="D88" s="353">
        <f t="shared" si="3"/>
        <v>1386.82</v>
      </c>
      <c r="E88" s="92" t="s">
        <v>127</v>
      </c>
      <c r="F88" s="92" t="s">
        <v>127</v>
      </c>
      <c r="G88" s="367">
        <v>11667.442341924658</v>
      </c>
      <c r="H88" s="353">
        <f t="shared" si="4"/>
        <v>63690.962105877668</v>
      </c>
      <c r="I88" s="339"/>
    </row>
    <row r="89" spans="1:9" ht="14.5" x14ac:dyDescent="0.35">
      <c r="A89" s="97">
        <v>80</v>
      </c>
      <c r="B89" s="97">
        <v>2098</v>
      </c>
      <c r="C89" s="353">
        <v>0</v>
      </c>
      <c r="D89" s="353">
        <f t="shared" si="3"/>
        <v>1386.82</v>
      </c>
      <c r="E89" s="92" t="s">
        <v>127</v>
      </c>
      <c r="F89" s="92" t="s">
        <v>127</v>
      </c>
      <c r="G89" s="367">
        <v>11667.442341924658</v>
      </c>
      <c r="H89" s="353">
        <f t="shared" si="4"/>
        <v>63690.962105877668</v>
      </c>
      <c r="I89" s="339"/>
    </row>
    <row r="90" spans="1:9" ht="14.5" x14ac:dyDescent="0.35">
      <c r="A90" s="97">
        <v>81</v>
      </c>
      <c r="B90" s="97">
        <v>2099</v>
      </c>
      <c r="C90" s="353">
        <v>0</v>
      </c>
      <c r="D90" s="353">
        <f t="shared" si="3"/>
        <v>1386.82</v>
      </c>
      <c r="E90" s="92" t="s">
        <v>127</v>
      </c>
      <c r="F90" s="92" t="s">
        <v>127</v>
      </c>
      <c r="G90" s="367">
        <v>11667.442341924658</v>
      </c>
      <c r="H90" s="353">
        <f t="shared" si="4"/>
        <v>63690.962105877668</v>
      </c>
      <c r="I90" s="339"/>
    </row>
    <row r="91" spans="1:9" ht="14.5" x14ac:dyDescent="0.35">
      <c r="A91" s="97">
        <v>82</v>
      </c>
      <c r="B91" s="97">
        <v>2100</v>
      </c>
      <c r="C91" s="353">
        <v>0</v>
      </c>
      <c r="D91" s="353">
        <f t="shared" si="3"/>
        <v>1386.82</v>
      </c>
      <c r="E91" s="92" t="s">
        <v>127</v>
      </c>
      <c r="F91" s="92" t="s">
        <v>127</v>
      </c>
      <c r="G91" s="367">
        <v>11667.442286334435</v>
      </c>
      <c r="H91" s="353">
        <f t="shared" si="4"/>
        <v>63690.961809025881</v>
      </c>
      <c r="I91" s="339"/>
    </row>
    <row r="92" spans="1:9" ht="14.5" x14ac:dyDescent="0.35">
      <c r="A92" s="97">
        <v>83</v>
      </c>
      <c r="B92" s="97">
        <v>2101</v>
      </c>
      <c r="C92" s="353">
        <v>0</v>
      </c>
      <c r="D92" s="353">
        <f t="shared" si="3"/>
        <v>1386.82</v>
      </c>
      <c r="E92" s="92" t="s">
        <v>127</v>
      </c>
      <c r="F92" s="92" t="s">
        <v>127</v>
      </c>
      <c r="G92" s="367">
        <v>11667.442341924658</v>
      </c>
      <c r="H92" s="353">
        <f t="shared" si="4"/>
        <v>63690.962105877668</v>
      </c>
      <c r="I92" s="339"/>
    </row>
    <row r="93" spans="1:9" ht="14.5" x14ac:dyDescent="0.35">
      <c r="A93" s="97">
        <v>84</v>
      </c>
      <c r="B93" s="97">
        <v>2102</v>
      </c>
      <c r="C93" s="353">
        <v>0</v>
      </c>
      <c r="D93" s="353">
        <f t="shared" si="3"/>
        <v>1386.82</v>
      </c>
      <c r="E93" s="92" t="s">
        <v>127</v>
      </c>
      <c r="F93" s="92" t="s">
        <v>127</v>
      </c>
      <c r="G93" s="367">
        <v>11667.442286334435</v>
      </c>
      <c r="H93" s="353">
        <f t="shared" si="4"/>
        <v>63690.961809025881</v>
      </c>
      <c r="I93" s="339"/>
    </row>
    <row r="94" spans="1:9" ht="14.5" x14ac:dyDescent="0.35">
      <c r="A94" s="97">
        <v>85</v>
      </c>
      <c r="B94" s="97">
        <v>2103</v>
      </c>
      <c r="C94" s="353">
        <v>0</v>
      </c>
      <c r="D94" s="353">
        <f t="shared" si="3"/>
        <v>1386.82</v>
      </c>
      <c r="E94" s="92" t="s">
        <v>127</v>
      </c>
      <c r="F94" s="92" t="s">
        <v>127</v>
      </c>
      <c r="G94" s="367">
        <v>11667.442341924658</v>
      </c>
      <c r="H94" s="353">
        <f t="shared" si="4"/>
        <v>63690.962105877668</v>
      </c>
      <c r="I94" s="339"/>
    </row>
    <row r="95" spans="1:9" ht="14.5" x14ac:dyDescent="0.35">
      <c r="A95" s="97">
        <v>86</v>
      </c>
      <c r="B95" s="97">
        <v>2104</v>
      </c>
      <c r="C95" s="353">
        <v>0</v>
      </c>
      <c r="D95" s="353">
        <f t="shared" si="3"/>
        <v>1386.82</v>
      </c>
      <c r="E95" s="92" t="s">
        <v>127</v>
      </c>
      <c r="F95" s="92" t="s">
        <v>127</v>
      </c>
      <c r="G95" s="367">
        <v>11667.442341924658</v>
      </c>
      <c r="H95" s="353">
        <f t="shared" si="4"/>
        <v>63690.962105877668</v>
      </c>
      <c r="I95" s="339"/>
    </row>
    <row r="96" spans="1:9" ht="14.5" x14ac:dyDescent="0.35">
      <c r="A96" s="97">
        <v>87</v>
      </c>
      <c r="B96" s="97">
        <v>2105</v>
      </c>
      <c r="C96" s="353">
        <v>0</v>
      </c>
      <c r="D96" s="353">
        <f t="shared" si="3"/>
        <v>1386.82</v>
      </c>
      <c r="E96" s="92" t="s">
        <v>127</v>
      </c>
      <c r="F96" s="92" t="s">
        <v>127</v>
      </c>
      <c r="G96" s="367">
        <v>11667.442286334435</v>
      </c>
      <c r="H96" s="353">
        <f t="shared" si="4"/>
        <v>63690.961809025881</v>
      </c>
      <c r="I96" s="339"/>
    </row>
    <row r="97" spans="1:9" ht="14.5" x14ac:dyDescent="0.35">
      <c r="A97" s="97">
        <v>88</v>
      </c>
      <c r="B97" s="97">
        <v>2106</v>
      </c>
      <c r="C97" s="353">
        <v>0</v>
      </c>
      <c r="D97" s="353">
        <f t="shared" si="3"/>
        <v>1386.82</v>
      </c>
      <c r="E97" s="92" t="s">
        <v>127</v>
      </c>
      <c r="F97" s="92" t="s">
        <v>127</v>
      </c>
      <c r="G97" s="367">
        <v>11667.442286334435</v>
      </c>
      <c r="H97" s="353">
        <f t="shared" si="4"/>
        <v>63690.961809025881</v>
      </c>
      <c r="I97" s="339"/>
    </row>
    <row r="98" spans="1:9" ht="14.5" x14ac:dyDescent="0.35">
      <c r="A98" s="97">
        <v>89</v>
      </c>
      <c r="B98" s="97">
        <v>2107</v>
      </c>
      <c r="C98" s="353">
        <v>0</v>
      </c>
      <c r="D98" s="353">
        <f t="shared" si="3"/>
        <v>1386.82</v>
      </c>
      <c r="E98" s="92" t="s">
        <v>127</v>
      </c>
      <c r="F98" s="92" t="s">
        <v>127</v>
      </c>
      <c r="G98" s="367">
        <v>11667.442341924658</v>
      </c>
      <c r="H98" s="353">
        <f t="shared" si="4"/>
        <v>63690.962105877668</v>
      </c>
      <c r="I98" s="339"/>
    </row>
    <row r="99" spans="1:9" ht="14.5" x14ac:dyDescent="0.35">
      <c r="A99" s="97">
        <v>90</v>
      </c>
      <c r="B99" s="97">
        <v>2108</v>
      </c>
      <c r="C99" s="353">
        <v>0</v>
      </c>
      <c r="D99" s="353">
        <f t="shared" si="3"/>
        <v>1386.82</v>
      </c>
      <c r="E99" s="92" t="s">
        <v>127</v>
      </c>
      <c r="F99" s="92" t="s">
        <v>127</v>
      </c>
      <c r="G99" s="367">
        <v>11667.442341924658</v>
      </c>
      <c r="H99" s="353">
        <f t="shared" si="4"/>
        <v>63690.962105877668</v>
      </c>
      <c r="I99" s="339"/>
    </row>
    <row r="100" spans="1:9" ht="14.5" x14ac:dyDescent="0.35">
      <c r="A100" s="97">
        <v>91</v>
      </c>
      <c r="B100" s="97">
        <v>2109</v>
      </c>
      <c r="C100" s="353">
        <v>0</v>
      </c>
      <c r="D100" s="353">
        <f t="shared" si="3"/>
        <v>1386.82</v>
      </c>
      <c r="E100" s="92" t="s">
        <v>127</v>
      </c>
      <c r="F100" s="92" t="s">
        <v>127</v>
      </c>
      <c r="G100" s="367">
        <v>11667.442341924658</v>
      </c>
      <c r="H100" s="353">
        <f t="shared" si="4"/>
        <v>63690.962105877668</v>
      </c>
      <c r="I100" s="339"/>
    </row>
    <row r="101" spans="1:9" ht="14.5" x14ac:dyDescent="0.35">
      <c r="A101" s="97">
        <v>92</v>
      </c>
      <c r="B101" s="97">
        <v>2110</v>
      </c>
      <c r="C101" s="353">
        <v>0</v>
      </c>
      <c r="D101" s="353">
        <f t="shared" si="3"/>
        <v>1386.82</v>
      </c>
      <c r="E101" s="92" t="s">
        <v>127</v>
      </c>
      <c r="F101" s="92" t="s">
        <v>127</v>
      </c>
      <c r="G101" s="367">
        <v>11667.442341924658</v>
      </c>
      <c r="H101" s="353">
        <f t="shared" si="4"/>
        <v>63690.962105877668</v>
      </c>
      <c r="I101" s="339"/>
    </row>
    <row r="102" spans="1:9" ht="14.5" x14ac:dyDescent="0.35">
      <c r="A102" s="97">
        <v>93</v>
      </c>
      <c r="B102" s="97">
        <v>2111</v>
      </c>
      <c r="C102" s="353">
        <v>0</v>
      </c>
      <c r="D102" s="353">
        <f t="shared" si="3"/>
        <v>1386.82</v>
      </c>
      <c r="E102" s="92" t="s">
        <v>127</v>
      </c>
      <c r="F102" s="92" t="s">
        <v>127</v>
      </c>
      <c r="G102" s="367">
        <v>11667.442341924658</v>
      </c>
      <c r="H102" s="353">
        <f t="shared" si="4"/>
        <v>63690.962105877668</v>
      </c>
      <c r="I102" s="339"/>
    </row>
    <row r="103" spans="1:9" ht="14.5" x14ac:dyDescent="0.35">
      <c r="A103" s="97">
        <v>94</v>
      </c>
      <c r="B103" s="97">
        <v>2112</v>
      </c>
      <c r="C103" s="353">
        <v>0</v>
      </c>
      <c r="D103" s="353">
        <f t="shared" si="3"/>
        <v>1386.82</v>
      </c>
      <c r="E103" s="92" t="s">
        <v>127</v>
      </c>
      <c r="F103" s="92" t="s">
        <v>127</v>
      </c>
      <c r="G103" s="367">
        <v>11667.442341924658</v>
      </c>
      <c r="H103" s="353">
        <f t="shared" si="4"/>
        <v>63690.962105877668</v>
      </c>
      <c r="I103" s="339"/>
    </row>
    <row r="104" spans="1:9" ht="14.5" x14ac:dyDescent="0.35">
      <c r="A104" s="97">
        <v>95</v>
      </c>
      <c r="B104" s="97">
        <v>2113</v>
      </c>
      <c r="C104" s="353">
        <v>0</v>
      </c>
      <c r="D104" s="353">
        <f t="shared" si="3"/>
        <v>1386.82</v>
      </c>
      <c r="E104" s="92" t="s">
        <v>127</v>
      </c>
      <c r="F104" s="92" t="s">
        <v>127</v>
      </c>
      <c r="G104" s="367">
        <v>11667.442341924658</v>
      </c>
      <c r="H104" s="353">
        <f t="shared" si="4"/>
        <v>63690.962105877668</v>
      </c>
      <c r="I104" s="339"/>
    </row>
    <row r="105" spans="1:9" ht="14.5" x14ac:dyDescent="0.35">
      <c r="A105" s="97">
        <v>96</v>
      </c>
      <c r="B105" s="97">
        <v>2114</v>
      </c>
      <c r="C105" s="353">
        <v>0</v>
      </c>
      <c r="D105" s="353">
        <f t="shared" si="3"/>
        <v>1386.82</v>
      </c>
      <c r="E105" s="92" t="s">
        <v>127</v>
      </c>
      <c r="F105" s="92" t="s">
        <v>127</v>
      </c>
      <c r="G105" s="367">
        <v>11667.442286334435</v>
      </c>
      <c r="H105" s="353">
        <f t="shared" si="4"/>
        <v>63690.961809025881</v>
      </c>
      <c r="I105" s="339"/>
    </row>
    <row r="106" spans="1:9" ht="14.5" x14ac:dyDescent="0.35">
      <c r="A106" s="97">
        <v>97</v>
      </c>
      <c r="B106" s="97">
        <v>2115</v>
      </c>
      <c r="C106" s="353">
        <v>0</v>
      </c>
      <c r="D106" s="353">
        <f t="shared" si="3"/>
        <v>1386.82</v>
      </c>
      <c r="E106" s="92" t="s">
        <v>127</v>
      </c>
      <c r="F106" s="92" t="s">
        <v>127</v>
      </c>
      <c r="G106" s="367">
        <v>11667.442341924658</v>
      </c>
      <c r="H106" s="353">
        <f t="shared" si="4"/>
        <v>63690.962105877668</v>
      </c>
      <c r="I106" s="339"/>
    </row>
    <row r="107" spans="1:9" ht="14.5" x14ac:dyDescent="0.35">
      <c r="A107" s="97">
        <v>98</v>
      </c>
      <c r="B107" s="97">
        <v>2116</v>
      </c>
      <c r="C107" s="353">
        <v>0</v>
      </c>
      <c r="D107" s="353">
        <f t="shared" si="3"/>
        <v>1386.82</v>
      </c>
      <c r="E107" s="92" t="s">
        <v>127</v>
      </c>
      <c r="F107" s="92" t="s">
        <v>127</v>
      </c>
      <c r="G107" s="367">
        <v>11667.442341924658</v>
      </c>
      <c r="H107" s="353">
        <f t="shared" si="4"/>
        <v>63690.962105877668</v>
      </c>
      <c r="I107" s="339"/>
    </row>
    <row r="108" spans="1:9" ht="14.5" x14ac:dyDescent="0.35">
      <c r="A108" s="97">
        <v>99</v>
      </c>
      <c r="B108" s="97">
        <v>2117</v>
      </c>
      <c r="C108" s="353">
        <v>0</v>
      </c>
      <c r="D108" s="353">
        <f t="shared" si="3"/>
        <v>1386.82</v>
      </c>
      <c r="E108" s="92" t="s">
        <v>127</v>
      </c>
      <c r="F108" s="92" t="s">
        <v>127</v>
      </c>
      <c r="G108" s="367">
        <v>11667.442341924658</v>
      </c>
      <c r="H108" s="353">
        <f t="shared" si="4"/>
        <v>63690.962105877668</v>
      </c>
      <c r="I108" s="339"/>
    </row>
    <row r="109" spans="1:9" x14ac:dyDescent="0.3">
      <c r="A109" s="97">
        <v>100</v>
      </c>
      <c r="B109" s="97">
        <v>2118</v>
      </c>
      <c r="C109" s="353">
        <v>0</v>
      </c>
      <c r="D109" s="353">
        <f t="shared" si="3"/>
        <v>1386.82</v>
      </c>
      <c r="E109" s="92" t="s">
        <v>127</v>
      </c>
      <c r="F109" s="92" t="s">
        <v>127</v>
      </c>
      <c r="G109" s="367">
        <v>11667.442341924658</v>
      </c>
      <c r="H109" s="353">
        <f t="shared" si="4"/>
        <v>63690.962105877668</v>
      </c>
      <c r="I109" s="338"/>
    </row>
    <row r="110" spans="1:9" x14ac:dyDescent="0.3">
      <c r="A110" s="545" t="s">
        <v>57</v>
      </c>
      <c r="B110" s="545"/>
      <c r="C110" s="356">
        <f t="shared" ref="C110:H110" si="5">SUM(C10:C109)</f>
        <v>138682</v>
      </c>
      <c r="D110" s="356">
        <f t="shared" si="5"/>
        <v>131747.90000000031</v>
      </c>
      <c r="E110" s="356">
        <f t="shared" si="5"/>
        <v>0</v>
      </c>
      <c r="F110" s="356">
        <f t="shared" si="5"/>
        <v>0</v>
      </c>
      <c r="G110" s="361">
        <f t="shared" si="5"/>
        <v>1389022.5082384222</v>
      </c>
      <c r="H110" s="356">
        <f t="shared" si="5"/>
        <v>7687810.0939931795</v>
      </c>
      <c r="I110" s="7"/>
    </row>
    <row r="111" spans="1:9" x14ac:dyDescent="0.3">
      <c r="A111" s="94" t="s">
        <v>69</v>
      </c>
      <c r="I111" s="467"/>
    </row>
    <row r="112" spans="1:9" ht="44.25" customHeight="1" x14ac:dyDescent="0.3">
      <c r="A112" s="556" t="s">
        <v>162</v>
      </c>
      <c r="B112" s="556"/>
      <c r="C112" s="556"/>
      <c r="D112" s="556"/>
      <c r="E112" s="556"/>
      <c r="F112" s="556"/>
      <c r="G112" s="556"/>
      <c r="H112" s="556"/>
      <c r="I112" s="93"/>
    </row>
    <row r="113" spans="1:11" ht="30" customHeight="1" x14ac:dyDescent="0.3">
      <c r="A113" s="556" t="s">
        <v>163</v>
      </c>
      <c r="B113" s="556"/>
      <c r="C113" s="556"/>
      <c r="D113" s="556"/>
      <c r="E113" s="556"/>
      <c r="F113" s="556"/>
      <c r="G113" s="556"/>
      <c r="H113" s="556"/>
      <c r="I113" s="93"/>
      <c r="J113" s="467"/>
      <c r="K113" s="467"/>
    </row>
    <row r="114" spans="1:11" ht="30" customHeight="1" x14ac:dyDescent="0.3">
      <c r="A114" s="448" t="s">
        <v>85</v>
      </c>
      <c r="B114" s="449"/>
      <c r="C114" s="449"/>
      <c r="D114" s="449"/>
      <c r="E114" s="449"/>
      <c r="F114" s="449"/>
      <c r="G114" s="449"/>
      <c r="H114" s="449"/>
      <c r="I114" s="449"/>
      <c r="J114" s="450"/>
      <c r="K114" s="451"/>
    </row>
    <row r="115" spans="1:11" x14ac:dyDescent="0.3">
      <c r="A115" s="94" t="s">
        <v>86</v>
      </c>
      <c r="I115" s="467"/>
      <c r="J115" s="467"/>
      <c r="K115" s="467"/>
    </row>
    <row r="118" spans="1:11" x14ac:dyDescent="0.3">
      <c r="D118" s="111"/>
      <c r="I118" s="467"/>
      <c r="J118" s="467"/>
      <c r="K118" s="467"/>
    </row>
    <row r="119" spans="1:11" hidden="1" x14ac:dyDescent="0.3">
      <c r="D119" s="344">
        <v>185746</v>
      </c>
      <c r="I119" s="467"/>
      <c r="J119" s="467"/>
      <c r="K119" s="467"/>
    </row>
  </sheetData>
  <mergeCells count="8">
    <mergeCell ref="G2:H2"/>
    <mergeCell ref="A110:B110"/>
    <mergeCell ref="A113:H113"/>
    <mergeCell ref="A4:B4"/>
    <mergeCell ref="A5:B5"/>
    <mergeCell ref="A6:B6"/>
    <mergeCell ref="A7:B7"/>
    <mergeCell ref="A112:H112"/>
  </mergeCells>
  <pageMargins left="0.7" right="0.7" top="0.75" bottom="0.75" header="0.3" footer="0.3"/>
  <pageSetup scale="63" fitToHeight="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3CDC-A900-4E80-9D9E-A9A3D9AAD9A5}">
  <sheetPr>
    <tabColor rgb="FF00B050"/>
  </sheetPr>
  <dimension ref="A1:P116"/>
  <sheetViews>
    <sheetView zoomScaleNormal="100" zoomScaleSheetLayoutView="100" workbookViewId="0">
      <pane ySplit="10" topLeftCell="A11" activePane="bottomLeft" state="frozen"/>
      <selection activeCell="I44" sqref="I44"/>
      <selection pane="bottomLeft" activeCell="J88" sqref="J88"/>
    </sheetView>
  </sheetViews>
  <sheetFormatPr defaultColWidth="9.1796875" defaultRowHeight="12.5" x14ac:dyDescent="0.25"/>
  <cols>
    <col min="1" max="2" width="18.54296875" style="94" customWidth="1"/>
    <col min="3" max="3" width="12.1796875" style="94" customWidth="1"/>
    <col min="4" max="4" width="13.1796875" style="94" customWidth="1"/>
    <col min="5" max="5" width="15.1796875" style="94" customWidth="1"/>
    <col min="6" max="6" width="12.1796875" style="94" customWidth="1"/>
    <col min="7" max="7" width="11.54296875" style="94" customWidth="1"/>
    <col min="8" max="8" width="13.81640625" style="94" customWidth="1"/>
    <col min="9" max="9" width="11.26953125" style="94" bestFit="1" customWidth="1"/>
    <col min="10" max="10" width="11.453125" style="94" customWidth="1"/>
    <col min="11" max="11" width="11.26953125" style="94" bestFit="1" customWidth="1"/>
    <col min="12" max="12" width="15.1796875" style="94" customWidth="1"/>
    <col min="13" max="16384" width="9.1796875" style="94"/>
  </cols>
  <sheetData>
    <row r="1" spans="1:16" x14ac:dyDescent="0.25">
      <c r="G1" s="98"/>
    </row>
    <row r="2" spans="1:16" x14ac:dyDescent="0.25">
      <c r="G2" s="98"/>
    </row>
    <row r="3" spans="1:16" ht="26.25" customHeight="1" x14ac:dyDescent="0.35">
      <c r="A3" s="3"/>
      <c r="B3" s="3"/>
      <c r="C3" s="3"/>
      <c r="D3" s="3"/>
      <c r="E3" s="3"/>
      <c r="F3" s="286"/>
      <c r="K3" s="544" t="s">
        <v>11</v>
      </c>
      <c r="L3" s="544"/>
      <c r="O3" s="119"/>
      <c r="P3" s="112"/>
    </row>
    <row r="4" spans="1:16" ht="13" x14ac:dyDescent="0.3">
      <c r="A4" s="455" t="s">
        <v>1</v>
      </c>
      <c r="B4" s="125">
        <f>'2019 CCP Summary'!B4</f>
        <v>43536</v>
      </c>
      <c r="D4" s="125"/>
      <c r="E4" s="4"/>
      <c r="K4" s="432" t="s">
        <v>70</v>
      </c>
      <c r="L4" s="433">
        <f>'STS Capital Cost'!I80</f>
        <v>7585046.5087773455</v>
      </c>
      <c r="O4" s="5"/>
      <c r="P4" s="24"/>
    </row>
    <row r="5" spans="1:16" ht="13" x14ac:dyDescent="0.3">
      <c r="A5" s="456" t="s">
        <v>2</v>
      </c>
      <c r="B5" s="6" t="s">
        <v>3</v>
      </c>
      <c r="D5" s="6"/>
      <c r="E5" s="7"/>
      <c r="K5" s="432" t="s">
        <v>71</v>
      </c>
      <c r="L5" s="434">
        <f>'STS O&amp;M Input'!C37</f>
        <v>0.01</v>
      </c>
      <c r="O5" s="5"/>
      <c r="P5" s="24"/>
    </row>
    <row r="6" spans="1:16" ht="13" x14ac:dyDescent="0.3">
      <c r="A6" s="456" t="s">
        <v>4</v>
      </c>
      <c r="B6" s="6" t="s">
        <v>164</v>
      </c>
      <c r="D6" s="6"/>
      <c r="E6" s="8"/>
      <c r="K6" s="432" t="s">
        <v>73</v>
      </c>
      <c r="L6" s="434">
        <f>'STS O&amp;M Input'!C38</f>
        <v>1.4999999999999999E-2</v>
      </c>
      <c r="O6" s="5"/>
      <c r="P6" s="24"/>
    </row>
    <row r="7" spans="1:16" ht="13" x14ac:dyDescent="0.3">
      <c r="A7" s="457" t="s">
        <v>6</v>
      </c>
      <c r="B7" s="6" t="s">
        <v>7</v>
      </c>
      <c r="D7" s="6"/>
      <c r="E7" s="8"/>
      <c r="K7" s="432" t="s">
        <v>74</v>
      </c>
      <c r="L7" s="435">
        <v>4.438053878410439E-2</v>
      </c>
      <c r="O7" s="538"/>
      <c r="P7" s="538"/>
    </row>
    <row r="8" spans="1:16" ht="13" x14ac:dyDescent="0.3">
      <c r="A8" s="110"/>
      <c r="B8" s="110"/>
      <c r="C8" s="108"/>
      <c r="D8" s="108"/>
      <c r="E8" s="108"/>
      <c r="F8" s="108"/>
      <c r="G8" s="108"/>
      <c r="H8" s="108"/>
      <c r="I8" s="108"/>
      <c r="J8" s="108"/>
      <c r="K8" s="432" t="s">
        <v>75</v>
      </c>
      <c r="L8" s="435">
        <v>4.4731460893662263E-2</v>
      </c>
    </row>
    <row r="9" spans="1:16" ht="13" x14ac:dyDescent="0.3">
      <c r="A9" s="559" t="s">
        <v>52</v>
      </c>
      <c r="B9" s="560" t="s">
        <v>58</v>
      </c>
      <c r="C9" s="560" t="s">
        <v>165</v>
      </c>
      <c r="D9" s="561" t="s">
        <v>166</v>
      </c>
      <c r="E9" s="561" t="s">
        <v>167</v>
      </c>
      <c r="F9" s="559" t="s">
        <v>168</v>
      </c>
      <c r="G9" s="559"/>
      <c r="H9" s="559"/>
      <c r="I9" s="559"/>
      <c r="J9" s="562" t="s">
        <v>169</v>
      </c>
      <c r="K9" s="559" t="s">
        <v>59</v>
      </c>
      <c r="L9" s="558" t="s">
        <v>83</v>
      </c>
    </row>
    <row r="10" spans="1:16" ht="26" x14ac:dyDescent="0.3">
      <c r="A10" s="559"/>
      <c r="B10" s="560"/>
      <c r="C10" s="560"/>
      <c r="D10" s="561"/>
      <c r="E10" s="561"/>
      <c r="F10" s="245" t="s">
        <v>170</v>
      </c>
      <c r="G10" s="246" t="s">
        <v>171</v>
      </c>
      <c r="H10" s="247" t="s">
        <v>172</v>
      </c>
      <c r="I10" s="247" t="s">
        <v>173</v>
      </c>
      <c r="J10" s="562"/>
      <c r="K10" s="559"/>
      <c r="L10" s="558"/>
    </row>
    <row r="11" spans="1:16" x14ac:dyDescent="0.25">
      <c r="A11" s="120">
        <v>1</v>
      </c>
      <c r="B11" s="121">
        <v>0</v>
      </c>
      <c r="C11" s="121">
        <v>0</v>
      </c>
      <c r="D11" s="121">
        <v>0</v>
      </c>
      <c r="E11" s="121">
        <v>0</v>
      </c>
      <c r="F11" s="121">
        <f>'STS O&amp;M Input'!$C$10*'STS Calculation Summary'!Y11</f>
        <v>0</v>
      </c>
      <c r="G11" s="121">
        <f>'STS Calculation Summary'!AA11*2000*'STS O&amp;M Input'!$C$11</f>
        <v>0</v>
      </c>
      <c r="H11" s="121">
        <f>'STS Calculation Summary'!AC11*2000*'STS O&amp;M Input'!$C$12</f>
        <v>0</v>
      </c>
      <c r="I11" s="121">
        <f>'STS Calculation Summary'!AD11*'STS O&amp;M Input'!$C$18+'STS Calculation Summary'!AE11*'STS O&amp;M Input'!$C$17+'STS Calculation Summary'!AF11*'STS O&amp;M Input'!$C$13+'STS Calculation Summary'!AH11*'STS O&amp;M Input'!$C$15+'STS Calculation Summary'!AI11*'STS O&amp;M Input'!$C$16+'STS Calculation Summary'!AG11*'STS O&amp;M Input'!$C$14</f>
        <v>0</v>
      </c>
      <c r="J11" s="121">
        <f>'STS Analytical Costs'!P12</f>
        <v>12896</v>
      </c>
      <c r="K11" s="121">
        <f>'STS Calculation Summary'!AL11*$L$7</f>
        <v>0</v>
      </c>
      <c r="L11" s="122">
        <f>SUM(B11:K11)</f>
        <v>12896</v>
      </c>
    </row>
    <row r="12" spans="1:16" x14ac:dyDescent="0.25">
      <c r="A12" s="120">
        <v>2</v>
      </c>
      <c r="B12" s="121">
        <v>0</v>
      </c>
      <c r="C12" s="121">
        <v>0</v>
      </c>
      <c r="D12" s="121">
        <v>0</v>
      </c>
      <c r="E12" s="121">
        <v>0</v>
      </c>
      <c r="F12" s="121">
        <f>'STS O&amp;M Input'!$C$10*'STS Calculation Summary'!Y12</f>
        <v>0</v>
      </c>
      <c r="G12" s="121">
        <f>'STS Calculation Summary'!AA12*2000*'STS O&amp;M Input'!$C$11</f>
        <v>0</v>
      </c>
      <c r="H12" s="121">
        <f>'STS Calculation Summary'!AC12*2000*'STS O&amp;M Input'!$C$12</f>
        <v>0</v>
      </c>
      <c r="I12" s="121">
        <f>'STS Calculation Summary'!AD12*'STS O&amp;M Input'!$C$18+'STS Calculation Summary'!AE12*'STS O&amp;M Input'!$C$17+'STS Calculation Summary'!AF12*'STS O&amp;M Input'!$C$13+'STS Calculation Summary'!AH12*'STS O&amp;M Input'!$C$15+'STS Calculation Summary'!AI12*'STS O&amp;M Input'!$C$16+'STS Calculation Summary'!AG12*'STS O&amp;M Input'!$C$14</f>
        <v>0</v>
      </c>
      <c r="J12" s="121">
        <f>'STS Analytical Costs'!P13</f>
        <v>12896</v>
      </c>
      <c r="K12" s="121">
        <f>'STS Calculation Summary'!AL12*$L$7</f>
        <v>0</v>
      </c>
      <c r="L12" s="122">
        <f t="shared" ref="L12:L75" si="0">SUM(B12:K12)</f>
        <v>12896</v>
      </c>
    </row>
    <row r="13" spans="1:16" x14ac:dyDescent="0.25">
      <c r="A13" s="120">
        <v>3</v>
      </c>
      <c r="B13" s="121">
        <v>0</v>
      </c>
      <c r="C13" s="121">
        <v>0</v>
      </c>
      <c r="D13" s="121">
        <v>0</v>
      </c>
      <c r="E13" s="121">
        <v>0</v>
      </c>
      <c r="F13" s="121">
        <f>'STS O&amp;M Input'!$C$10*'STS Calculation Summary'!Y13</f>
        <v>0</v>
      </c>
      <c r="G13" s="121">
        <f>'STS Calculation Summary'!AA13*2000*'STS O&amp;M Input'!$C$11</f>
        <v>0</v>
      </c>
      <c r="H13" s="121">
        <f>'STS Calculation Summary'!AC13*2000*'STS O&amp;M Input'!$C$12</f>
        <v>0</v>
      </c>
      <c r="I13" s="121">
        <f>'STS Calculation Summary'!AD13*'STS O&amp;M Input'!$C$18+'STS Calculation Summary'!AE13*'STS O&amp;M Input'!$C$17+'STS Calculation Summary'!AF13*'STS O&amp;M Input'!$C$13+'STS Calculation Summary'!AH13*'STS O&amp;M Input'!$C$15+'STS Calculation Summary'!AI13*'STS O&amp;M Input'!$C$16+'STS Calculation Summary'!AG13*'STS O&amp;M Input'!$C$14</f>
        <v>0</v>
      </c>
      <c r="J13" s="121">
        <f>'STS Analytical Costs'!P14</f>
        <v>12896</v>
      </c>
      <c r="K13" s="121">
        <f>'STS Calculation Summary'!AL13*$L$7</f>
        <v>0</v>
      </c>
      <c r="L13" s="122">
        <f t="shared" si="0"/>
        <v>12896</v>
      </c>
    </row>
    <row r="14" spans="1:16" x14ac:dyDescent="0.25">
      <c r="A14" s="120">
        <v>4</v>
      </c>
      <c r="B14" s="121">
        <v>0</v>
      </c>
      <c r="C14" s="121">
        <v>0</v>
      </c>
      <c r="D14" s="121">
        <v>0</v>
      </c>
      <c r="E14" s="121">
        <v>0</v>
      </c>
      <c r="F14" s="121">
        <f>'STS O&amp;M Input'!$C$10*'STS Calculation Summary'!Y14</f>
        <v>0</v>
      </c>
      <c r="G14" s="121">
        <f>'STS Calculation Summary'!AA14*2000*'STS O&amp;M Input'!$C$11</f>
        <v>0</v>
      </c>
      <c r="H14" s="121">
        <f>'STS Calculation Summary'!AC14*2000*'STS O&amp;M Input'!$C$12</f>
        <v>0</v>
      </c>
      <c r="I14" s="121">
        <f>'STS Calculation Summary'!AD14*'STS O&amp;M Input'!$C$18+'STS Calculation Summary'!AE14*'STS O&amp;M Input'!$C$17+'STS Calculation Summary'!AF14*'STS O&amp;M Input'!$C$13+'STS Calculation Summary'!AH14*'STS O&amp;M Input'!$C$15+'STS Calculation Summary'!AI14*'STS O&amp;M Input'!$C$16+'STS Calculation Summary'!AG14*'STS O&amp;M Input'!$C$14</f>
        <v>0</v>
      </c>
      <c r="J14" s="121">
        <f>'STS Analytical Costs'!P15</f>
        <v>12896</v>
      </c>
      <c r="K14" s="121">
        <f>'STS Calculation Summary'!AL14*$L$7</f>
        <v>0</v>
      </c>
      <c r="L14" s="122">
        <f t="shared" si="0"/>
        <v>12896</v>
      </c>
    </row>
    <row r="15" spans="1:16" x14ac:dyDescent="0.25">
      <c r="A15" s="120">
        <v>5</v>
      </c>
      <c r="B15" s="121">
        <f>'STS Capital Cost'!I80</f>
        <v>7585046.5087773455</v>
      </c>
      <c r="C15" s="121">
        <v>0</v>
      </c>
      <c r="D15" s="121">
        <v>0</v>
      </c>
      <c r="E15" s="121">
        <v>0</v>
      </c>
      <c r="F15" s="121">
        <f>'STS O&amp;M Input'!$C$10*'STS Calculation Summary'!Y15</f>
        <v>0</v>
      </c>
      <c r="G15" s="121">
        <f>'STS Calculation Summary'!AA15*2000*'STS O&amp;M Input'!$C$11</f>
        <v>0</v>
      </c>
      <c r="H15" s="121">
        <f>'STS Calculation Summary'!AC15*2000*'STS O&amp;M Input'!$C$12</f>
        <v>0</v>
      </c>
      <c r="I15" s="121">
        <f>'STS Calculation Summary'!AD15*'STS O&amp;M Input'!$C$18+'STS Calculation Summary'!AE15*'STS O&amp;M Input'!$C$17+'STS Calculation Summary'!AF15*'STS O&amp;M Input'!$C$13+'STS Calculation Summary'!AH15*'STS O&amp;M Input'!$C$15+'STS Calculation Summary'!AI15*'STS O&amp;M Input'!$C$16+'STS Calculation Summary'!AG15*'STS O&amp;M Input'!$C$14</f>
        <v>0</v>
      </c>
      <c r="J15" s="121">
        <f>'STS Analytical Costs'!P16</f>
        <v>12896</v>
      </c>
      <c r="K15" s="121">
        <f>'STS Calculation Summary'!AL15*$L$7</f>
        <v>0</v>
      </c>
      <c r="L15" s="122">
        <f t="shared" si="0"/>
        <v>7597942.5087773455</v>
      </c>
    </row>
    <row r="16" spans="1:16" x14ac:dyDescent="0.25">
      <c r="A16" s="120">
        <v>6</v>
      </c>
      <c r="B16" s="121">
        <v>0</v>
      </c>
      <c r="C16" s="121">
        <f>IF('STS Calculation Summary'!$V16&gt;150000,'STS Labor'!$B$39,'STS Labor'!$E$39)</f>
        <v>923299.52</v>
      </c>
      <c r="D16" s="121">
        <f t="shared" ref="D16:D47" si="1">$L$4*$L$5</f>
        <v>75850.465087773453</v>
      </c>
      <c r="E16" s="121">
        <f t="shared" ref="E16:E47" si="2">$L$4*$L$6</f>
        <v>113775.69763166018</v>
      </c>
      <c r="F16" s="121">
        <f>'STS O&amp;M Input'!$C$10*'STS Calculation Summary'!Y16</f>
        <v>1373365.3523330186</v>
      </c>
      <c r="G16" s="121">
        <f>'STS Calculation Summary'!AA16*2000*'STS O&amp;M Input'!$C$11</f>
        <v>92947.016755981938</v>
      </c>
      <c r="H16" s="121">
        <f>'STS Calculation Summary'!AC16*2000*'STS O&amp;M Input'!$C$12</f>
        <v>8577.1012938508593</v>
      </c>
      <c r="I16" s="121">
        <f>'STS Calculation Summary'!AD16*'STS O&amp;M Input'!$C$18+'STS Calculation Summary'!AE16*'STS O&amp;M Input'!$C$17+'STS Calculation Summary'!AF16*'STS O&amp;M Input'!$C$13+'STS Calculation Summary'!AH16*'STS O&amp;M Input'!$C$15+'STS Calculation Summary'!AI16*'STS O&amp;M Input'!$C$16+'STS Calculation Summary'!AG16*'STS O&amp;M Input'!$C$14</f>
        <v>154231.22464351627</v>
      </c>
      <c r="J16" s="121">
        <f>'STS Analytical Costs'!P17</f>
        <v>46748</v>
      </c>
      <c r="K16" s="121">
        <f>'STS Calculation Summary'!AL16*$L$7</f>
        <v>89148.216105746018</v>
      </c>
      <c r="L16" s="122">
        <f t="shared" si="0"/>
        <v>2877942.5938515472</v>
      </c>
    </row>
    <row r="17" spans="1:12" x14ac:dyDescent="0.25">
      <c r="A17" s="120">
        <v>7</v>
      </c>
      <c r="B17" s="121">
        <v>0</v>
      </c>
      <c r="C17" s="121">
        <f>IF('STS Calculation Summary'!$V17&gt;150000,'STS Labor'!$B$39,'STS Labor'!$E$39)</f>
        <v>923299.52</v>
      </c>
      <c r="D17" s="121">
        <f t="shared" si="1"/>
        <v>75850.465087773453</v>
      </c>
      <c r="E17" s="121">
        <f t="shared" si="2"/>
        <v>113775.69763166018</v>
      </c>
      <c r="F17" s="121">
        <f>'STS O&amp;M Input'!$C$10*'STS Calculation Summary'!Y17</f>
        <v>1242758.5548266992</v>
      </c>
      <c r="G17" s="121">
        <f>'STS Calculation Summary'!AA17*2000*'STS O&amp;M Input'!$C$11</f>
        <v>82605.937955166242</v>
      </c>
      <c r="H17" s="121">
        <f>'STS Calculation Summary'!AC17*2000*'STS O&amp;M Input'!$C$12</f>
        <v>7896.1654257653681</v>
      </c>
      <c r="I17" s="121">
        <f>'STS Calculation Summary'!AD17*'STS O&amp;M Input'!$C$18+'STS Calculation Summary'!AE17*'STS O&amp;M Input'!$C$17+'STS Calculation Summary'!AF17*'STS O&amp;M Input'!$C$13+'STS Calculation Summary'!AH17*'STS O&amp;M Input'!$C$15+'STS Calculation Summary'!AI17*'STS O&amp;M Input'!$C$16+'STS Calculation Summary'!AG17*'STS O&amp;M Input'!$C$14</f>
        <v>143248.52970547124</v>
      </c>
      <c r="J17" s="121">
        <f>'STS Analytical Costs'!P18</f>
        <v>46748</v>
      </c>
      <c r="K17" s="121">
        <f>'STS Calculation Summary'!AL17*$L$8</f>
        <v>83048.33276419164</v>
      </c>
      <c r="L17" s="122">
        <f t="shared" si="0"/>
        <v>2719231.2033967273</v>
      </c>
    </row>
    <row r="18" spans="1:12" x14ac:dyDescent="0.25">
      <c r="A18" s="120">
        <v>8</v>
      </c>
      <c r="B18" s="121">
        <v>0</v>
      </c>
      <c r="C18" s="121">
        <f>IF('STS Calculation Summary'!$V18&gt;150000,'STS Labor'!$B$39,'STS Labor'!$E$39)</f>
        <v>923299.52</v>
      </c>
      <c r="D18" s="121">
        <f t="shared" si="1"/>
        <v>75850.465087773453</v>
      </c>
      <c r="E18" s="121">
        <f t="shared" si="2"/>
        <v>113775.69763166018</v>
      </c>
      <c r="F18" s="121">
        <f>'STS O&amp;M Input'!$C$10*'STS Calculation Summary'!Y18</f>
        <v>1259624.9910939888</v>
      </c>
      <c r="G18" s="121">
        <f>'STS Calculation Summary'!AA18*2000*'STS O&amp;M Input'!$C$11</f>
        <v>81840.745754180534</v>
      </c>
      <c r="H18" s="121">
        <f>'STS Calculation Summary'!AC18*2000*'STS O&amp;M Input'!$C$12</f>
        <v>7628.6389721369533</v>
      </c>
      <c r="I18" s="121">
        <f>'STS Calculation Summary'!AD18*'STS O&amp;M Input'!$C$18+'STS Calculation Summary'!AE18*'STS O&amp;M Input'!$C$17+'STS Calculation Summary'!AF18*'STS O&amp;M Input'!$C$13+'STS Calculation Summary'!AH18*'STS O&amp;M Input'!$C$15+'STS Calculation Summary'!AI18*'STS O&amp;M Input'!$C$16+'STS Calculation Summary'!AG18*'STS O&amp;M Input'!$C$14</f>
        <v>138019.40728194627</v>
      </c>
      <c r="J18" s="121">
        <f>'STS Analytical Costs'!P19</f>
        <v>46748</v>
      </c>
      <c r="K18" s="121">
        <f>'STS Calculation Summary'!AL18*$L$8</f>
        <v>80262.431780683706</v>
      </c>
      <c r="L18" s="122">
        <f t="shared" si="0"/>
        <v>2727049.89760237</v>
      </c>
    </row>
    <row r="19" spans="1:12" x14ac:dyDescent="0.25">
      <c r="A19" s="120">
        <v>9</v>
      </c>
      <c r="B19" s="121">
        <v>0</v>
      </c>
      <c r="C19" s="121">
        <f>IF('STS Calculation Summary'!$V19&gt;150000,'STS Labor'!$B$39,'STS Labor'!$E$39)</f>
        <v>923299.52</v>
      </c>
      <c r="D19" s="121">
        <f t="shared" si="1"/>
        <v>75850.465087773453</v>
      </c>
      <c r="E19" s="121">
        <f t="shared" si="2"/>
        <v>113775.69763166018</v>
      </c>
      <c r="F19" s="121">
        <f>'STS O&amp;M Input'!$C$10*'STS Calculation Summary'!Y19</f>
        <v>1274945.1952878777</v>
      </c>
      <c r="G19" s="121">
        <f>'STS Calculation Summary'!AA19*2000*'STS O&amp;M Input'!$C$11</f>
        <v>80985.074546659482</v>
      </c>
      <c r="H19" s="121">
        <f>'STS Calculation Summary'!AC19*2000*'STS O&amp;M Input'!$C$12</f>
        <v>7370.6643127899624</v>
      </c>
      <c r="I19" s="121">
        <f>'STS Calculation Summary'!AD19*'STS O&amp;M Input'!$C$18+'STS Calculation Summary'!AE19*'STS O&amp;M Input'!$C$17+'STS Calculation Summary'!AF19*'STS O&amp;M Input'!$C$13+'STS Calculation Summary'!AH19*'STS O&amp;M Input'!$C$15+'STS Calculation Summary'!AI19*'STS O&amp;M Input'!$C$16+'STS Calculation Summary'!AG19*'STS O&amp;M Input'!$C$14</f>
        <v>132977.77867744816</v>
      </c>
      <c r="J19" s="121">
        <f>'STS Analytical Costs'!P20</f>
        <v>46748</v>
      </c>
      <c r="K19" s="121">
        <f>'STS Calculation Summary'!AL19*$L$8</f>
        <v>77563.547135648289</v>
      </c>
      <c r="L19" s="122">
        <f t="shared" si="0"/>
        <v>2733515.9426798574</v>
      </c>
    </row>
    <row r="20" spans="1:12" x14ac:dyDescent="0.25">
      <c r="A20" s="120">
        <v>10</v>
      </c>
      <c r="B20" s="121">
        <v>0</v>
      </c>
      <c r="C20" s="121">
        <f>IF('STS Calculation Summary'!$V20&gt;150000,'STS Labor'!$B$39,'STS Labor'!$E$39)</f>
        <v>923299.52</v>
      </c>
      <c r="D20" s="121">
        <f t="shared" si="1"/>
        <v>75850.465087773453</v>
      </c>
      <c r="E20" s="121">
        <f t="shared" si="2"/>
        <v>113775.69763166018</v>
      </c>
      <c r="F20" s="121">
        <f>'STS O&amp;M Input'!$C$10*'STS Calculation Summary'!Y20</f>
        <v>1289928.4954584884</v>
      </c>
      <c r="G20" s="121">
        <f>'STS Calculation Summary'!AA20*2000*'STS O&amp;M Input'!$C$11</f>
        <v>80131.856593976394</v>
      </c>
      <c r="H20" s="121">
        <f>'STS Calculation Summary'!AC20*2000*'STS O&amp;M Input'!$C$12</f>
        <v>7121.672069328717</v>
      </c>
      <c r="I20" s="121">
        <f>'STS Calculation Summary'!AD20*'STS O&amp;M Input'!$C$18+'STS Calculation Summary'!AE20*'STS O&amp;M Input'!$C$17+'STS Calculation Summary'!AF20*'STS O&amp;M Input'!$C$13+'STS Calculation Summary'!AH20*'STS O&amp;M Input'!$C$15+'STS Calculation Summary'!AI20*'STS O&amp;M Input'!$C$16+'STS Calculation Summary'!AG20*'STS O&amp;M Input'!$C$14</f>
        <v>128165.06112646041</v>
      </c>
      <c r="J20" s="121">
        <f>'STS Analytical Costs'!P21</f>
        <v>46748</v>
      </c>
      <c r="K20" s="121">
        <f>'STS Calculation Summary'!AL20*$L$8</f>
        <v>74983.22922532956</v>
      </c>
      <c r="L20" s="122">
        <f t="shared" si="0"/>
        <v>2740003.997193017</v>
      </c>
    </row>
    <row r="21" spans="1:12" x14ac:dyDescent="0.25">
      <c r="A21" s="120">
        <v>11</v>
      </c>
      <c r="B21" s="121">
        <v>0</v>
      </c>
      <c r="C21" s="121">
        <f>IF('STS Calculation Summary'!$V21&gt;150000,'STS Labor'!$B$39,'STS Labor'!$E$39)</f>
        <v>923299.52</v>
      </c>
      <c r="D21" s="121">
        <f t="shared" si="1"/>
        <v>75850.465087773453</v>
      </c>
      <c r="E21" s="121">
        <f t="shared" si="2"/>
        <v>113775.69763166018</v>
      </c>
      <c r="F21" s="121">
        <f>'STS O&amp;M Input'!$C$10*'STS Calculation Summary'!Y21</f>
        <v>1182094.8616992219</v>
      </c>
      <c r="G21" s="121">
        <f>'STS Calculation Summary'!AA21*2000*'STS O&amp;M Input'!$C$11</f>
        <v>78385.630573953415</v>
      </c>
      <c r="H21" s="121">
        <f>'STS Calculation Summary'!AC21*2000*'STS O&amp;M Input'!$C$12</f>
        <v>6897.6432949653372</v>
      </c>
      <c r="I21" s="121">
        <f>'STS Calculation Summary'!AD21*'STS O&amp;M Input'!$C$18+'STS Calculation Summary'!AE21*'STS O&amp;M Input'!$C$17+'STS Calculation Summary'!AF21*'STS O&amp;M Input'!$C$13+'STS Calculation Summary'!AH21*'STS O&amp;M Input'!$C$15+'STS Calculation Summary'!AI21*'STS O&amp;M Input'!$C$16+'STS Calculation Summary'!AG21*'STS O&amp;M Input'!$C$14</f>
        <v>123055.42333710936</v>
      </c>
      <c r="J21" s="121">
        <f>'STS Analytical Costs'!P22</f>
        <v>43524</v>
      </c>
      <c r="K21" s="121">
        <f>'STS Calculation Summary'!AL21*$L$8</f>
        <v>72151.966881363202</v>
      </c>
      <c r="L21" s="122">
        <f t="shared" si="0"/>
        <v>2619035.2085060468</v>
      </c>
    </row>
    <row r="22" spans="1:12" x14ac:dyDescent="0.25">
      <c r="A22" s="120">
        <v>12</v>
      </c>
      <c r="B22" s="121">
        <v>0</v>
      </c>
      <c r="C22" s="121">
        <f>IF('STS Calculation Summary'!$V22&gt;150000,'STS Labor'!$B$39,'STS Labor'!$E$39)</f>
        <v>923299.52</v>
      </c>
      <c r="D22" s="121">
        <f t="shared" si="1"/>
        <v>75850.465087773453</v>
      </c>
      <c r="E22" s="121">
        <f t="shared" si="2"/>
        <v>113775.69763166018</v>
      </c>
      <c r="F22" s="121">
        <f>'STS O&amp;M Input'!$C$10*'STS Calculation Summary'!Y22</f>
        <v>1086255.7881033232</v>
      </c>
      <c r="G22" s="121">
        <f>'STS Calculation Summary'!AA22*2000*'STS O&amp;M Input'!$C$11</f>
        <v>77342.250294081619</v>
      </c>
      <c r="H22" s="121">
        <f>'STS Calculation Summary'!AC22*2000*'STS O&amp;M Input'!$C$12</f>
        <v>6712.1383902097223</v>
      </c>
      <c r="I22" s="121">
        <f>'STS Calculation Summary'!AD22*'STS O&amp;M Input'!$C$18+'STS Calculation Summary'!AE22*'STS O&amp;M Input'!$C$17+'STS Calculation Summary'!AF22*'STS O&amp;M Input'!$C$13+'STS Calculation Summary'!AH22*'STS O&amp;M Input'!$C$15+'STS Calculation Summary'!AI22*'STS O&amp;M Input'!$C$16+'STS Calculation Summary'!AG22*'STS O&amp;M Input'!$C$14</f>
        <v>118554.90137690578</v>
      </c>
      <c r="J22" s="121">
        <f>'STS Analytical Costs'!P23</f>
        <v>43524</v>
      </c>
      <c r="K22" s="121">
        <f>'STS Calculation Summary'!AL22*$L$8</f>
        <v>69712.226429403352</v>
      </c>
      <c r="L22" s="122">
        <f t="shared" si="0"/>
        <v>2515026.9873133572</v>
      </c>
    </row>
    <row r="23" spans="1:12" x14ac:dyDescent="0.25">
      <c r="A23" s="120">
        <v>13</v>
      </c>
      <c r="B23" s="121">
        <v>0</v>
      </c>
      <c r="C23" s="121">
        <f>IF('STS Calculation Summary'!$V23&gt;150000,'STS Labor'!$B$39,'STS Labor'!$E$39)</f>
        <v>923299.52</v>
      </c>
      <c r="D23" s="121">
        <f t="shared" si="1"/>
        <v>75850.465087773453</v>
      </c>
      <c r="E23" s="121">
        <f t="shared" si="2"/>
        <v>113775.69763166018</v>
      </c>
      <c r="F23" s="121">
        <f>'STS O&amp;M Input'!$C$10*'STS Calculation Summary'!Y23</f>
        <v>910905.90229445719</v>
      </c>
      <c r="G23" s="121">
        <f>'STS Calculation Summary'!AA23*2000*'STS O&amp;M Input'!$C$11</f>
        <v>70254.96452327173</v>
      </c>
      <c r="H23" s="121">
        <f>'STS Calculation Summary'!AC23*2000*'STS O&amp;M Input'!$C$12</f>
        <v>6276.656206250278</v>
      </c>
      <c r="I23" s="121">
        <f>'STS Calculation Summary'!AD23*'STS O&amp;M Input'!$C$18+'STS Calculation Summary'!AE23*'STS O&amp;M Input'!$C$17+'STS Calculation Summary'!AF23*'STS O&amp;M Input'!$C$13+'STS Calculation Summary'!AH23*'STS O&amp;M Input'!$C$15+'STS Calculation Summary'!AI23*'STS O&amp;M Input'!$C$16+'STS Calculation Summary'!AG23*'STS O&amp;M Input'!$C$14</f>
        <v>110777.11757329703</v>
      </c>
      <c r="J23" s="121">
        <f>'STS Analytical Costs'!P24</f>
        <v>26598</v>
      </c>
      <c r="K23" s="121">
        <f>'STS Calculation Summary'!AL23*$L$8</f>
        <v>64918.953813014021</v>
      </c>
      <c r="L23" s="122">
        <f t="shared" si="0"/>
        <v>2302657.2771297242</v>
      </c>
    </row>
    <row r="24" spans="1:12" x14ac:dyDescent="0.25">
      <c r="A24" s="120">
        <v>14</v>
      </c>
      <c r="B24" s="121">
        <v>0</v>
      </c>
      <c r="C24" s="121">
        <f>IF('STS Calculation Summary'!$V24&gt;150000,'STS Labor'!$B$39,'STS Labor'!$E$39)</f>
        <v>923299.52</v>
      </c>
      <c r="D24" s="121">
        <f t="shared" si="1"/>
        <v>75850.465087773453</v>
      </c>
      <c r="E24" s="121">
        <f t="shared" si="2"/>
        <v>113775.69763166018</v>
      </c>
      <c r="F24" s="121">
        <f>'STS O&amp;M Input'!$C$10*'STS Calculation Summary'!Y24</f>
        <v>818044.04912683018</v>
      </c>
      <c r="G24" s="121">
        <f>'STS Calculation Summary'!AA24*2000*'STS O&amp;M Input'!$C$11</f>
        <v>68757.929292610555</v>
      </c>
      <c r="H24" s="121">
        <f>'STS Calculation Summary'!AC24*2000*'STS O&amp;M Input'!$C$12</f>
        <v>6085.5764547067229</v>
      </c>
      <c r="I24" s="121">
        <f>'STS Calculation Summary'!AD24*'STS O&amp;M Input'!$C$18+'STS Calculation Summary'!AE24*'STS O&amp;M Input'!$C$17+'STS Calculation Summary'!AF24*'STS O&amp;M Input'!$C$13+'STS Calculation Summary'!AH24*'STS O&amp;M Input'!$C$15+'STS Calculation Summary'!AI24*'STS O&amp;M Input'!$C$16+'STS Calculation Summary'!AG24*'STS O&amp;M Input'!$C$14</f>
        <v>106396.31960743999</v>
      </c>
      <c r="J24" s="121">
        <f>'STS Analytical Costs'!P25</f>
        <v>26598</v>
      </c>
      <c r="K24" s="121">
        <f>'STS Calculation Summary'!AL24*$L$8</f>
        <v>62491.555205362558</v>
      </c>
      <c r="L24" s="122">
        <f t="shared" si="0"/>
        <v>2201299.1124063837</v>
      </c>
    </row>
    <row r="25" spans="1:12" x14ac:dyDescent="0.25">
      <c r="A25" s="120">
        <v>15</v>
      </c>
      <c r="B25" s="121">
        <v>0</v>
      </c>
      <c r="C25" s="121">
        <f>IF('STS Calculation Summary'!$V25&gt;150000,'STS Labor'!$B$39,'STS Labor'!$E$39)</f>
        <v>923299.52</v>
      </c>
      <c r="D25" s="121">
        <f t="shared" si="1"/>
        <v>75850.465087773453</v>
      </c>
      <c r="E25" s="121">
        <f t="shared" si="2"/>
        <v>113775.69763166018</v>
      </c>
      <c r="F25" s="121">
        <f>'STS O&amp;M Input'!$C$10*'STS Calculation Summary'!Y25</f>
        <v>721701.22228395555</v>
      </c>
      <c r="G25" s="121">
        <f>'STS Calculation Summary'!AA25*2000*'STS O&amp;M Input'!$C$11</f>
        <v>66999.675670165205</v>
      </c>
      <c r="H25" s="121">
        <f>'STS Calculation Summary'!AC25*2000*'STS O&amp;M Input'!$C$12</f>
        <v>5437.9602140545703</v>
      </c>
      <c r="I25" s="121">
        <f>'STS Calculation Summary'!AD25*'STS O&amp;M Input'!$C$18+'STS Calculation Summary'!AE25*'STS O&amp;M Input'!$C$17+'STS Calculation Summary'!AF25*'STS O&amp;M Input'!$C$13+'STS Calculation Summary'!AH25*'STS O&amp;M Input'!$C$15+'STS Calculation Summary'!AI25*'STS O&amp;M Input'!$C$16+'STS Calculation Summary'!AG25*'STS O&amp;M Input'!$C$14</f>
        <v>92264.692289702827</v>
      </c>
      <c r="J25" s="121">
        <f>'STS Analytical Costs'!P26</f>
        <v>26598</v>
      </c>
      <c r="K25" s="121">
        <f>'STS Calculation Summary'!AL25*$L$8</f>
        <v>54996.507931811655</v>
      </c>
      <c r="L25" s="122">
        <f t="shared" si="0"/>
        <v>2080923.7411091237</v>
      </c>
    </row>
    <row r="26" spans="1:12" x14ac:dyDescent="0.25">
      <c r="A26" s="120">
        <v>16</v>
      </c>
      <c r="B26" s="121">
        <v>0</v>
      </c>
      <c r="C26" s="121">
        <f>IF('STS Calculation Summary'!$V26&gt;150000,'STS Labor'!$B$39,'STS Labor'!$E$39)</f>
        <v>445274.96000000008</v>
      </c>
      <c r="D26" s="121">
        <f t="shared" si="1"/>
        <v>75850.465087773453</v>
      </c>
      <c r="E26" s="121">
        <f t="shared" si="2"/>
        <v>113775.69763166018</v>
      </c>
      <c r="F26" s="121">
        <f>'STS O&amp;M Input'!$C$10*'STS Calculation Summary'!Y26</f>
        <v>704173.47421556234</v>
      </c>
      <c r="G26" s="121">
        <f>'STS Calculation Summary'!AA26*2000*'STS O&amp;M Input'!$C$11</f>
        <v>66287.110036262078</v>
      </c>
      <c r="H26" s="121">
        <f>'STS Calculation Summary'!AC26*2000*'STS O&amp;M Input'!$C$12</f>
        <v>5286.4491046206385</v>
      </c>
      <c r="I26" s="121">
        <f>'STS Calculation Summary'!AD26*'STS O&amp;M Input'!$C$18+'STS Calculation Summary'!AE26*'STS O&amp;M Input'!$C$17+'STS Calculation Summary'!AF26*'STS O&amp;M Input'!$C$13+'STS Calculation Summary'!AH26*'STS O&amp;M Input'!$C$15+'STS Calculation Summary'!AI26*'STS O&amp;M Input'!$C$16+'STS Calculation Summary'!AG26*'STS O&amp;M Input'!$C$14</f>
        <v>89166.694697724379</v>
      </c>
      <c r="J26" s="121">
        <f>'STS Analytical Costs'!P27</f>
        <v>26598</v>
      </c>
      <c r="K26" s="121">
        <f>'STS Calculation Summary'!AL26*$L$8</f>
        <v>53317.696222517705</v>
      </c>
      <c r="L26" s="122">
        <f t="shared" si="0"/>
        <v>1579730.5469961208</v>
      </c>
    </row>
    <row r="27" spans="1:12" x14ac:dyDescent="0.25">
      <c r="A27" s="120">
        <v>17</v>
      </c>
      <c r="B27" s="121">
        <v>0</v>
      </c>
      <c r="C27" s="121">
        <f>IF('STS Calculation Summary'!$V27&gt;150000,'STS Labor'!$B$39,'STS Labor'!$E$39)</f>
        <v>445274.96000000008</v>
      </c>
      <c r="D27" s="121">
        <f t="shared" si="1"/>
        <v>75850.465087773453</v>
      </c>
      <c r="E27" s="121">
        <f t="shared" si="2"/>
        <v>113775.69763166018</v>
      </c>
      <c r="F27" s="121">
        <f>'STS O&amp;M Input'!$C$10*'STS Calculation Summary'!Y27</f>
        <v>686800.58597034123</v>
      </c>
      <c r="G27" s="121">
        <f>'STS Calculation Summary'!AA27*2000*'STS O&amp;M Input'!$C$11</f>
        <v>65579.951607808252</v>
      </c>
      <c r="H27" s="121">
        <f>'STS Calculation Summary'!AC27*2000*'STS O&amp;M Input'!$C$12</f>
        <v>5141.3304719083235</v>
      </c>
      <c r="I27" s="121">
        <f>'STS Calculation Summary'!AD27*'STS O&amp;M Input'!$C$18+'STS Calculation Summary'!AE27*'STS O&amp;M Input'!$C$17+'STS Calculation Summary'!AF27*'STS O&amp;M Input'!$C$13+'STS Calculation Summary'!AH27*'STS O&amp;M Input'!$C$15+'STS Calculation Summary'!AI27*'STS O&amp;M Input'!$C$16+'STS Calculation Summary'!AG27*'STS O&amp;M Input'!$C$14</f>
        <v>86206.234515311604</v>
      </c>
      <c r="J27" s="121">
        <f>'STS Analytical Costs'!P28</f>
        <v>26598</v>
      </c>
      <c r="K27" s="121">
        <f>'STS Calculation Summary'!AL27*$L$8</f>
        <v>51710.552798860321</v>
      </c>
      <c r="L27" s="122">
        <f t="shared" si="0"/>
        <v>1556937.7780836632</v>
      </c>
    </row>
    <row r="28" spans="1:12" x14ac:dyDescent="0.25">
      <c r="A28" s="120">
        <v>18</v>
      </c>
      <c r="B28" s="121">
        <v>0</v>
      </c>
      <c r="C28" s="121">
        <f>IF('STS Calculation Summary'!$V28&gt;150000,'STS Labor'!$B$39,'STS Labor'!$E$39)</f>
        <v>445274.96000000008</v>
      </c>
      <c r="D28" s="121">
        <f t="shared" si="1"/>
        <v>75850.465087773453</v>
      </c>
      <c r="E28" s="121">
        <f t="shared" si="2"/>
        <v>113775.69763166018</v>
      </c>
      <c r="F28" s="121">
        <f>'STS O&amp;M Input'!$C$10*'STS Calculation Summary'!Y28</f>
        <v>669587.55366407149</v>
      </c>
      <c r="G28" s="121">
        <f>'STS Calculation Summary'!AA28*2000*'STS O&amp;M Input'!$C$11</f>
        <v>64878.031293255328</v>
      </c>
      <c r="H28" s="121">
        <f>'STS Calculation Summary'!AC28*2000*'STS O&amp;M Input'!$C$12</f>
        <v>5002.2846920815446</v>
      </c>
      <c r="I28" s="121">
        <f>'STS Calculation Summary'!AD28*'STS O&amp;M Input'!$C$18+'STS Calculation Summary'!AE28*'STS O&amp;M Input'!$C$17+'STS Calculation Summary'!AF28*'STS O&amp;M Input'!$C$13+'STS Calculation Summary'!AH28*'STS O&amp;M Input'!$C$15+'STS Calculation Summary'!AI28*'STS O&amp;M Input'!$C$16+'STS Calculation Summary'!AG28*'STS O&amp;M Input'!$C$14</f>
        <v>83376.493052415419</v>
      </c>
      <c r="J28" s="121">
        <f>'STS Analytical Costs'!P29</f>
        <v>26598</v>
      </c>
      <c r="K28" s="121">
        <f>'STS Calculation Summary'!AL28*$L$8</f>
        <v>50171.535370180645</v>
      </c>
      <c r="L28" s="122">
        <f t="shared" si="0"/>
        <v>1534515.0207914379</v>
      </c>
    </row>
    <row r="29" spans="1:12" x14ac:dyDescent="0.25">
      <c r="A29" s="120">
        <v>19</v>
      </c>
      <c r="B29" s="121">
        <v>0</v>
      </c>
      <c r="C29" s="121">
        <f>IF('STS Calculation Summary'!$V29&gt;150000,'STS Labor'!$B$39,'STS Labor'!$E$39)</f>
        <v>445274.96000000008</v>
      </c>
      <c r="D29" s="121">
        <f t="shared" si="1"/>
        <v>75850.465087773453</v>
      </c>
      <c r="E29" s="121">
        <f t="shared" si="2"/>
        <v>113775.69763166018</v>
      </c>
      <c r="F29" s="121">
        <f>'STS O&amp;M Input'!$C$10*'STS Calculation Summary'!Y29</f>
        <v>652538.68589552387</v>
      </c>
      <c r="G29" s="121">
        <f>'STS Calculation Summary'!AA29*2000*'STS O&amp;M Input'!$C$11</f>
        <v>64181.154862276162</v>
      </c>
      <c r="H29" s="121">
        <f>'STS Calculation Summary'!AC29*2000*'STS O&amp;M Input'!$C$12</f>
        <v>4869.0081224960231</v>
      </c>
      <c r="I29" s="121">
        <f>'STS Calculation Summary'!AD29*'STS O&amp;M Input'!$C$18+'STS Calculation Summary'!AE29*'STS O&amp;M Input'!$C$17+'STS Calculation Summary'!AF29*'STS O&amp;M Input'!$C$13+'STS Calculation Summary'!AH29*'STS O&amp;M Input'!$C$15+'STS Calculation Summary'!AI29*'STS O&amp;M Input'!$C$16+'STS Calculation Summary'!AG29*'STS O&amp;M Input'!$C$14</f>
        <v>80670.973253592776</v>
      </c>
      <c r="J29" s="121">
        <f>'STS Analytical Costs'!P30</f>
        <v>26598</v>
      </c>
      <c r="K29" s="121">
        <f>'STS Calculation Summary'!AL29*$L$8</f>
        <v>48697.265118623465</v>
      </c>
      <c r="L29" s="122">
        <f t="shared" si="0"/>
        <v>1512456.2099719462</v>
      </c>
    </row>
    <row r="30" spans="1:12" x14ac:dyDescent="0.25">
      <c r="A30" s="120">
        <v>20</v>
      </c>
      <c r="B30" s="121">
        <v>0</v>
      </c>
      <c r="C30" s="121">
        <f>IF('STS Calculation Summary'!$V30&gt;150000,'STS Labor'!$B$39,'STS Labor'!$E$39)</f>
        <v>445274.96000000008</v>
      </c>
      <c r="D30" s="121">
        <f t="shared" si="1"/>
        <v>75850.465087773453</v>
      </c>
      <c r="E30" s="121">
        <f t="shared" si="2"/>
        <v>113775.69763166018</v>
      </c>
      <c r="F30" s="121">
        <f>'STS O&amp;M Input'!$C$10*'STS Calculation Summary'!Y30</f>
        <v>635658.44201102469</v>
      </c>
      <c r="G30" s="121">
        <f>'STS Calculation Summary'!AA30*2000*'STS O&amp;M Input'!$C$11</f>
        <v>63489.163575590392</v>
      </c>
      <c r="H30" s="121">
        <f>'STS Calculation Summary'!AC30*2000*'STS O&amp;M Input'!$C$12</f>
        <v>4741.2123026396957</v>
      </c>
      <c r="I30" s="121">
        <f>'STS Calculation Summary'!AD30*'STS O&amp;M Input'!$C$18+'STS Calculation Summary'!AE30*'STS O&amp;M Input'!$C$17+'STS Calculation Summary'!AF30*'STS O&amp;M Input'!$C$13+'STS Calculation Summary'!AH30*'STS O&amp;M Input'!$C$15+'STS Calculation Summary'!AI30*'STS O&amp;M Input'!$C$16+'STS Calculation Summary'!AG30*'STS O&amp;M Input'!$C$14</f>
        <v>78083.517726906968</v>
      </c>
      <c r="J30" s="121">
        <f>'STS Analytical Costs'!P31</f>
        <v>26598</v>
      </c>
      <c r="K30" s="121">
        <f>'STS Calculation Summary'!AL30*$L$8</f>
        <v>47284.542635884944</v>
      </c>
      <c r="L30" s="122">
        <f t="shared" si="0"/>
        <v>1490756.0009714803</v>
      </c>
    </row>
    <row r="31" spans="1:12" x14ac:dyDescent="0.25">
      <c r="A31" s="120">
        <v>21</v>
      </c>
      <c r="B31" s="121">
        <v>0</v>
      </c>
      <c r="C31" s="121">
        <f>IF('STS Calculation Summary'!$V31&gt;150000,'STS Labor'!$B$39,'STS Labor'!$E$39)</f>
        <v>445274.96000000008</v>
      </c>
      <c r="D31" s="121">
        <f t="shared" si="1"/>
        <v>75850.465087773453</v>
      </c>
      <c r="E31" s="121">
        <f t="shared" si="2"/>
        <v>113775.69763166018</v>
      </c>
      <c r="F31" s="121">
        <f>'STS O&amp;M Input'!$C$10*'STS Calculation Summary'!Y31</f>
        <v>618950.80148054427</v>
      </c>
      <c r="G31" s="121">
        <f>'STS Calculation Summary'!AA31*2000*'STS O&amp;M Input'!$C$11</f>
        <v>62801.888276107333</v>
      </c>
      <c r="H31" s="121">
        <f>'STS Calculation Summary'!AC31*2000*'STS O&amp;M Input'!$C$12</f>
        <v>4618.6231950261053</v>
      </c>
      <c r="I31" s="121">
        <f>'STS Calculation Summary'!AD31*'STS O&amp;M Input'!$C$18+'STS Calculation Summary'!AE31*'STS O&amp;M Input'!$C$17+'STS Calculation Summary'!AF31*'STS O&amp;M Input'!$C$13+'STS Calculation Summary'!AH31*'STS O&amp;M Input'!$C$15+'STS Calculation Summary'!AI31*'STS O&amp;M Input'!$C$16+'STS Calculation Summary'!AG31*'STS O&amp;M Input'!$C$14</f>
        <v>75608.266404919777</v>
      </c>
      <c r="J31" s="121">
        <f>'STS Analytical Costs'!P32</f>
        <v>26598</v>
      </c>
      <c r="K31" s="121">
        <f>'STS Calculation Summary'!AL31*$L$8</f>
        <v>45930.321030493556</v>
      </c>
      <c r="L31" s="122">
        <f t="shared" si="0"/>
        <v>1469409.0231065247</v>
      </c>
    </row>
    <row r="32" spans="1:12" x14ac:dyDescent="0.25">
      <c r="A32" s="120">
        <v>22</v>
      </c>
      <c r="B32" s="121">
        <v>0</v>
      </c>
      <c r="C32" s="121">
        <f>IF('STS Calculation Summary'!$V32&gt;150000,'STS Labor'!$B$39,'STS Labor'!$E$39)</f>
        <v>445274.96000000008</v>
      </c>
      <c r="D32" s="121">
        <f t="shared" si="1"/>
        <v>75850.465087773453</v>
      </c>
      <c r="E32" s="121">
        <f t="shared" si="2"/>
        <v>113775.69763166018</v>
      </c>
      <c r="F32" s="121">
        <f>'STS O&amp;M Input'!$C$10*'STS Calculation Summary'!Y32</f>
        <v>602371.66956927872</v>
      </c>
      <c r="G32" s="121">
        <f>'STS Calculation Summary'!AA32*2000*'STS O&amp;M Input'!$C$11</f>
        <v>62111.104507434633</v>
      </c>
      <c r="H32" s="121">
        <f>'STS Calculation Summary'!AC32*2000*'STS O&amp;M Input'!$C$12</f>
        <v>4509.1953011329451</v>
      </c>
      <c r="I32" s="121">
        <f>'STS Calculation Summary'!AD32*'STS O&amp;M Input'!$C$18+'STS Calculation Summary'!AE32*'STS O&amp;M Input'!$C$17+'STS Calculation Summary'!AF32*'STS O&amp;M Input'!$C$13+'STS Calculation Summary'!AH32*'STS O&amp;M Input'!$C$15+'STS Calculation Summary'!AI32*'STS O&amp;M Input'!$C$16+'STS Calculation Summary'!AG32*'STS O&amp;M Input'!$C$14</f>
        <v>73407.773771673965</v>
      </c>
      <c r="J32" s="121">
        <f>'STS Analytical Costs'!P33</f>
        <v>26598</v>
      </c>
      <c r="K32" s="121">
        <f>'STS Calculation Summary'!AL32*$L$8</f>
        <v>44717.708843747925</v>
      </c>
      <c r="L32" s="122">
        <f t="shared" si="0"/>
        <v>1448616.5747127018</v>
      </c>
    </row>
    <row r="33" spans="1:12" x14ac:dyDescent="0.25">
      <c r="A33" s="120">
        <v>23</v>
      </c>
      <c r="B33" s="121">
        <v>0</v>
      </c>
      <c r="C33" s="121">
        <f>IF('STS Calculation Summary'!$V33&gt;150000,'STS Labor'!$B$39,'STS Labor'!$E$39)</f>
        <v>445274.96000000008</v>
      </c>
      <c r="D33" s="121">
        <f t="shared" si="1"/>
        <v>75850.465087773453</v>
      </c>
      <c r="E33" s="121">
        <f t="shared" si="2"/>
        <v>113775.69763166018</v>
      </c>
      <c r="F33" s="121">
        <f>'STS O&amp;M Input'!$C$10*'STS Calculation Summary'!Y33</f>
        <v>587691.66420983896</v>
      </c>
      <c r="G33" s="121">
        <f>'STS Calculation Summary'!AA33*2000*'STS O&amp;M Input'!$C$11</f>
        <v>61498.23971259017</v>
      </c>
      <c r="H33" s="121">
        <f>'STS Calculation Summary'!AC33*2000*'STS O&amp;M Input'!$C$12</f>
        <v>4485.5337261313298</v>
      </c>
      <c r="I33" s="121">
        <f>'STS Calculation Summary'!AD33*'STS O&amp;M Input'!$C$18+'STS Calculation Summary'!AE33*'STS O&amp;M Input'!$C$17+'STS Calculation Summary'!AF33*'STS O&amp;M Input'!$C$13+'STS Calculation Summary'!AH33*'STS O&amp;M Input'!$C$15+'STS Calculation Summary'!AI33*'STS O&amp;M Input'!$C$16+'STS Calculation Summary'!AG33*'STS O&amp;M Input'!$C$14</f>
        <v>73055.673583435593</v>
      </c>
      <c r="J33" s="121">
        <f>'STS Analytical Costs'!P34</f>
        <v>26598</v>
      </c>
      <c r="K33" s="121">
        <f>'STS Calculation Summary'!AL33*$L$8</f>
        <v>44468.834169157955</v>
      </c>
      <c r="L33" s="122">
        <f t="shared" si="0"/>
        <v>1432699.0681205876</v>
      </c>
    </row>
    <row r="34" spans="1:12" x14ac:dyDescent="0.25">
      <c r="A34" s="120">
        <v>24</v>
      </c>
      <c r="B34" s="121">
        <v>0</v>
      </c>
      <c r="C34" s="121">
        <f>IF('STS Calculation Summary'!$V34&gt;150000,'STS Labor'!$B$39,'STS Labor'!$E$39)</f>
        <v>445274.96000000008</v>
      </c>
      <c r="D34" s="121">
        <f t="shared" si="1"/>
        <v>75850.465087773453</v>
      </c>
      <c r="E34" s="121">
        <f t="shared" si="2"/>
        <v>113775.69763166018</v>
      </c>
      <c r="F34" s="121">
        <f>'STS O&amp;M Input'!$C$10*'STS Calculation Summary'!Y34</f>
        <v>573047.11139644159</v>
      </c>
      <c r="G34" s="121">
        <f>'STS Calculation Summary'!AA34*2000*'STS O&amp;M Input'!$C$11</f>
        <v>60874.119404589561</v>
      </c>
      <c r="H34" s="121">
        <f>'STS Calculation Summary'!AC34*2000*'STS O&amp;M Input'!$C$12</f>
        <v>4461.8721511297172</v>
      </c>
      <c r="I34" s="121">
        <f>'STS Calculation Summary'!AD34*'STS O&amp;M Input'!$C$18+'STS Calculation Summary'!AE34*'STS O&amp;M Input'!$C$17+'STS Calculation Summary'!AF34*'STS O&amp;M Input'!$C$13+'STS Calculation Summary'!AH34*'STS O&amp;M Input'!$C$15+'STS Calculation Summary'!AI34*'STS O&amp;M Input'!$C$16+'STS Calculation Summary'!AG34*'STS O&amp;M Input'!$C$14</f>
        <v>72697.10693092263</v>
      </c>
      <c r="J34" s="121">
        <f>'STS Analytical Costs'!P35</f>
        <v>26598</v>
      </c>
      <c r="K34" s="121">
        <f>'STS Calculation Summary'!AL34*$L$8</f>
        <v>44215.388809161275</v>
      </c>
      <c r="L34" s="122">
        <f t="shared" si="0"/>
        <v>1416794.7214116785</v>
      </c>
    </row>
    <row r="35" spans="1:12" x14ac:dyDescent="0.25">
      <c r="A35" s="120">
        <v>25</v>
      </c>
      <c r="B35" s="121">
        <v>0</v>
      </c>
      <c r="C35" s="121">
        <f>IF('STS Calculation Summary'!$V35&gt;150000,'STS Labor'!$B$39,'STS Labor'!$E$39)</f>
        <v>445274.96000000008</v>
      </c>
      <c r="D35" s="121">
        <f t="shared" si="1"/>
        <v>75850.465087773453</v>
      </c>
      <c r="E35" s="121">
        <f t="shared" si="2"/>
        <v>113775.69763166018</v>
      </c>
      <c r="F35" s="121">
        <f>'STS O&amp;M Input'!$C$10*'STS Calculation Summary'!Y35</f>
        <v>555717.25686452573</v>
      </c>
      <c r="G35" s="121">
        <f>'STS Calculation Summary'!AA35*2000*'STS O&amp;M Input'!$C$11</f>
        <v>60155.729229491859</v>
      </c>
      <c r="H35" s="121">
        <f>'STS Calculation Summary'!AC35*2000*'STS O&amp;M Input'!$C$12</f>
        <v>4275.1326851521007</v>
      </c>
      <c r="I35" s="121">
        <f>'STS Calculation Summary'!AD35*'STS O&amp;M Input'!$C$18+'STS Calculation Summary'!AE35*'STS O&amp;M Input'!$C$17+'STS Calculation Summary'!AF35*'STS O&amp;M Input'!$C$13+'STS Calculation Summary'!AH35*'STS O&amp;M Input'!$C$15+'STS Calculation Summary'!AI35*'STS O&amp;M Input'!$C$16+'STS Calculation Summary'!AG35*'STS O&amp;M Input'!$C$14</f>
        <v>68854.926683726051</v>
      </c>
      <c r="J35" s="121">
        <f>'STS Analytical Costs'!P36</f>
        <v>26598</v>
      </c>
      <c r="K35" s="121">
        <f>'STS Calculation Summary'!AL35*$L$8</f>
        <v>42151.35520198688</v>
      </c>
      <c r="L35" s="122">
        <f t="shared" si="0"/>
        <v>1392653.5233843164</v>
      </c>
    </row>
    <row r="36" spans="1:12" x14ac:dyDescent="0.25">
      <c r="A36" s="120">
        <v>26</v>
      </c>
      <c r="B36" s="121">
        <v>0</v>
      </c>
      <c r="C36" s="121">
        <f>IF('STS Calculation Summary'!$V36&gt;150000,'STS Labor'!$B$39,'STS Labor'!$E$39)</f>
        <v>445274.96000000008</v>
      </c>
      <c r="D36" s="121">
        <f t="shared" si="1"/>
        <v>75850.465087773453</v>
      </c>
      <c r="E36" s="121">
        <f t="shared" si="2"/>
        <v>113775.69763166018</v>
      </c>
      <c r="F36" s="121">
        <f>'STS O&amp;M Input'!$C$10*'STS Calculation Summary'!Y36</f>
        <v>540170.52653637493</v>
      </c>
      <c r="G36" s="121">
        <f>'STS Calculation Summary'!AA36*2000*'STS O&amp;M Input'!$C$11</f>
        <v>59522.595585051844</v>
      </c>
      <c r="H36" s="121">
        <f>'STS Calculation Summary'!AC36*2000*'STS O&amp;M Input'!$C$12</f>
        <v>4251.4711101504872</v>
      </c>
      <c r="I36" s="121">
        <f>'STS Calculation Summary'!AD36*'STS O&amp;M Input'!$C$18+'STS Calculation Summary'!AE36*'STS O&amp;M Input'!$C$17+'STS Calculation Summary'!AF36*'STS O&amp;M Input'!$C$13+'STS Calculation Summary'!AH36*'STS O&amp;M Input'!$C$15+'STS Calculation Summary'!AI36*'STS O&amp;M Input'!$C$16+'STS Calculation Summary'!AG36*'STS O&amp;M Input'!$C$14</f>
        <v>68491.181731719204</v>
      </c>
      <c r="J36" s="121">
        <f>'STS Analytical Costs'!P37</f>
        <v>26598</v>
      </c>
      <c r="K36" s="121">
        <f>'STS Calculation Summary'!AL36*$L$8</f>
        <v>41894.249668992503</v>
      </c>
      <c r="L36" s="122">
        <f t="shared" si="0"/>
        <v>1375829.1473517229</v>
      </c>
    </row>
    <row r="37" spans="1:12" x14ac:dyDescent="0.25">
      <c r="A37" s="120">
        <v>27</v>
      </c>
      <c r="B37" s="121">
        <v>0</v>
      </c>
      <c r="C37" s="121">
        <f>IF('STS Calculation Summary'!$V37&gt;150000,'STS Labor'!$B$39,'STS Labor'!$E$39)</f>
        <v>445274.96000000008</v>
      </c>
      <c r="D37" s="121">
        <f t="shared" si="1"/>
        <v>75850.465087773453</v>
      </c>
      <c r="E37" s="121">
        <f t="shared" si="2"/>
        <v>113775.69763166018</v>
      </c>
      <c r="F37" s="121">
        <f>'STS O&amp;M Input'!$C$10*'STS Calculation Summary'!Y37</f>
        <v>524869.20936270035</v>
      </c>
      <c r="G37" s="121">
        <f>'STS Calculation Summary'!AA37*2000*'STS O&amp;M Input'!$C$11</f>
        <v>58891.391611265433</v>
      </c>
      <c r="H37" s="121">
        <f>'STS Calculation Summary'!AC37*2000*'STS O&amp;M Input'!$C$12</f>
        <v>4227.8095351488719</v>
      </c>
      <c r="I37" s="121">
        <f>'STS Calculation Summary'!AD37*'STS O&amp;M Input'!$C$18+'STS Calculation Summary'!AE37*'STS O&amp;M Input'!$C$17+'STS Calculation Summary'!AF37*'STS O&amp;M Input'!$C$13+'STS Calculation Summary'!AH37*'STS O&amp;M Input'!$C$15+'STS Calculation Summary'!AI37*'STS O&amp;M Input'!$C$16+'STS Calculation Summary'!AG37*'STS O&amp;M Input'!$C$14</f>
        <v>68128.545404985154</v>
      </c>
      <c r="J37" s="121">
        <f>'STS Analytical Costs'!P38</f>
        <v>26598</v>
      </c>
      <c r="K37" s="121">
        <f>'STS Calculation Summary'!AL37*$L$8</f>
        <v>41637.927744650515</v>
      </c>
      <c r="L37" s="122">
        <f t="shared" si="0"/>
        <v>1359254.0063781841</v>
      </c>
    </row>
    <row r="38" spans="1:12" x14ac:dyDescent="0.25">
      <c r="A38" s="120">
        <v>28</v>
      </c>
      <c r="B38" s="121">
        <v>0</v>
      </c>
      <c r="C38" s="121">
        <f>IF('STS Calculation Summary'!$V38&gt;150000,'STS Labor'!$B$39,'STS Labor'!$E$39)</f>
        <v>445274.96000000008</v>
      </c>
      <c r="D38" s="121">
        <f t="shared" si="1"/>
        <v>75850.465087773453</v>
      </c>
      <c r="E38" s="121">
        <f t="shared" si="2"/>
        <v>113775.69763166018</v>
      </c>
      <c r="F38" s="121">
        <f>'STS O&amp;M Input'!$C$10*'STS Calculation Summary'!Y38</f>
        <v>509810.57187289221</v>
      </c>
      <c r="G38" s="121">
        <f>'STS Calculation Summary'!AA38*2000*'STS O&amp;M Input'!$C$11</f>
        <v>58261.927043390126</v>
      </c>
      <c r="H38" s="121">
        <f>'STS Calculation Summary'!AC38*2000*'STS O&amp;M Input'!$C$12</f>
        <v>4204.1479601472574</v>
      </c>
      <c r="I38" s="121">
        <f>'STS Calculation Summary'!AD38*'STS O&amp;M Input'!$C$18+'STS Calculation Summary'!AE38*'STS O&amp;M Input'!$C$17+'STS Calculation Summary'!AF38*'STS O&amp;M Input'!$C$13+'STS Calculation Summary'!AH38*'STS O&amp;M Input'!$C$15+'STS Calculation Summary'!AI38*'STS O&amp;M Input'!$C$16+'STS Calculation Summary'!AG38*'STS O&amp;M Input'!$C$14</f>
        <v>67766.90839352239</v>
      </c>
      <c r="J38" s="121">
        <f>'STS Analytical Costs'!P39</f>
        <v>26598</v>
      </c>
      <c r="K38" s="121">
        <f>'STS Calculation Summary'!AL38*$L$8</f>
        <v>41382.312165466137</v>
      </c>
      <c r="L38" s="122">
        <f t="shared" si="0"/>
        <v>1342924.9901548522</v>
      </c>
    </row>
    <row r="39" spans="1:12" x14ac:dyDescent="0.25">
      <c r="A39" s="120">
        <v>29</v>
      </c>
      <c r="B39" s="121">
        <v>0</v>
      </c>
      <c r="C39" s="121">
        <f>IF('STS Calculation Summary'!$V39&gt;150000,'STS Labor'!$B$39,'STS Labor'!$E$39)</f>
        <v>445274.96000000008</v>
      </c>
      <c r="D39" s="121">
        <f t="shared" si="1"/>
        <v>75850.465087773453</v>
      </c>
      <c r="E39" s="121">
        <f t="shared" si="2"/>
        <v>113775.69763166018</v>
      </c>
      <c r="F39" s="121">
        <f>'STS O&amp;M Input'!$C$10*'STS Calculation Summary'!Y39</f>
        <v>494995.37512262544</v>
      </c>
      <c r="G39" s="121">
        <f>'STS Calculation Summary'!AA39*2000*'STS O&amp;M Input'!$C$11</f>
        <v>57634.389774327334</v>
      </c>
      <c r="H39" s="121">
        <f>'STS Calculation Summary'!AC39*2000*'STS O&amp;M Input'!$C$12</f>
        <v>4180.486385145643</v>
      </c>
      <c r="I39" s="121">
        <f>'STS Calculation Summary'!AD39*'STS O&amp;M Input'!$C$18+'STS Calculation Summary'!AE39*'STS O&amp;M Input'!$C$17+'STS Calculation Summary'!AF39*'STS O&amp;M Input'!$C$13+'STS Calculation Summary'!AH39*'STS O&amp;M Input'!$C$15+'STS Calculation Summary'!AI39*'STS O&amp;M Input'!$C$16+'STS Calculation Summary'!AG39*'STS O&amp;M Input'!$C$14</f>
        <v>67406.378644673459</v>
      </c>
      <c r="J39" s="121">
        <f>'STS Analytical Costs'!P40</f>
        <v>26598</v>
      </c>
      <c r="K39" s="121">
        <f>'STS Calculation Summary'!AL39*$L$8</f>
        <v>41127.479231767073</v>
      </c>
      <c r="L39" s="122">
        <f t="shared" si="0"/>
        <v>1326843.2318779728</v>
      </c>
    </row>
    <row r="40" spans="1:12" x14ac:dyDescent="0.25">
      <c r="A40" s="120">
        <v>30</v>
      </c>
      <c r="B40" s="121">
        <v>0</v>
      </c>
      <c r="C40" s="121">
        <f>IF('STS Calculation Summary'!$V40&gt;150000,'STS Labor'!$B$39,'STS Labor'!$E$39)</f>
        <v>445274.96000000008</v>
      </c>
      <c r="D40" s="121">
        <f t="shared" si="1"/>
        <v>75850.465087773453</v>
      </c>
      <c r="E40" s="121">
        <f t="shared" si="2"/>
        <v>113775.69763166018</v>
      </c>
      <c r="F40" s="121">
        <f>'STS O&amp;M Input'!$C$10*'STS Calculation Summary'!Y40</f>
        <v>480422.06552380085</v>
      </c>
      <c r="G40" s="121">
        <f>'STS Calculation Summary'!AA40*2000*'STS O&amp;M Input'!$C$11</f>
        <v>57008.717041094154</v>
      </c>
      <c r="H40" s="121">
        <f>'STS Calculation Summary'!AC40*2000*'STS O&amp;M Input'!$C$12</f>
        <v>4156.8248101440286</v>
      </c>
      <c r="I40" s="121">
        <f>'STS Calculation Summary'!AD40*'STS O&amp;M Input'!$C$18+'STS Calculation Summary'!AE40*'STS O&amp;M Input'!$C$17+'STS Calculation Summary'!AF40*'STS O&amp;M Input'!$C$13+'STS Calculation Summary'!AH40*'STS O&amp;M Input'!$C$15+'STS Calculation Summary'!AI40*'STS O&amp;M Input'!$C$16+'STS Calculation Summary'!AG40*'STS O&amp;M Input'!$C$14</f>
        <v>67046.920100145813</v>
      </c>
      <c r="J40" s="121">
        <f>'STS Analytical Costs'!P41</f>
        <v>26598</v>
      </c>
      <c r="K40" s="121">
        <f>'STS Calculation Summary'!AL40*$L$8</f>
        <v>40873.403456501263</v>
      </c>
      <c r="L40" s="122">
        <f t="shared" si="0"/>
        <v>1311007.0536511196</v>
      </c>
    </row>
    <row r="41" spans="1:12" x14ac:dyDescent="0.25">
      <c r="A41" s="120">
        <v>31</v>
      </c>
      <c r="B41" s="121">
        <v>0</v>
      </c>
      <c r="C41" s="121">
        <f>IF('STS Calculation Summary'!$V41&gt;150000,'STS Labor'!$B$39,'STS Labor'!$E$39)</f>
        <v>445274.96000000008</v>
      </c>
      <c r="D41" s="121">
        <f t="shared" si="1"/>
        <v>75850.465087773453</v>
      </c>
      <c r="E41" s="121">
        <f t="shared" si="2"/>
        <v>113775.69763166018</v>
      </c>
      <c r="F41" s="121">
        <f>'STS O&amp;M Input'!$C$10*'STS Calculation Summary'!Y41</f>
        <v>466089.69076556573</v>
      </c>
      <c r="G41" s="121">
        <f>'STS Calculation Summary'!AA41*2000*'STS O&amp;M Input'!$C$11</f>
        <v>56384.910691697463</v>
      </c>
      <c r="H41" s="121">
        <f>'STS Calculation Summary'!AC41*2000*'STS O&amp;M Input'!$C$12</f>
        <v>4133.163235142415</v>
      </c>
      <c r="I41" s="121">
        <f>'STS Calculation Summary'!AD41*'STS O&amp;M Input'!$C$18+'STS Calculation Summary'!AE41*'STS O&amp;M Input'!$C$17+'STS Calculation Summary'!AF41*'STS O&amp;M Input'!$C$13+'STS Calculation Summary'!AH41*'STS O&amp;M Input'!$C$15+'STS Calculation Summary'!AI41*'STS O&amp;M Input'!$C$16+'STS Calculation Summary'!AG41*'STS O&amp;M Input'!$C$14</f>
        <v>66688.533821647608</v>
      </c>
      <c r="J41" s="121">
        <f>'STS Analytical Costs'!P42</f>
        <v>26598</v>
      </c>
      <c r="K41" s="121">
        <f>'STS Calculation Summary'!AL41*$L$8</f>
        <v>40620.085590114992</v>
      </c>
      <c r="L41" s="122">
        <f t="shared" si="0"/>
        <v>1295415.5068236017</v>
      </c>
    </row>
    <row r="42" spans="1:12" x14ac:dyDescent="0.25">
      <c r="A42" s="120">
        <v>32</v>
      </c>
      <c r="B42" s="121">
        <v>0</v>
      </c>
      <c r="C42" s="121">
        <f>IF('STS Calculation Summary'!$V42&gt;150000,'STS Labor'!$B$39,'STS Labor'!$E$39)</f>
        <v>445274.96000000008</v>
      </c>
      <c r="D42" s="121">
        <f t="shared" si="1"/>
        <v>75850.465087773453</v>
      </c>
      <c r="E42" s="121">
        <f t="shared" si="2"/>
        <v>113775.69763166018</v>
      </c>
      <c r="F42" s="121">
        <f>'STS O&amp;M Input'!$C$10*'STS Calculation Summary'!Y42</f>
        <v>451997.70609352703</v>
      </c>
      <c r="G42" s="121">
        <f>'STS Calculation Summary'!AA42*2000*'STS O&amp;M Input'!$C$11</f>
        <v>55763.023872953992</v>
      </c>
      <c r="H42" s="121">
        <f>'STS Calculation Summary'!AC42*2000*'STS O&amp;M Input'!$C$12</f>
        <v>4109.5016601407997</v>
      </c>
      <c r="I42" s="121">
        <f>'STS Calculation Summary'!AD42*'STS O&amp;M Input'!$C$18+'STS Calculation Summary'!AE42*'STS O&amp;M Input'!$C$17+'STS Calculation Summary'!AF42*'STS O&amp;M Input'!$C$13+'STS Calculation Summary'!AH42*'STS O&amp;M Input'!$C$15+'STS Calculation Summary'!AI42*'STS O&amp;M Input'!$C$16+'STS Calculation Summary'!AG42*'STS O&amp;M Input'!$C$14</f>
        <v>66331.250342837055</v>
      </c>
      <c r="J42" s="121">
        <f>'STS Analytical Costs'!P43</f>
        <v>26598</v>
      </c>
      <c r="K42" s="121">
        <f>'STS Calculation Summary'!AL42*$L$8</f>
        <v>40367.547214687736</v>
      </c>
      <c r="L42" s="122">
        <f t="shared" si="0"/>
        <v>1280068.1519035804</v>
      </c>
    </row>
    <row r="43" spans="1:12" x14ac:dyDescent="0.25">
      <c r="A43" s="120">
        <v>33</v>
      </c>
      <c r="B43" s="121">
        <v>0</v>
      </c>
      <c r="C43" s="121">
        <f>IF('STS Calculation Summary'!$V43&gt;150000,'STS Labor'!$B$39,'STS Labor'!$E$39)</f>
        <v>445274.96000000008</v>
      </c>
      <c r="D43" s="121">
        <f t="shared" si="1"/>
        <v>75850.465087773453</v>
      </c>
      <c r="E43" s="121">
        <f t="shared" si="2"/>
        <v>113775.69763166018</v>
      </c>
      <c r="F43" s="121">
        <f>'STS O&amp;M Input'!$C$10*'STS Calculation Summary'!Y43</f>
        <v>447028.63880187471</v>
      </c>
      <c r="G43" s="121">
        <f>'STS Calculation Summary'!AA43*2000*'STS O&amp;M Input'!$C$11</f>
        <v>55712.369389460458</v>
      </c>
      <c r="H43" s="121">
        <f>'STS Calculation Summary'!AC43*2000*'STS O&amp;M Input'!$C$12</f>
        <v>4109.988511808252</v>
      </c>
      <c r="I43" s="121">
        <f>'STS Calculation Summary'!AD43*'STS O&amp;M Input'!$C$18+'STS Calculation Summary'!AE43*'STS O&amp;M Input'!$C$17+'STS Calculation Summary'!AF43*'STS O&amp;M Input'!$C$13+'STS Calculation Summary'!AH43*'STS O&amp;M Input'!$C$15+'STS Calculation Summary'!AI43*'STS O&amp;M Input'!$C$16+'STS Calculation Summary'!AG43*'STS O&amp;M Input'!$C$14</f>
        <v>66302.148568150005</v>
      </c>
      <c r="J43" s="121">
        <f>'STS Analytical Costs'!P44</f>
        <v>18135</v>
      </c>
      <c r="K43" s="121">
        <f>'STS Calculation Summary'!AL43*$L$8</f>
        <v>40346.97723220216</v>
      </c>
      <c r="L43" s="122">
        <f t="shared" si="0"/>
        <v>1266536.2452229292</v>
      </c>
    </row>
    <row r="44" spans="1:12" x14ac:dyDescent="0.25">
      <c r="A44" s="120">
        <v>34</v>
      </c>
      <c r="B44" s="121">
        <v>0</v>
      </c>
      <c r="C44" s="121">
        <f>IF('STS Calculation Summary'!$V44&gt;150000,'STS Labor'!$B$39,'STS Labor'!$E$39)</f>
        <v>445274.96000000008</v>
      </c>
      <c r="D44" s="121">
        <f t="shared" si="1"/>
        <v>75850.465087773453</v>
      </c>
      <c r="E44" s="121">
        <f t="shared" si="2"/>
        <v>113775.69763166018</v>
      </c>
      <c r="F44" s="121">
        <f>'STS O&amp;M Input'!$C$10*'STS Calculation Summary'!Y44</f>
        <v>442269.2221714647</v>
      </c>
      <c r="G44" s="121">
        <f>'STS Calculation Summary'!AA44*2000*'STS O&amp;M Input'!$C$11</f>
        <v>55672.090518612371</v>
      </c>
      <c r="H44" s="121">
        <f>'STS Calculation Summary'!AC44*2000*'STS O&amp;M Input'!$C$12</f>
        <v>4109.988511808252</v>
      </c>
      <c r="I44" s="121">
        <f>'STS Calculation Summary'!AD44*'STS O&amp;M Input'!$C$18+'STS Calculation Summary'!AE44*'STS O&amp;M Input'!$C$17+'STS Calculation Summary'!AF44*'STS O&amp;M Input'!$C$13+'STS Calculation Summary'!AH44*'STS O&amp;M Input'!$C$15+'STS Calculation Summary'!AI44*'STS O&amp;M Input'!$C$16+'STS Calculation Summary'!AG44*'STS O&amp;M Input'!$C$14</f>
        <v>66279.007741450623</v>
      </c>
      <c r="J44" s="121">
        <f>'STS Analytical Costs'!P45</f>
        <v>18135</v>
      </c>
      <c r="K44" s="121">
        <f>'STS Calculation Summary'!AL44*$L$8</f>
        <v>40330.620621479051</v>
      </c>
      <c r="L44" s="122">
        <f t="shared" si="0"/>
        <v>1261697.0522842489</v>
      </c>
    </row>
    <row r="45" spans="1:12" x14ac:dyDescent="0.25">
      <c r="A45" s="120">
        <v>35</v>
      </c>
      <c r="B45" s="121">
        <v>0</v>
      </c>
      <c r="C45" s="121">
        <f>IF('STS Calculation Summary'!$V45&gt;150000,'STS Labor'!$B$39,'STS Labor'!$E$39)</f>
        <v>445274.96000000008</v>
      </c>
      <c r="D45" s="121">
        <f t="shared" si="1"/>
        <v>75850.465087773453</v>
      </c>
      <c r="E45" s="121">
        <f t="shared" si="2"/>
        <v>113775.69763166018</v>
      </c>
      <c r="F45" s="121">
        <f>'STS O&amp;M Input'!$C$10*'STS Calculation Summary'!Y45</f>
        <v>437387.48499051336</v>
      </c>
      <c r="G45" s="121">
        <f>'STS Calculation Summary'!AA45*2000*'STS O&amp;M Input'!$C$11</f>
        <v>55622.304021313532</v>
      </c>
      <c r="H45" s="121">
        <f>'STS Calculation Summary'!AC45*2000*'STS O&amp;M Input'!$C$12</f>
        <v>4109.988511808252</v>
      </c>
      <c r="I45" s="121">
        <f>'STS Calculation Summary'!AD45*'STS O&amp;M Input'!$C$18+'STS Calculation Summary'!AE45*'STS O&amp;M Input'!$C$17+'STS Calculation Summary'!AF45*'STS O&amp;M Input'!$C$13+'STS Calculation Summary'!AH45*'STS O&amp;M Input'!$C$15+'STS Calculation Summary'!AI45*'STS O&amp;M Input'!$C$16+'STS Calculation Summary'!AG45*'STS O&amp;M Input'!$C$14</f>
        <v>66250.404638093882</v>
      </c>
      <c r="J45" s="121">
        <f>'STS Analytical Costs'!P46</f>
        <v>18135</v>
      </c>
      <c r="K45" s="121">
        <f>'STS Calculation Summary'!AL45*$L$8</f>
        <v>40310.403114422923</v>
      </c>
      <c r="L45" s="122">
        <f t="shared" si="0"/>
        <v>1256716.7079955856</v>
      </c>
    </row>
    <row r="46" spans="1:12" x14ac:dyDescent="0.25">
      <c r="A46" s="120">
        <v>36</v>
      </c>
      <c r="B46" s="121">
        <v>0</v>
      </c>
      <c r="C46" s="121">
        <f>IF('STS Calculation Summary'!$V46&gt;150000,'STS Labor'!$B$39,'STS Labor'!$E$39)</f>
        <v>445274.96000000008</v>
      </c>
      <c r="D46" s="121">
        <f t="shared" si="1"/>
        <v>75850.465087773453</v>
      </c>
      <c r="E46" s="121">
        <f t="shared" si="2"/>
        <v>113775.69763166018</v>
      </c>
      <c r="F46" s="121">
        <f>'STS O&amp;M Input'!$C$10*'STS Calculation Summary'!Y46</f>
        <v>432513.213693103</v>
      </c>
      <c r="G46" s="121">
        <f>'STS Calculation Summary'!AA46*2000*'STS O&amp;M Input'!$C$11</f>
        <v>55572.569989479023</v>
      </c>
      <c r="H46" s="121">
        <f>'STS Calculation Summary'!AC46*2000*'STS O&amp;M Input'!$C$12</f>
        <v>4109.988511808252</v>
      </c>
      <c r="I46" s="121">
        <f>'STS Calculation Summary'!AD46*'STS O&amp;M Input'!$C$18+'STS Calculation Summary'!AE46*'STS O&amp;M Input'!$C$17+'STS Calculation Summary'!AF46*'STS O&amp;M Input'!$C$13+'STS Calculation Summary'!AH46*'STS O&amp;M Input'!$C$15+'STS Calculation Summary'!AI46*'STS O&amp;M Input'!$C$16+'STS Calculation Summary'!AG46*'STS O&amp;M Input'!$C$14</f>
        <v>66221.831676947957</v>
      </c>
      <c r="J46" s="121">
        <f>'STS Analytical Costs'!P47</f>
        <v>18135</v>
      </c>
      <c r="K46" s="121">
        <f>'STS Calculation Summary'!AL46*$L$8</f>
        <v>40290.206912759873</v>
      </c>
      <c r="L46" s="122">
        <f t="shared" si="0"/>
        <v>1251743.9335035316</v>
      </c>
    </row>
    <row r="47" spans="1:12" x14ac:dyDescent="0.25">
      <c r="A47" s="120">
        <v>37</v>
      </c>
      <c r="B47" s="121">
        <v>0</v>
      </c>
      <c r="C47" s="121">
        <f>IF('STS Calculation Summary'!$V47&gt;150000,'STS Labor'!$B$39,'STS Labor'!$E$39)</f>
        <v>445274.96000000008</v>
      </c>
      <c r="D47" s="121">
        <f t="shared" si="1"/>
        <v>75850.465087773453</v>
      </c>
      <c r="E47" s="121">
        <f t="shared" si="2"/>
        <v>113775.69763166018</v>
      </c>
      <c r="F47" s="121">
        <f>'STS O&amp;M Input'!$C$10*'STS Calculation Summary'!Y47</f>
        <v>427645.54971218196</v>
      </c>
      <c r="G47" s="121">
        <f>'STS Calculation Summary'!AA47*2000*'STS O&amp;M Input'!$C$11</f>
        <v>55522.781965191869</v>
      </c>
      <c r="H47" s="121">
        <f>'STS Calculation Summary'!AC47*2000*'STS O&amp;M Input'!$C$12</f>
        <v>4109.988511808252</v>
      </c>
      <c r="I47" s="121">
        <f>'STS Calculation Summary'!AD47*'STS O&amp;M Input'!$C$18+'STS Calculation Summary'!AE47*'STS O&amp;M Input'!$C$17+'STS Calculation Summary'!AF47*'STS O&amp;M Input'!$C$13+'STS Calculation Summary'!AH47*'STS O&amp;M Input'!$C$15+'STS Calculation Summary'!AI47*'STS O&amp;M Input'!$C$16+'STS Calculation Summary'!AG47*'STS O&amp;M Input'!$C$14</f>
        <v>66193.227696313101</v>
      </c>
      <c r="J47" s="121">
        <f>'STS Analytical Costs'!P48</f>
        <v>18135</v>
      </c>
      <c r="K47" s="121">
        <f>'STS Calculation Summary'!AL47*$L$8</f>
        <v>40269.988785618007</v>
      </c>
      <c r="L47" s="122">
        <f t="shared" si="0"/>
        <v>1246777.6593905468</v>
      </c>
    </row>
    <row r="48" spans="1:12" x14ac:dyDescent="0.25">
      <c r="A48" s="120">
        <v>38</v>
      </c>
      <c r="B48" s="121">
        <v>0</v>
      </c>
      <c r="C48" s="121">
        <f>IF('STS Calculation Summary'!$V48&gt;150000,'STS Labor'!$B$39,'STS Labor'!$E$39)</f>
        <v>445274.96000000008</v>
      </c>
      <c r="D48" s="121">
        <f t="shared" ref="D48:D79" si="3">$L$4*$L$5</f>
        <v>75850.465087773453</v>
      </c>
      <c r="E48" s="121">
        <f t="shared" ref="E48:E79" si="4">$L$4*$L$6</f>
        <v>113775.69763166018</v>
      </c>
      <c r="F48" s="121">
        <f>'STS O&amp;M Input'!$C$10*'STS Calculation Summary'!Y48</f>
        <v>422784.51946309343</v>
      </c>
      <c r="G48" s="121">
        <f>'STS Calculation Summary'!AA48*2000*'STS O&amp;M Input'!$C$11</f>
        <v>55472.941348238986</v>
      </c>
      <c r="H48" s="121">
        <f>'STS Calculation Summary'!AC48*2000*'STS O&amp;M Input'!$C$12</f>
        <v>4109.988511808252</v>
      </c>
      <c r="I48" s="121">
        <f>'STS Calculation Summary'!AD48*'STS O&amp;M Input'!$C$18+'STS Calculation Summary'!AE48*'STS O&amp;M Input'!$C$17+'STS Calculation Summary'!AF48*'STS O&amp;M Input'!$C$13+'STS Calculation Summary'!AH48*'STS O&amp;M Input'!$C$15+'STS Calculation Summary'!AI48*'STS O&amp;M Input'!$C$16+'STS Calculation Summary'!AG48*'STS O&amp;M Input'!$C$14</f>
        <v>66164.593500388233</v>
      </c>
      <c r="J48" s="121">
        <f>'STS Analytical Costs'!P49</f>
        <v>18135</v>
      </c>
      <c r="K48" s="121">
        <f>'STS Calculation Summary'!AL48*$L$8</f>
        <v>40249.749301428579</v>
      </c>
      <c r="L48" s="122">
        <f t="shared" si="0"/>
        <v>1241817.9148443914</v>
      </c>
    </row>
    <row r="49" spans="1:12" x14ac:dyDescent="0.25">
      <c r="A49" s="120">
        <v>39</v>
      </c>
      <c r="B49" s="121">
        <v>0</v>
      </c>
      <c r="C49" s="121">
        <f>IF('STS Calculation Summary'!$V49&gt;150000,'STS Labor'!$B$39,'STS Labor'!$E$39)</f>
        <v>445274.96000000008</v>
      </c>
      <c r="D49" s="121">
        <f t="shared" si="3"/>
        <v>75850.465087773453</v>
      </c>
      <c r="E49" s="121">
        <f t="shared" si="4"/>
        <v>113775.69763166018</v>
      </c>
      <c r="F49" s="121">
        <f>'STS O&amp;M Input'!$C$10*'STS Calculation Summary'!Y49</f>
        <v>417930.9579773008</v>
      </c>
      <c r="G49" s="121">
        <f>'STS Calculation Summary'!AA49*2000*'STS O&amp;M Input'!$C$11</f>
        <v>55423.153008807618</v>
      </c>
      <c r="H49" s="121">
        <f>'STS Calculation Summary'!AC49*2000*'STS O&amp;M Input'!$C$12</f>
        <v>4109.988511808252</v>
      </c>
      <c r="I49" s="121">
        <f>'STS Calculation Summary'!AD49*'STS O&amp;M Input'!$C$18+'STS Calculation Summary'!AE49*'STS O&amp;M Input'!$C$17+'STS Calculation Summary'!AF49*'STS O&amp;M Input'!$C$13+'STS Calculation Summary'!AH49*'STS O&amp;M Input'!$C$15+'STS Calculation Summary'!AI49*'STS O&amp;M Input'!$C$16+'STS Calculation Summary'!AG49*'STS O&amp;M Input'!$C$14</f>
        <v>66135.989338698186</v>
      </c>
      <c r="J49" s="121">
        <f>'STS Analytical Costs'!P50</f>
        <v>18135</v>
      </c>
      <c r="K49" s="121">
        <f>'STS Calculation Summary'!AL49*$L$8</f>
        <v>40229.531046311626</v>
      </c>
      <c r="L49" s="122">
        <f t="shared" si="0"/>
        <v>1236865.7426023602</v>
      </c>
    </row>
    <row r="50" spans="1:12" x14ac:dyDescent="0.25">
      <c r="A50" s="120">
        <v>40</v>
      </c>
      <c r="B50" s="121">
        <v>0</v>
      </c>
      <c r="C50" s="121">
        <f>IF('STS Calculation Summary'!$V50&gt;150000,'STS Labor'!$B$39,'STS Labor'!$E$39)</f>
        <v>445274.96000000008</v>
      </c>
      <c r="D50" s="121">
        <f t="shared" si="3"/>
        <v>75850.465087773453</v>
      </c>
      <c r="E50" s="121">
        <f t="shared" si="4"/>
        <v>113775.69763166018</v>
      </c>
      <c r="F50" s="121">
        <f>'STS O&amp;M Input'!$C$10*'STS Calculation Summary'!Y50</f>
        <v>413084.84357924125</v>
      </c>
      <c r="G50" s="121">
        <f>'STS Calculation Summary'!AA50*2000*'STS O&amp;M Input'!$C$11</f>
        <v>55373.415490259773</v>
      </c>
      <c r="H50" s="121">
        <f>'STS Calculation Summary'!AC50*2000*'STS O&amp;M Input'!$C$12</f>
        <v>4109.988511808252</v>
      </c>
      <c r="I50" s="121">
        <f>'STS Calculation Summary'!AD50*'STS O&amp;M Input'!$C$18+'STS Calculation Summary'!AE50*'STS O&amp;M Input'!$C$17+'STS Calculation Summary'!AF50*'STS O&amp;M Input'!$C$13+'STS Calculation Summary'!AH50*'STS O&amp;M Input'!$C$15+'STS Calculation Summary'!AI50*'STS O&amp;M Input'!$C$16+'STS Calculation Summary'!AG50*'STS O&amp;M Input'!$C$14</f>
        <v>66107.414374382206</v>
      </c>
      <c r="J50" s="121">
        <f>'STS Analytical Costs'!P51</f>
        <v>18135</v>
      </c>
      <c r="K50" s="121">
        <f>'STS Calculation Summary'!AL50*$L$8</f>
        <v>40209.333428749589</v>
      </c>
      <c r="L50" s="122">
        <f t="shared" si="0"/>
        <v>1231921.1181038748</v>
      </c>
    </row>
    <row r="51" spans="1:12" x14ac:dyDescent="0.25">
      <c r="A51" s="120">
        <v>41</v>
      </c>
      <c r="B51" s="121">
        <v>0</v>
      </c>
      <c r="C51" s="121">
        <f>IF('STS Calculation Summary'!$V51&gt;150000,'STS Labor'!$B$39,'STS Labor'!$E$39)</f>
        <v>445274.96000000008</v>
      </c>
      <c r="D51" s="121">
        <f t="shared" si="3"/>
        <v>75850.465087773453</v>
      </c>
      <c r="E51" s="121">
        <f t="shared" si="4"/>
        <v>113775.69763166018</v>
      </c>
      <c r="F51" s="121">
        <f>'STS O&amp;M Input'!$C$10*'STS Calculation Summary'!Y51</f>
        <v>413084.84357924125</v>
      </c>
      <c r="G51" s="121">
        <f>'STS Calculation Summary'!AA51*2000*'STS O&amp;M Input'!$C$11</f>
        <v>55373.415490259773</v>
      </c>
      <c r="H51" s="121">
        <f>'STS Calculation Summary'!AC51*2000*'STS O&amp;M Input'!$C$12</f>
        <v>4109.988511808252</v>
      </c>
      <c r="I51" s="121">
        <f>'STS Calculation Summary'!AD51*'STS O&amp;M Input'!$C$18+'STS Calculation Summary'!AE51*'STS O&amp;M Input'!$C$17+'STS Calculation Summary'!AF51*'STS O&amp;M Input'!$C$13+'STS Calculation Summary'!AH51*'STS O&amp;M Input'!$C$15+'STS Calculation Summary'!AI51*'STS O&amp;M Input'!$C$16+'STS Calculation Summary'!AG51*'STS O&amp;M Input'!$C$14</f>
        <v>66107.414374382206</v>
      </c>
      <c r="J51" s="121">
        <f>'STS Analytical Costs'!P52</f>
        <v>18135</v>
      </c>
      <c r="K51" s="121">
        <f>'STS Calculation Summary'!AL51*$L$8</f>
        <v>40209.333428749589</v>
      </c>
      <c r="L51" s="122">
        <f t="shared" si="0"/>
        <v>1231921.1181038748</v>
      </c>
    </row>
    <row r="52" spans="1:12" x14ac:dyDescent="0.25">
      <c r="A52" s="120">
        <v>42</v>
      </c>
      <c r="B52" s="121">
        <v>0</v>
      </c>
      <c r="C52" s="121">
        <f>IF('STS Calculation Summary'!$V52&gt;150000,'STS Labor'!$B$39,'STS Labor'!$E$39)</f>
        <v>445274.96000000008</v>
      </c>
      <c r="D52" s="121">
        <f t="shared" si="3"/>
        <v>75850.465087773453</v>
      </c>
      <c r="E52" s="121">
        <f t="shared" si="4"/>
        <v>113775.69763166018</v>
      </c>
      <c r="F52" s="121">
        <f>'STS O&amp;M Input'!$C$10*'STS Calculation Summary'!Y52</f>
        <v>413084.84357924125</v>
      </c>
      <c r="G52" s="121">
        <f>'STS Calculation Summary'!AA52*2000*'STS O&amp;M Input'!$C$11</f>
        <v>55373.415490259773</v>
      </c>
      <c r="H52" s="121">
        <f>'STS Calculation Summary'!AC52*2000*'STS O&amp;M Input'!$C$12</f>
        <v>4109.988511808252</v>
      </c>
      <c r="I52" s="121">
        <f>'STS Calculation Summary'!AD52*'STS O&amp;M Input'!$C$18+'STS Calculation Summary'!AE52*'STS O&amp;M Input'!$C$17+'STS Calculation Summary'!AF52*'STS O&amp;M Input'!$C$13+'STS Calculation Summary'!AH52*'STS O&amp;M Input'!$C$15+'STS Calculation Summary'!AI52*'STS O&amp;M Input'!$C$16+'STS Calculation Summary'!AG52*'STS O&amp;M Input'!$C$14</f>
        <v>66107.414374382206</v>
      </c>
      <c r="J52" s="121">
        <f>'STS Analytical Costs'!P53</f>
        <v>18135</v>
      </c>
      <c r="K52" s="121">
        <f>'STS Calculation Summary'!AL52*$L$8</f>
        <v>40209.333428749589</v>
      </c>
      <c r="L52" s="122">
        <f t="shared" si="0"/>
        <v>1231921.1181038748</v>
      </c>
    </row>
    <row r="53" spans="1:12" x14ac:dyDescent="0.25">
      <c r="A53" s="120">
        <v>43</v>
      </c>
      <c r="B53" s="121">
        <v>0</v>
      </c>
      <c r="C53" s="121">
        <f>IF('STS Calculation Summary'!$V53&gt;150000,'STS Labor'!$B$39,'STS Labor'!$E$39)</f>
        <v>445274.96000000008</v>
      </c>
      <c r="D53" s="121">
        <f t="shared" si="3"/>
        <v>75850.465087773453</v>
      </c>
      <c r="E53" s="121">
        <f t="shared" si="4"/>
        <v>113775.69763166018</v>
      </c>
      <c r="F53" s="121">
        <f>'STS O&amp;M Input'!$C$10*'STS Calculation Summary'!Y53</f>
        <v>413084.84357924125</v>
      </c>
      <c r="G53" s="121">
        <f>'STS Calculation Summary'!AA53*2000*'STS O&amp;M Input'!$C$11</f>
        <v>55373.415490259773</v>
      </c>
      <c r="H53" s="121">
        <f>'STS Calculation Summary'!AC53*2000*'STS O&amp;M Input'!$C$12</f>
        <v>4109.988511808252</v>
      </c>
      <c r="I53" s="121">
        <f>'STS Calculation Summary'!AD53*'STS O&amp;M Input'!$C$18+'STS Calculation Summary'!AE53*'STS O&amp;M Input'!$C$17+'STS Calculation Summary'!AF53*'STS O&amp;M Input'!$C$13+'STS Calculation Summary'!AH53*'STS O&amp;M Input'!$C$15+'STS Calculation Summary'!AI53*'STS O&amp;M Input'!$C$16+'STS Calculation Summary'!AG53*'STS O&amp;M Input'!$C$14</f>
        <v>66107.414374382206</v>
      </c>
      <c r="J53" s="121">
        <f>'STS Analytical Costs'!P54</f>
        <v>18135</v>
      </c>
      <c r="K53" s="121">
        <f>'STS Calculation Summary'!AL53*$L$8</f>
        <v>40209.333428749589</v>
      </c>
      <c r="L53" s="122">
        <f t="shared" si="0"/>
        <v>1231921.1181038748</v>
      </c>
    </row>
    <row r="54" spans="1:12" x14ac:dyDescent="0.25">
      <c r="A54" s="120">
        <v>44</v>
      </c>
      <c r="B54" s="121">
        <v>0</v>
      </c>
      <c r="C54" s="121">
        <f>IF('STS Calculation Summary'!$V54&gt;150000,'STS Labor'!$B$39,'STS Labor'!$E$39)</f>
        <v>445274.96000000008</v>
      </c>
      <c r="D54" s="121">
        <f t="shared" si="3"/>
        <v>75850.465087773453</v>
      </c>
      <c r="E54" s="121">
        <f t="shared" si="4"/>
        <v>113775.69763166018</v>
      </c>
      <c r="F54" s="121">
        <f>'STS O&amp;M Input'!$C$10*'STS Calculation Summary'!Y54</f>
        <v>413084.84357924125</v>
      </c>
      <c r="G54" s="121">
        <f>'STS Calculation Summary'!AA54*2000*'STS O&amp;M Input'!$C$11</f>
        <v>55373.415490259773</v>
      </c>
      <c r="H54" s="121">
        <f>'STS Calculation Summary'!AC54*2000*'STS O&amp;M Input'!$C$12</f>
        <v>4109.988511808252</v>
      </c>
      <c r="I54" s="121">
        <f>'STS Calculation Summary'!AD54*'STS O&amp;M Input'!$C$18+'STS Calculation Summary'!AE54*'STS O&amp;M Input'!$C$17+'STS Calculation Summary'!AF54*'STS O&amp;M Input'!$C$13+'STS Calculation Summary'!AH54*'STS O&amp;M Input'!$C$15+'STS Calculation Summary'!AI54*'STS O&amp;M Input'!$C$16+'STS Calculation Summary'!AG54*'STS O&amp;M Input'!$C$14</f>
        <v>66107.414374382206</v>
      </c>
      <c r="J54" s="121">
        <f>'STS Analytical Costs'!P55</f>
        <v>18135</v>
      </c>
      <c r="K54" s="121">
        <f>'STS Calculation Summary'!AL54*$L$8</f>
        <v>40209.333428749589</v>
      </c>
      <c r="L54" s="122">
        <f t="shared" si="0"/>
        <v>1231921.1181038748</v>
      </c>
    </row>
    <row r="55" spans="1:12" x14ac:dyDescent="0.25">
      <c r="A55" s="120">
        <v>45</v>
      </c>
      <c r="B55" s="121">
        <v>0</v>
      </c>
      <c r="C55" s="121">
        <f>IF('STS Calculation Summary'!$V55&gt;150000,'STS Labor'!$B$39,'STS Labor'!$E$39)</f>
        <v>445274.96000000008</v>
      </c>
      <c r="D55" s="121">
        <f t="shared" si="3"/>
        <v>75850.465087773453</v>
      </c>
      <c r="E55" s="121">
        <f t="shared" si="4"/>
        <v>113775.69763166018</v>
      </c>
      <c r="F55" s="121">
        <f>'STS O&amp;M Input'!$C$10*'STS Calculation Summary'!Y55</f>
        <v>413084.84357924125</v>
      </c>
      <c r="G55" s="121">
        <f>'STS Calculation Summary'!AA55*2000*'STS O&amp;M Input'!$C$11</f>
        <v>55373.415490259773</v>
      </c>
      <c r="H55" s="121">
        <f>'STS Calculation Summary'!AC55*2000*'STS O&amp;M Input'!$C$12</f>
        <v>4109.988511808252</v>
      </c>
      <c r="I55" s="121">
        <f>'STS Calculation Summary'!AD55*'STS O&amp;M Input'!$C$18+'STS Calculation Summary'!AE55*'STS O&amp;M Input'!$C$17+'STS Calculation Summary'!AF55*'STS O&amp;M Input'!$C$13+'STS Calculation Summary'!AH55*'STS O&amp;M Input'!$C$15+'STS Calculation Summary'!AI55*'STS O&amp;M Input'!$C$16+'STS Calculation Summary'!AG55*'STS O&amp;M Input'!$C$14</f>
        <v>66107.414374382206</v>
      </c>
      <c r="J55" s="121">
        <f>'STS Analytical Costs'!P56</f>
        <v>18135</v>
      </c>
      <c r="K55" s="121">
        <f>'STS Calculation Summary'!AL55*$L$8</f>
        <v>40209.333428749589</v>
      </c>
      <c r="L55" s="122">
        <f t="shared" si="0"/>
        <v>1231921.1181038748</v>
      </c>
    </row>
    <row r="56" spans="1:12" x14ac:dyDescent="0.25">
      <c r="A56" s="120">
        <v>46</v>
      </c>
      <c r="B56" s="121">
        <v>0</v>
      </c>
      <c r="C56" s="121">
        <f>IF('STS Calculation Summary'!$V56&gt;150000,'STS Labor'!$B$39,'STS Labor'!$E$39)</f>
        <v>445274.96000000008</v>
      </c>
      <c r="D56" s="121">
        <f t="shared" si="3"/>
        <v>75850.465087773453</v>
      </c>
      <c r="E56" s="121">
        <f t="shared" si="4"/>
        <v>113775.69763166018</v>
      </c>
      <c r="F56" s="121">
        <f>'STS O&amp;M Input'!$C$10*'STS Calculation Summary'!Y56</f>
        <v>413084.84357924125</v>
      </c>
      <c r="G56" s="121">
        <f>'STS Calculation Summary'!AA56*2000*'STS O&amp;M Input'!$C$11</f>
        <v>55373.415490259773</v>
      </c>
      <c r="H56" s="121">
        <f>'STS Calculation Summary'!AC56*2000*'STS O&amp;M Input'!$C$12</f>
        <v>4109.988511808252</v>
      </c>
      <c r="I56" s="121">
        <f>'STS Calculation Summary'!AD56*'STS O&amp;M Input'!$C$18+'STS Calculation Summary'!AE56*'STS O&amp;M Input'!$C$17+'STS Calculation Summary'!AF56*'STS O&amp;M Input'!$C$13+'STS Calculation Summary'!AH56*'STS O&amp;M Input'!$C$15+'STS Calculation Summary'!AI56*'STS O&amp;M Input'!$C$16+'STS Calculation Summary'!AG56*'STS O&amp;M Input'!$C$14</f>
        <v>66107.414374382206</v>
      </c>
      <c r="J56" s="121">
        <f>'STS Analytical Costs'!P57</f>
        <v>18135</v>
      </c>
      <c r="K56" s="121">
        <f>'STS Calculation Summary'!AL56*$L$8</f>
        <v>40209.333428749589</v>
      </c>
      <c r="L56" s="122">
        <f t="shared" si="0"/>
        <v>1231921.1181038748</v>
      </c>
    </row>
    <row r="57" spans="1:12" x14ac:dyDescent="0.25">
      <c r="A57" s="120">
        <v>47</v>
      </c>
      <c r="B57" s="121">
        <v>0</v>
      </c>
      <c r="C57" s="121">
        <f>IF('STS Calculation Summary'!$V57&gt;150000,'STS Labor'!$B$39,'STS Labor'!$E$39)</f>
        <v>445274.96000000008</v>
      </c>
      <c r="D57" s="121">
        <f t="shared" si="3"/>
        <v>75850.465087773453</v>
      </c>
      <c r="E57" s="121">
        <f t="shared" si="4"/>
        <v>113775.69763166018</v>
      </c>
      <c r="F57" s="121">
        <f>'STS O&amp;M Input'!$C$10*'STS Calculation Summary'!Y57</f>
        <v>413084.84357924125</v>
      </c>
      <c r="G57" s="121">
        <f>'STS Calculation Summary'!AA57*2000*'STS O&amp;M Input'!$C$11</f>
        <v>55373.415490259773</v>
      </c>
      <c r="H57" s="121">
        <f>'STS Calculation Summary'!AC57*2000*'STS O&amp;M Input'!$C$12</f>
        <v>4109.988511808252</v>
      </c>
      <c r="I57" s="121">
        <f>'STS Calculation Summary'!AD57*'STS O&amp;M Input'!$C$18+'STS Calculation Summary'!AE57*'STS O&amp;M Input'!$C$17+'STS Calculation Summary'!AF57*'STS O&amp;M Input'!$C$13+'STS Calculation Summary'!AH57*'STS O&amp;M Input'!$C$15+'STS Calculation Summary'!AI57*'STS O&amp;M Input'!$C$16+'STS Calculation Summary'!AG57*'STS O&amp;M Input'!$C$14</f>
        <v>66107.414374382206</v>
      </c>
      <c r="J57" s="121">
        <f>'STS Analytical Costs'!P58</f>
        <v>18135</v>
      </c>
      <c r="K57" s="121">
        <f>'STS Calculation Summary'!AL57*$L$8</f>
        <v>40209.333428749589</v>
      </c>
      <c r="L57" s="122">
        <f t="shared" si="0"/>
        <v>1231921.1181038748</v>
      </c>
    </row>
    <row r="58" spans="1:12" x14ac:dyDescent="0.25">
      <c r="A58" s="120">
        <v>48</v>
      </c>
      <c r="B58" s="121">
        <v>0</v>
      </c>
      <c r="C58" s="121">
        <f>IF('STS Calculation Summary'!$V58&gt;150000,'STS Labor'!$B$39,'STS Labor'!$E$39)</f>
        <v>445274.96000000008</v>
      </c>
      <c r="D58" s="121">
        <f t="shared" si="3"/>
        <v>75850.465087773453</v>
      </c>
      <c r="E58" s="121">
        <f t="shared" si="4"/>
        <v>113775.69763166018</v>
      </c>
      <c r="F58" s="121">
        <f>'STS O&amp;M Input'!$C$10*'STS Calculation Summary'!Y58</f>
        <v>413084.84357924125</v>
      </c>
      <c r="G58" s="121">
        <f>'STS Calculation Summary'!AA58*2000*'STS O&amp;M Input'!$C$11</f>
        <v>55373.415490259773</v>
      </c>
      <c r="H58" s="121">
        <f>'STS Calculation Summary'!AC58*2000*'STS O&amp;M Input'!$C$12</f>
        <v>4109.988511808252</v>
      </c>
      <c r="I58" s="121">
        <f>'STS Calculation Summary'!AD58*'STS O&amp;M Input'!$C$18+'STS Calculation Summary'!AE58*'STS O&amp;M Input'!$C$17+'STS Calculation Summary'!AF58*'STS O&amp;M Input'!$C$13+'STS Calculation Summary'!AH58*'STS O&amp;M Input'!$C$15+'STS Calculation Summary'!AI58*'STS O&amp;M Input'!$C$16+'STS Calculation Summary'!AG58*'STS O&amp;M Input'!$C$14</f>
        <v>66107.414374382206</v>
      </c>
      <c r="J58" s="121">
        <f>'STS Analytical Costs'!P59</f>
        <v>18135</v>
      </c>
      <c r="K58" s="121">
        <f>'STS Calculation Summary'!AL58*$L$8</f>
        <v>40209.333428749589</v>
      </c>
      <c r="L58" s="122">
        <f t="shared" si="0"/>
        <v>1231921.1181038748</v>
      </c>
    </row>
    <row r="59" spans="1:12" x14ac:dyDescent="0.25">
      <c r="A59" s="120">
        <v>49</v>
      </c>
      <c r="B59" s="121">
        <v>0</v>
      </c>
      <c r="C59" s="121">
        <f>IF('STS Calculation Summary'!$V59&gt;150000,'STS Labor'!$B$39,'STS Labor'!$E$39)</f>
        <v>445274.96000000008</v>
      </c>
      <c r="D59" s="121">
        <f t="shared" si="3"/>
        <v>75850.465087773453</v>
      </c>
      <c r="E59" s="121">
        <f t="shared" si="4"/>
        <v>113775.69763166018</v>
      </c>
      <c r="F59" s="121">
        <f>'STS O&amp;M Input'!$C$10*'STS Calculation Summary'!Y59</f>
        <v>413084.84357924125</v>
      </c>
      <c r="G59" s="121">
        <f>'STS Calculation Summary'!AA59*2000*'STS O&amp;M Input'!$C$11</f>
        <v>55373.415490259773</v>
      </c>
      <c r="H59" s="121">
        <f>'STS Calculation Summary'!AC59*2000*'STS O&amp;M Input'!$C$12</f>
        <v>4109.988511808252</v>
      </c>
      <c r="I59" s="121">
        <f>'STS Calculation Summary'!AD59*'STS O&amp;M Input'!$C$18+'STS Calculation Summary'!AE59*'STS O&amp;M Input'!$C$17+'STS Calculation Summary'!AF59*'STS O&amp;M Input'!$C$13+'STS Calculation Summary'!AH59*'STS O&amp;M Input'!$C$15+'STS Calculation Summary'!AI59*'STS O&amp;M Input'!$C$16+'STS Calculation Summary'!AG59*'STS O&amp;M Input'!$C$14</f>
        <v>66107.414374382206</v>
      </c>
      <c r="J59" s="121">
        <f>'STS Analytical Costs'!P60</f>
        <v>18135</v>
      </c>
      <c r="K59" s="121">
        <f>'STS Calculation Summary'!AL59*$L$8</f>
        <v>40209.333428749589</v>
      </c>
      <c r="L59" s="122">
        <f t="shared" si="0"/>
        <v>1231921.1181038748</v>
      </c>
    </row>
    <row r="60" spans="1:12" x14ac:dyDescent="0.25">
      <c r="A60" s="120">
        <v>50</v>
      </c>
      <c r="B60" s="121">
        <v>0</v>
      </c>
      <c r="C60" s="121">
        <f>IF('STS Calculation Summary'!$V60&gt;150000,'STS Labor'!$B$39,'STS Labor'!$E$39)</f>
        <v>445274.96000000008</v>
      </c>
      <c r="D60" s="121">
        <f t="shared" si="3"/>
        <v>75850.465087773453</v>
      </c>
      <c r="E60" s="121">
        <f t="shared" si="4"/>
        <v>113775.69763166018</v>
      </c>
      <c r="F60" s="121">
        <f>'STS O&amp;M Input'!$C$10*'STS Calculation Summary'!Y60</f>
        <v>413084.83973810275</v>
      </c>
      <c r="G60" s="121">
        <f>'STS Calculation Summary'!AA60*2000*'STS O&amp;M Input'!$C$11</f>
        <v>55373.415204710524</v>
      </c>
      <c r="H60" s="121">
        <f>'STS Calculation Summary'!AC60*2000*'STS O&amp;M Input'!$C$12</f>
        <v>4109.988511808252</v>
      </c>
      <c r="I60" s="121">
        <f>'STS Calculation Summary'!AD60*'STS O&amp;M Input'!$C$18+'STS Calculation Summary'!AE60*'STS O&amp;M Input'!$C$17+'STS Calculation Summary'!AF60*'STS O&amp;M Input'!$C$13+'STS Calculation Summary'!AH60*'STS O&amp;M Input'!$C$15+'STS Calculation Summary'!AI60*'STS O&amp;M Input'!$C$16+'STS Calculation Summary'!AG60*'STS O&amp;M Input'!$C$14</f>
        <v>66107.414210329807</v>
      </c>
      <c r="J60" s="121">
        <f>'STS Analytical Costs'!P61</f>
        <v>18135</v>
      </c>
      <c r="K60" s="121">
        <f>'STS Calculation Summary'!AL60*$L$8</f>
        <v>40209.333312792573</v>
      </c>
      <c r="L60" s="122">
        <f t="shared" si="0"/>
        <v>1231921.1136971775</v>
      </c>
    </row>
    <row r="61" spans="1:12" x14ac:dyDescent="0.25">
      <c r="A61" s="120">
        <v>51</v>
      </c>
      <c r="B61" s="121">
        <v>0</v>
      </c>
      <c r="C61" s="121">
        <f>IF('STS Calculation Summary'!$V61&gt;150000,'STS Labor'!$B$39,'STS Labor'!$E$39)</f>
        <v>445274.96000000008</v>
      </c>
      <c r="D61" s="121">
        <f t="shared" si="3"/>
        <v>75850.465087773453</v>
      </c>
      <c r="E61" s="121">
        <f t="shared" si="4"/>
        <v>113775.69763166018</v>
      </c>
      <c r="F61" s="121">
        <f>'STS O&amp;M Input'!$C$10*'STS Calculation Summary'!Y61</f>
        <v>413084.84357924125</v>
      </c>
      <c r="G61" s="121">
        <f>'STS Calculation Summary'!AA61*2000*'STS O&amp;M Input'!$C$11</f>
        <v>55373.415490259773</v>
      </c>
      <c r="H61" s="121">
        <f>'STS Calculation Summary'!AC61*2000*'STS O&amp;M Input'!$C$12</f>
        <v>4109.988511808252</v>
      </c>
      <c r="I61" s="121">
        <f>'STS Calculation Summary'!AD61*'STS O&amp;M Input'!$C$18+'STS Calculation Summary'!AE61*'STS O&amp;M Input'!$C$17+'STS Calculation Summary'!AF61*'STS O&amp;M Input'!$C$13+'STS Calculation Summary'!AH61*'STS O&amp;M Input'!$C$15+'STS Calculation Summary'!AI61*'STS O&amp;M Input'!$C$16+'STS Calculation Summary'!AG61*'STS O&amp;M Input'!$C$14</f>
        <v>66107.414374382206</v>
      </c>
      <c r="J61" s="121">
        <f>'STS Analytical Costs'!P62</f>
        <v>18135</v>
      </c>
      <c r="K61" s="121">
        <f>'STS Calculation Summary'!AL61*$L$8</f>
        <v>40209.333428749589</v>
      </c>
      <c r="L61" s="122">
        <f t="shared" si="0"/>
        <v>1231921.1181038748</v>
      </c>
    </row>
    <row r="62" spans="1:12" x14ac:dyDescent="0.25">
      <c r="A62" s="120">
        <v>52</v>
      </c>
      <c r="B62" s="121">
        <v>0</v>
      </c>
      <c r="C62" s="121">
        <f>IF('STS Calculation Summary'!$V62&gt;150000,'STS Labor'!$B$39,'STS Labor'!$E$39)</f>
        <v>445274.96000000008</v>
      </c>
      <c r="D62" s="121">
        <f t="shared" si="3"/>
        <v>75850.465087773453</v>
      </c>
      <c r="E62" s="121">
        <f t="shared" si="4"/>
        <v>113775.69763166018</v>
      </c>
      <c r="F62" s="121">
        <f>'STS O&amp;M Input'!$C$10*'STS Calculation Summary'!Y62</f>
        <v>413084.84357924125</v>
      </c>
      <c r="G62" s="121">
        <f>'STS Calculation Summary'!AA62*2000*'STS O&amp;M Input'!$C$11</f>
        <v>55373.415490259773</v>
      </c>
      <c r="H62" s="121">
        <f>'STS Calculation Summary'!AC62*2000*'STS O&amp;M Input'!$C$12</f>
        <v>4109.988511808252</v>
      </c>
      <c r="I62" s="121">
        <f>'STS Calculation Summary'!AD62*'STS O&amp;M Input'!$C$18+'STS Calculation Summary'!AE62*'STS O&amp;M Input'!$C$17+'STS Calculation Summary'!AF62*'STS O&amp;M Input'!$C$13+'STS Calculation Summary'!AH62*'STS O&amp;M Input'!$C$15+'STS Calculation Summary'!AI62*'STS O&amp;M Input'!$C$16+'STS Calculation Summary'!AG62*'STS O&amp;M Input'!$C$14</f>
        <v>66107.414374382206</v>
      </c>
      <c r="J62" s="121">
        <f>'STS Analytical Costs'!P63</f>
        <v>18135</v>
      </c>
      <c r="K62" s="121">
        <f>'STS Calculation Summary'!AL62*$L$8</f>
        <v>40209.333428749589</v>
      </c>
      <c r="L62" s="122">
        <f t="shared" si="0"/>
        <v>1231921.1181038748</v>
      </c>
    </row>
    <row r="63" spans="1:12" x14ac:dyDescent="0.25">
      <c r="A63" s="120">
        <v>53</v>
      </c>
      <c r="B63" s="121">
        <v>0</v>
      </c>
      <c r="C63" s="121">
        <f>IF('STS Calculation Summary'!$V63&gt;150000,'STS Labor'!$B$39,'STS Labor'!$E$39)</f>
        <v>445274.96000000008</v>
      </c>
      <c r="D63" s="121">
        <f t="shared" si="3"/>
        <v>75850.465087773453</v>
      </c>
      <c r="E63" s="121">
        <f t="shared" si="4"/>
        <v>113775.69763166018</v>
      </c>
      <c r="F63" s="121">
        <f>'STS O&amp;M Input'!$C$10*'STS Calculation Summary'!Y63</f>
        <v>413084.84357924125</v>
      </c>
      <c r="G63" s="121">
        <f>'STS Calculation Summary'!AA63*2000*'STS O&amp;M Input'!$C$11</f>
        <v>55373.415490259773</v>
      </c>
      <c r="H63" s="121">
        <f>'STS Calculation Summary'!AC63*2000*'STS O&amp;M Input'!$C$12</f>
        <v>4109.988511808252</v>
      </c>
      <c r="I63" s="121">
        <f>'STS Calculation Summary'!AD63*'STS O&amp;M Input'!$C$18+'STS Calculation Summary'!AE63*'STS O&amp;M Input'!$C$17+'STS Calculation Summary'!AF63*'STS O&amp;M Input'!$C$13+'STS Calculation Summary'!AH63*'STS O&amp;M Input'!$C$15+'STS Calculation Summary'!AI63*'STS O&amp;M Input'!$C$16+'STS Calculation Summary'!AG63*'STS O&amp;M Input'!$C$14</f>
        <v>66107.414374382206</v>
      </c>
      <c r="J63" s="121">
        <f>'STS Analytical Costs'!P64</f>
        <v>18135</v>
      </c>
      <c r="K63" s="121">
        <f>'STS Calculation Summary'!AL63*$L$8</f>
        <v>40209.333428749589</v>
      </c>
      <c r="L63" s="122">
        <f t="shared" si="0"/>
        <v>1231921.1181038748</v>
      </c>
    </row>
    <row r="64" spans="1:12" x14ac:dyDescent="0.25">
      <c r="A64" s="120">
        <v>54</v>
      </c>
      <c r="B64" s="121">
        <v>0</v>
      </c>
      <c r="C64" s="121">
        <f>IF('STS Calculation Summary'!$V64&gt;150000,'STS Labor'!$B$39,'STS Labor'!$E$39)</f>
        <v>445274.96000000008</v>
      </c>
      <c r="D64" s="121">
        <f t="shared" si="3"/>
        <v>75850.465087773453</v>
      </c>
      <c r="E64" s="121">
        <f t="shared" si="4"/>
        <v>113775.69763166018</v>
      </c>
      <c r="F64" s="121">
        <f>'STS O&amp;M Input'!$C$10*'STS Calculation Summary'!Y64</f>
        <v>413084.84357924125</v>
      </c>
      <c r="G64" s="121">
        <f>'STS Calculation Summary'!AA64*2000*'STS O&amp;M Input'!$C$11</f>
        <v>55373.415490259773</v>
      </c>
      <c r="H64" s="121">
        <f>'STS Calculation Summary'!AC64*2000*'STS O&amp;M Input'!$C$12</f>
        <v>4109.988511808252</v>
      </c>
      <c r="I64" s="121">
        <f>'STS Calculation Summary'!AD64*'STS O&amp;M Input'!$C$18+'STS Calculation Summary'!AE64*'STS O&amp;M Input'!$C$17+'STS Calculation Summary'!AF64*'STS O&amp;M Input'!$C$13+'STS Calculation Summary'!AH64*'STS O&amp;M Input'!$C$15+'STS Calculation Summary'!AI64*'STS O&amp;M Input'!$C$16+'STS Calculation Summary'!AG64*'STS O&amp;M Input'!$C$14</f>
        <v>66107.414374382206</v>
      </c>
      <c r="J64" s="121">
        <f>'STS Analytical Costs'!P65</f>
        <v>18135</v>
      </c>
      <c r="K64" s="121">
        <f>'STS Calculation Summary'!AL64*$L$8</f>
        <v>40209.333428749589</v>
      </c>
      <c r="L64" s="122">
        <f t="shared" si="0"/>
        <v>1231921.1181038748</v>
      </c>
    </row>
    <row r="65" spans="1:12" x14ac:dyDescent="0.25">
      <c r="A65" s="120">
        <v>55</v>
      </c>
      <c r="B65" s="121">
        <v>0</v>
      </c>
      <c r="C65" s="121">
        <f>IF('STS Calculation Summary'!$V65&gt;150000,'STS Labor'!$B$39,'STS Labor'!$E$39)</f>
        <v>445274.96000000008</v>
      </c>
      <c r="D65" s="121">
        <f t="shared" si="3"/>
        <v>75850.465087773453</v>
      </c>
      <c r="E65" s="121">
        <f t="shared" si="4"/>
        <v>113775.69763166018</v>
      </c>
      <c r="F65" s="121">
        <f>'STS O&amp;M Input'!$C$10*'STS Calculation Summary'!Y65</f>
        <v>413084.83973810275</v>
      </c>
      <c r="G65" s="121">
        <f>'STS Calculation Summary'!AA65*2000*'STS O&amp;M Input'!$C$11</f>
        <v>55373.415204710524</v>
      </c>
      <c r="H65" s="121">
        <f>'STS Calculation Summary'!AC65*2000*'STS O&amp;M Input'!$C$12</f>
        <v>4109.988511808252</v>
      </c>
      <c r="I65" s="121">
        <f>'STS Calculation Summary'!AD65*'STS O&amp;M Input'!$C$18+'STS Calculation Summary'!AE65*'STS O&amp;M Input'!$C$17+'STS Calculation Summary'!AF65*'STS O&amp;M Input'!$C$13+'STS Calculation Summary'!AH65*'STS O&amp;M Input'!$C$15+'STS Calculation Summary'!AI65*'STS O&amp;M Input'!$C$16+'STS Calculation Summary'!AG65*'STS O&amp;M Input'!$C$14</f>
        <v>66107.414210329807</v>
      </c>
      <c r="J65" s="121">
        <f>'STS Analytical Costs'!P66</f>
        <v>18135</v>
      </c>
      <c r="K65" s="121">
        <f>'STS Calculation Summary'!AL65*$L$8</f>
        <v>40209.333312792573</v>
      </c>
      <c r="L65" s="122">
        <f t="shared" si="0"/>
        <v>1231921.1136971775</v>
      </c>
    </row>
    <row r="66" spans="1:12" x14ac:dyDescent="0.25">
      <c r="A66" s="120">
        <v>56</v>
      </c>
      <c r="B66" s="121">
        <v>0</v>
      </c>
      <c r="C66" s="121">
        <f>IF('STS Calculation Summary'!$V66&gt;150000,'STS Labor'!$B$39,'STS Labor'!$E$39)</f>
        <v>445274.96000000008</v>
      </c>
      <c r="D66" s="121">
        <f t="shared" si="3"/>
        <v>75850.465087773453</v>
      </c>
      <c r="E66" s="121">
        <f t="shared" si="4"/>
        <v>113775.69763166018</v>
      </c>
      <c r="F66" s="121">
        <f>'STS O&amp;M Input'!$C$10*'STS Calculation Summary'!Y66</f>
        <v>413084.84357924125</v>
      </c>
      <c r="G66" s="121">
        <f>'STS Calculation Summary'!AA66*2000*'STS O&amp;M Input'!$C$11</f>
        <v>55373.415490259773</v>
      </c>
      <c r="H66" s="121">
        <f>'STS Calculation Summary'!AC66*2000*'STS O&amp;M Input'!$C$12</f>
        <v>4109.988511808252</v>
      </c>
      <c r="I66" s="121">
        <f>'STS Calculation Summary'!AD66*'STS O&amp;M Input'!$C$18+'STS Calculation Summary'!AE66*'STS O&amp;M Input'!$C$17+'STS Calculation Summary'!AF66*'STS O&amp;M Input'!$C$13+'STS Calculation Summary'!AH66*'STS O&amp;M Input'!$C$15+'STS Calculation Summary'!AI66*'STS O&amp;M Input'!$C$16+'STS Calculation Summary'!AG66*'STS O&amp;M Input'!$C$14</f>
        <v>66107.414374382206</v>
      </c>
      <c r="J66" s="121">
        <f>'STS Analytical Costs'!P67</f>
        <v>18135</v>
      </c>
      <c r="K66" s="121">
        <f>'STS Calculation Summary'!AL66*$L$8</f>
        <v>40209.333428749589</v>
      </c>
      <c r="L66" s="122">
        <f t="shared" si="0"/>
        <v>1231921.1181038748</v>
      </c>
    </row>
    <row r="67" spans="1:12" x14ac:dyDescent="0.25">
      <c r="A67" s="120">
        <v>57</v>
      </c>
      <c r="B67" s="121">
        <v>0</v>
      </c>
      <c r="C67" s="121">
        <f>IF('STS Calculation Summary'!$V67&gt;150000,'STS Labor'!$B$39,'STS Labor'!$E$39)</f>
        <v>445274.96000000008</v>
      </c>
      <c r="D67" s="121">
        <f t="shared" si="3"/>
        <v>75850.465087773453</v>
      </c>
      <c r="E67" s="121">
        <f t="shared" si="4"/>
        <v>113775.69763166018</v>
      </c>
      <c r="F67" s="121">
        <f>'STS O&amp;M Input'!$C$10*'STS Calculation Summary'!Y67</f>
        <v>413084.84357924125</v>
      </c>
      <c r="G67" s="121">
        <f>'STS Calculation Summary'!AA67*2000*'STS O&amp;M Input'!$C$11</f>
        <v>55373.415490259773</v>
      </c>
      <c r="H67" s="121">
        <f>'STS Calculation Summary'!AC67*2000*'STS O&amp;M Input'!$C$12</f>
        <v>4109.988511808252</v>
      </c>
      <c r="I67" s="121">
        <f>'STS Calculation Summary'!AD67*'STS O&amp;M Input'!$C$18+'STS Calculation Summary'!AE67*'STS O&amp;M Input'!$C$17+'STS Calculation Summary'!AF67*'STS O&amp;M Input'!$C$13+'STS Calculation Summary'!AH67*'STS O&amp;M Input'!$C$15+'STS Calculation Summary'!AI67*'STS O&amp;M Input'!$C$16+'STS Calculation Summary'!AG67*'STS O&amp;M Input'!$C$14</f>
        <v>66107.414374382206</v>
      </c>
      <c r="J67" s="121">
        <f>'STS Analytical Costs'!P68</f>
        <v>18135</v>
      </c>
      <c r="K67" s="121">
        <f>'STS Calculation Summary'!AL67*$L$8</f>
        <v>40209.333428749589</v>
      </c>
      <c r="L67" s="122">
        <f t="shared" si="0"/>
        <v>1231921.1181038748</v>
      </c>
    </row>
    <row r="68" spans="1:12" x14ac:dyDescent="0.25">
      <c r="A68" s="120">
        <v>58</v>
      </c>
      <c r="B68" s="121">
        <v>0</v>
      </c>
      <c r="C68" s="121">
        <f>IF('STS Calculation Summary'!$V68&gt;150000,'STS Labor'!$B$39,'STS Labor'!$E$39)</f>
        <v>445274.96000000008</v>
      </c>
      <c r="D68" s="121">
        <f t="shared" si="3"/>
        <v>75850.465087773453</v>
      </c>
      <c r="E68" s="121">
        <f t="shared" si="4"/>
        <v>113775.69763166018</v>
      </c>
      <c r="F68" s="121">
        <f>'STS O&amp;M Input'!$C$10*'STS Calculation Summary'!Y68</f>
        <v>413084.84357924125</v>
      </c>
      <c r="G68" s="121">
        <f>'STS Calculation Summary'!AA68*2000*'STS O&amp;M Input'!$C$11</f>
        <v>55373.415490259773</v>
      </c>
      <c r="H68" s="121">
        <f>'STS Calculation Summary'!AC68*2000*'STS O&amp;M Input'!$C$12</f>
        <v>4109.988511808252</v>
      </c>
      <c r="I68" s="121">
        <f>'STS Calculation Summary'!AD68*'STS O&amp;M Input'!$C$18+'STS Calculation Summary'!AE68*'STS O&amp;M Input'!$C$17+'STS Calculation Summary'!AF68*'STS O&amp;M Input'!$C$13+'STS Calculation Summary'!AH68*'STS O&amp;M Input'!$C$15+'STS Calculation Summary'!AI68*'STS O&amp;M Input'!$C$16+'STS Calculation Summary'!AG68*'STS O&amp;M Input'!$C$14</f>
        <v>66107.414374382206</v>
      </c>
      <c r="J68" s="121">
        <f>'STS Analytical Costs'!P69</f>
        <v>18135</v>
      </c>
      <c r="K68" s="121">
        <f>'STS Calculation Summary'!AL68*$L$8</f>
        <v>40209.333428749589</v>
      </c>
      <c r="L68" s="122">
        <f t="shared" si="0"/>
        <v>1231921.1181038748</v>
      </c>
    </row>
    <row r="69" spans="1:12" x14ac:dyDescent="0.25">
      <c r="A69" s="120">
        <v>59</v>
      </c>
      <c r="B69" s="121">
        <v>0</v>
      </c>
      <c r="C69" s="121">
        <f>IF('STS Calculation Summary'!$V69&gt;150000,'STS Labor'!$B$39,'STS Labor'!$E$39)</f>
        <v>445274.96000000008</v>
      </c>
      <c r="D69" s="121">
        <f t="shared" si="3"/>
        <v>75850.465087773453</v>
      </c>
      <c r="E69" s="121">
        <f t="shared" si="4"/>
        <v>113775.69763166018</v>
      </c>
      <c r="F69" s="121">
        <f>'STS O&amp;M Input'!$C$10*'STS Calculation Summary'!Y69</f>
        <v>413084.84357924125</v>
      </c>
      <c r="G69" s="121">
        <f>'STS Calculation Summary'!AA69*2000*'STS O&amp;M Input'!$C$11</f>
        <v>55373.415490259773</v>
      </c>
      <c r="H69" s="121">
        <f>'STS Calculation Summary'!AC69*2000*'STS O&amp;M Input'!$C$12</f>
        <v>4109.988511808252</v>
      </c>
      <c r="I69" s="121">
        <f>'STS Calculation Summary'!AD69*'STS O&amp;M Input'!$C$18+'STS Calculation Summary'!AE69*'STS O&amp;M Input'!$C$17+'STS Calculation Summary'!AF69*'STS O&amp;M Input'!$C$13+'STS Calculation Summary'!AH69*'STS O&amp;M Input'!$C$15+'STS Calculation Summary'!AI69*'STS O&amp;M Input'!$C$16+'STS Calculation Summary'!AG69*'STS O&amp;M Input'!$C$14</f>
        <v>66107.414374382206</v>
      </c>
      <c r="J69" s="121">
        <f>'STS Analytical Costs'!P70</f>
        <v>18135</v>
      </c>
      <c r="K69" s="121">
        <f>'STS Calculation Summary'!AL69*$L$8</f>
        <v>40209.333428749589</v>
      </c>
      <c r="L69" s="122">
        <f t="shared" si="0"/>
        <v>1231921.1181038748</v>
      </c>
    </row>
    <row r="70" spans="1:12" x14ac:dyDescent="0.25">
      <c r="A70" s="120">
        <v>60</v>
      </c>
      <c r="B70" s="121">
        <v>0</v>
      </c>
      <c r="C70" s="121">
        <f>IF('STS Calculation Summary'!$V70&gt;150000,'STS Labor'!$B$39,'STS Labor'!$E$39)</f>
        <v>445274.96000000008</v>
      </c>
      <c r="D70" s="121">
        <f t="shared" si="3"/>
        <v>75850.465087773453</v>
      </c>
      <c r="E70" s="121">
        <f t="shared" si="4"/>
        <v>113775.69763166018</v>
      </c>
      <c r="F70" s="121">
        <f>'STS O&amp;M Input'!$C$10*'STS Calculation Summary'!Y70</f>
        <v>413084.84357924125</v>
      </c>
      <c r="G70" s="121">
        <f>'STS Calculation Summary'!AA70*2000*'STS O&amp;M Input'!$C$11</f>
        <v>55373.415490259773</v>
      </c>
      <c r="H70" s="121">
        <f>'STS Calculation Summary'!AC70*2000*'STS O&amp;M Input'!$C$12</f>
        <v>4109.988511808252</v>
      </c>
      <c r="I70" s="121">
        <f>'STS Calculation Summary'!AD70*'STS O&amp;M Input'!$C$18+'STS Calculation Summary'!AE70*'STS O&amp;M Input'!$C$17+'STS Calculation Summary'!AF70*'STS O&amp;M Input'!$C$13+'STS Calculation Summary'!AH70*'STS O&amp;M Input'!$C$15+'STS Calculation Summary'!AI70*'STS O&amp;M Input'!$C$16+'STS Calculation Summary'!AG70*'STS O&amp;M Input'!$C$14</f>
        <v>66107.414374382206</v>
      </c>
      <c r="J70" s="121">
        <f>'STS Analytical Costs'!P71</f>
        <v>18135</v>
      </c>
      <c r="K70" s="121">
        <f>'STS Calculation Summary'!AL70*$L$8</f>
        <v>40209.333428749589</v>
      </c>
      <c r="L70" s="122">
        <f t="shared" si="0"/>
        <v>1231921.1181038748</v>
      </c>
    </row>
    <row r="71" spans="1:12" x14ac:dyDescent="0.25">
      <c r="A71" s="120">
        <v>61</v>
      </c>
      <c r="B71" s="121">
        <v>0</v>
      </c>
      <c r="C71" s="121">
        <f>IF('STS Calculation Summary'!$V71&gt;150000,'STS Labor'!$B$39,'STS Labor'!$E$39)</f>
        <v>445274.96000000008</v>
      </c>
      <c r="D71" s="121">
        <f t="shared" si="3"/>
        <v>75850.465087773453</v>
      </c>
      <c r="E71" s="121">
        <f t="shared" si="4"/>
        <v>113775.69763166018</v>
      </c>
      <c r="F71" s="121">
        <f>'STS O&amp;M Input'!$C$10*'STS Calculation Summary'!Y71</f>
        <v>413084.84357924125</v>
      </c>
      <c r="G71" s="121">
        <f>'STS Calculation Summary'!AA71*2000*'STS O&amp;M Input'!$C$11</f>
        <v>55373.415490259773</v>
      </c>
      <c r="H71" s="121">
        <f>'STS Calculation Summary'!AC71*2000*'STS O&amp;M Input'!$C$12</f>
        <v>4109.988511808252</v>
      </c>
      <c r="I71" s="121">
        <f>'STS Calculation Summary'!AD71*'STS O&amp;M Input'!$C$18+'STS Calculation Summary'!AE71*'STS O&amp;M Input'!$C$17+'STS Calculation Summary'!AF71*'STS O&amp;M Input'!$C$13+'STS Calculation Summary'!AH71*'STS O&amp;M Input'!$C$15+'STS Calculation Summary'!AI71*'STS O&amp;M Input'!$C$16+'STS Calculation Summary'!AG71*'STS O&amp;M Input'!$C$14</f>
        <v>66107.414374382206</v>
      </c>
      <c r="J71" s="121">
        <f>'STS Analytical Costs'!P72</f>
        <v>18135</v>
      </c>
      <c r="K71" s="121">
        <f>'STS Calculation Summary'!AL71*$L$8</f>
        <v>40209.333428749589</v>
      </c>
      <c r="L71" s="122">
        <f t="shared" si="0"/>
        <v>1231921.1181038748</v>
      </c>
    </row>
    <row r="72" spans="1:12" x14ac:dyDescent="0.25">
      <c r="A72" s="120">
        <v>62</v>
      </c>
      <c r="B72" s="121">
        <v>0</v>
      </c>
      <c r="C72" s="121">
        <f>IF('STS Calculation Summary'!$V72&gt;150000,'STS Labor'!$B$39,'STS Labor'!$E$39)</f>
        <v>445274.96000000008</v>
      </c>
      <c r="D72" s="121">
        <f t="shared" si="3"/>
        <v>75850.465087773453</v>
      </c>
      <c r="E72" s="121">
        <f t="shared" si="4"/>
        <v>113775.69763166018</v>
      </c>
      <c r="F72" s="121">
        <f>'STS O&amp;M Input'!$C$10*'STS Calculation Summary'!Y72</f>
        <v>413084.84357924125</v>
      </c>
      <c r="G72" s="121">
        <f>'STS Calculation Summary'!AA72*2000*'STS O&amp;M Input'!$C$11</f>
        <v>55373.415490259773</v>
      </c>
      <c r="H72" s="121">
        <f>'STS Calculation Summary'!AC72*2000*'STS O&amp;M Input'!$C$12</f>
        <v>4109.988511808252</v>
      </c>
      <c r="I72" s="121">
        <f>'STS Calculation Summary'!AD72*'STS O&amp;M Input'!$C$18+'STS Calculation Summary'!AE72*'STS O&amp;M Input'!$C$17+'STS Calculation Summary'!AF72*'STS O&amp;M Input'!$C$13+'STS Calculation Summary'!AH72*'STS O&amp;M Input'!$C$15+'STS Calculation Summary'!AI72*'STS O&amp;M Input'!$C$16+'STS Calculation Summary'!AG72*'STS O&amp;M Input'!$C$14</f>
        <v>66107.414374382206</v>
      </c>
      <c r="J72" s="121">
        <f>'STS Analytical Costs'!P73</f>
        <v>18135</v>
      </c>
      <c r="K72" s="121">
        <f>'STS Calculation Summary'!AL72*$L$8</f>
        <v>40209.333428749589</v>
      </c>
      <c r="L72" s="122">
        <f t="shared" si="0"/>
        <v>1231921.1181038748</v>
      </c>
    </row>
    <row r="73" spans="1:12" x14ac:dyDescent="0.25">
      <c r="A73" s="120">
        <v>63</v>
      </c>
      <c r="B73" s="121">
        <v>0</v>
      </c>
      <c r="C73" s="121">
        <f>IF('STS Calculation Summary'!$V73&gt;150000,'STS Labor'!$B$39,'STS Labor'!$E$39)</f>
        <v>445274.96000000008</v>
      </c>
      <c r="D73" s="121">
        <f t="shared" si="3"/>
        <v>75850.465087773453</v>
      </c>
      <c r="E73" s="121">
        <f t="shared" si="4"/>
        <v>113775.69763166018</v>
      </c>
      <c r="F73" s="121">
        <f>'STS O&amp;M Input'!$C$10*'STS Calculation Summary'!Y73</f>
        <v>413084.84357924125</v>
      </c>
      <c r="G73" s="121">
        <f>'STS Calculation Summary'!AA73*2000*'STS O&amp;M Input'!$C$11</f>
        <v>55373.415490259773</v>
      </c>
      <c r="H73" s="121">
        <f>'STS Calculation Summary'!AC73*2000*'STS O&amp;M Input'!$C$12</f>
        <v>4109.988511808252</v>
      </c>
      <c r="I73" s="121">
        <f>'STS Calculation Summary'!AD73*'STS O&amp;M Input'!$C$18+'STS Calculation Summary'!AE73*'STS O&amp;M Input'!$C$17+'STS Calculation Summary'!AF73*'STS O&amp;M Input'!$C$13+'STS Calculation Summary'!AH73*'STS O&amp;M Input'!$C$15+'STS Calculation Summary'!AI73*'STS O&amp;M Input'!$C$16+'STS Calculation Summary'!AG73*'STS O&amp;M Input'!$C$14</f>
        <v>66107.414374382206</v>
      </c>
      <c r="J73" s="121">
        <f>'STS Analytical Costs'!P74</f>
        <v>18135</v>
      </c>
      <c r="K73" s="121">
        <f>'STS Calculation Summary'!AL73*$L$8</f>
        <v>40209.333428749589</v>
      </c>
      <c r="L73" s="122">
        <f t="shared" si="0"/>
        <v>1231921.1181038748</v>
      </c>
    </row>
    <row r="74" spans="1:12" x14ac:dyDescent="0.25">
      <c r="A74" s="120">
        <v>64</v>
      </c>
      <c r="B74" s="121">
        <v>0</v>
      </c>
      <c r="C74" s="121">
        <f>IF('STS Calculation Summary'!$V74&gt;150000,'STS Labor'!$B$39,'STS Labor'!$E$39)</f>
        <v>445274.96000000008</v>
      </c>
      <c r="D74" s="121">
        <f t="shared" si="3"/>
        <v>75850.465087773453</v>
      </c>
      <c r="E74" s="121">
        <f t="shared" si="4"/>
        <v>113775.69763166018</v>
      </c>
      <c r="F74" s="121">
        <f>'STS O&amp;M Input'!$C$10*'STS Calculation Summary'!Y74</f>
        <v>413084.84357924125</v>
      </c>
      <c r="G74" s="121">
        <f>'STS Calculation Summary'!AA74*2000*'STS O&amp;M Input'!$C$11</f>
        <v>55373.415490259773</v>
      </c>
      <c r="H74" s="121">
        <f>'STS Calculation Summary'!AC74*2000*'STS O&amp;M Input'!$C$12</f>
        <v>4109.988511808252</v>
      </c>
      <c r="I74" s="121">
        <f>'STS Calculation Summary'!AD74*'STS O&amp;M Input'!$C$18+'STS Calculation Summary'!AE74*'STS O&amp;M Input'!$C$17+'STS Calculation Summary'!AF74*'STS O&amp;M Input'!$C$13+'STS Calculation Summary'!AH74*'STS O&amp;M Input'!$C$15+'STS Calculation Summary'!AI74*'STS O&amp;M Input'!$C$16+'STS Calculation Summary'!AG74*'STS O&amp;M Input'!$C$14</f>
        <v>66107.414374382206</v>
      </c>
      <c r="J74" s="121">
        <f>'STS Analytical Costs'!P75</f>
        <v>18135</v>
      </c>
      <c r="K74" s="121">
        <f>'STS Calculation Summary'!AL74*$L$8</f>
        <v>40209.333428749589</v>
      </c>
      <c r="L74" s="122">
        <f t="shared" si="0"/>
        <v>1231921.1181038748</v>
      </c>
    </row>
    <row r="75" spans="1:12" x14ac:dyDescent="0.25">
      <c r="A75" s="120">
        <v>65</v>
      </c>
      <c r="B75" s="121">
        <v>0</v>
      </c>
      <c r="C75" s="121">
        <f>IF('STS Calculation Summary'!$V75&gt;150000,'STS Labor'!$B$39,'STS Labor'!$E$39)</f>
        <v>445274.96000000008</v>
      </c>
      <c r="D75" s="121">
        <f t="shared" si="3"/>
        <v>75850.465087773453</v>
      </c>
      <c r="E75" s="121">
        <f t="shared" si="4"/>
        <v>113775.69763166018</v>
      </c>
      <c r="F75" s="121">
        <f>'STS O&amp;M Input'!$C$10*'STS Calculation Summary'!Y75</f>
        <v>413084.83973810275</v>
      </c>
      <c r="G75" s="121">
        <f>'STS Calculation Summary'!AA75*2000*'STS O&amp;M Input'!$C$11</f>
        <v>55373.415204710524</v>
      </c>
      <c r="H75" s="121">
        <f>'STS Calculation Summary'!AC75*2000*'STS O&amp;M Input'!$C$12</f>
        <v>4109.988511808252</v>
      </c>
      <c r="I75" s="121">
        <f>'STS Calculation Summary'!AD75*'STS O&amp;M Input'!$C$18+'STS Calculation Summary'!AE75*'STS O&amp;M Input'!$C$17+'STS Calculation Summary'!AF75*'STS O&amp;M Input'!$C$13+'STS Calculation Summary'!AH75*'STS O&amp;M Input'!$C$15+'STS Calculation Summary'!AI75*'STS O&amp;M Input'!$C$16+'STS Calculation Summary'!AG75*'STS O&amp;M Input'!$C$14</f>
        <v>66107.414210329807</v>
      </c>
      <c r="J75" s="121">
        <f>'STS Analytical Costs'!P76</f>
        <v>18135</v>
      </c>
      <c r="K75" s="121">
        <f>'STS Calculation Summary'!AL75*$L$8</f>
        <v>40209.333312792573</v>
      </c>
      <c r="L75" s="122">
        <f t="shared" si="0"/>
        <v>1231921.1136971775</v>
      </c>
    </row>
    <row r="76" spans="1:12" x14ac:dyDescent="0.25">
      <c r="A76" s="120">
        <v>66</v>
      </c>
      <c r="B76" s="121">
        <v>0</v>
      </c>
      <c r="C76" s="121">
        <f>IF('STS Calculation Summary'!$V76&gt;150000,'STS Labor'!$B$39,'STS Labor'!$E$39)</f>
        <v>445274.96000000008</v>
      </c>
      <c r="D76" s="121">
        <f t="shared" si="3"/>
        <v>75850.465087773453</v>
      </c>
      <c r="E76" s="121">
        <f t="shared" si="4"/>
        <v>113775.69763166018</v>
      </c>
      <c r="F76" s="121">
        <f>'STS O&amp;M Input'!$C$10*'STS Calculation Summary'!Y76</f>
        <v>413084.84357924125</v>
      </c>
      <c r="G76" s="121">
        <f>'STS Calculation Summary'!AA76*2000*'STS O&amp;M Input'!$C$11</f>
        <v>55373.415490259773</v>
      </c>
      <c r="H76" s="121">
        <f>'STS Calculation Summary'!AC76*2000*'STS O&amp;M Input'!$C$12</f>
        <v>4109.988511808252</v>
      </c>
      <c r="I76" s="121">
        <f>'STS Calculation Summary'!AD76*'STS O&amp;M Input'!$C$18+'STS Calculation Summary'!AE76*'STS O&amp;M Input'!$C$17+'STS Calculation Summary'!AF76*'STS O&amp;M Input'!$C$13+'STS Calculation Summary'!AH76*'STS O&amp;M Input'!$C$15+'STS Calculation Summary'!AI76*'STS O&amp;M Input'!$C$16+'STS Calculation Summary'!AG76*'STS O&amp;M Input'!$C$14</f>
        <v>66107.414374382206</v>
      </c>
      <c r="J76" s="121">
        <f>'STS Analytical Costs'!P77</f>
        <v>18135</v>
      </c>
      <c r="K76" s="121">
        <f>'STS Calculation Summary'!AL76*$L$8</f>
        <v>40209.333428749589</v>
      </c>
      <c r="L76" s="122">
        <f t="shared" ref="L76:L110" si="5">SUM(B76:K76)</f>
        <v>1231921.1181038748</v>
      </c>
    </row>
    <row r="77" spans="1:12" x14ac:dyDescent="0.25">
      <c r="A77" s="120">
        <v>67</v>
      </c>
      <c r="B77" s="121">
        <v>0</v>
      </c>
      <c r="C77" s="121">
        <f>IF('STS Calculation Summary'!$V77&gt;150000,'STS Labor'!$B$39,'STS Labor'!$E$39)</f>
        <v>445274.96000000008</v>
      </c>
      <c r="D77" s="121">
        <f t="shared" si="3"/>
        <v>75850.465087773453</v>
      </c>
      <c r="E77" s="121">
        <f t="shared" si="4"/>
        <v>113775.69763166018</v>
      </c>
      <c r="F77" s="121">
        <f>'STS O&amp;M Input'!$C$10*'STS Calculation Summary'!Y77</f>
        <v>413084.84357924125</v>
      </c>
      <c r="G77" s="121">
        <f>'STS Calculation Summary'!AA77*2000*'STS O&amp;M Input'!$C$11</f>
        <v>55373.415490259773</v>
      </c>
      <c r="H77" s="121">
        <f>'STS Calculation Summary'!AC77*2000*'STS O&amp;M Input'!$C$12</f>
        <v>4109.988511808252</v>
      </c>
      <c r="I77" s="121">
        <f>'STS Calculation Summary'!AD77*'STS O&amp;M Input'!$C$18+'STS Calculation Summary'!AE77*'STS O&amp;M Input'!$C$17+'STS Calculation Summary'!AF77*'STS O&amp;M Input'!$C$13+'STS Calculation Summary'!AH77*'STS O&amp;M Input'!$C$15+'STS Calculation Summary'!AI77*'STS O&amp;M Input'!$C$16+'STS Calculation Summary'!AG77*'STS O&amp;M Input'!$C$14</f>
        <v>66107.414374382206</v>
      </c>
      <c r="J77" s="121">
        <f>'STS Analytical Costs'!P78</f>
        <v>18135</v>
      </c>
      <c r="K77" s="121">
        <f>'STS Calculation Summary'!AL77*$L$8</f>
        <v>40209.333428749589</v>
      </c>
      <c r="L77" s="122">
        <f t="shared" si="5"/>
        <v>1231921.1181038748</v>
      </c>
    </row>
    <row r="78" spans="1:12" x14ac:dyDescent="0.25">
      <c r="A78" s="120">
        <v>68</v>
      </c>
      <c r="B78" s="121">
        <v>0</v>
      </c>
      <c r="C78" s="121">
        <f>IF('STS Calculation Summary'!$V78&gt;150000,'STS Labor'!$B$39,'STS Labor'!$E$39)</f>
        <v>445274.96000000008</v>
      </c>
      <c r="D78" s="121">
        <f t="shared" si="3"/>
        <v>75850.465087773453</v>
      </c>
      <c r="E78" s="121">
        <f t="shared" si="4"/>
        <v>113775.69763166018</v>
      </c>
      <c r="F78" s="121">
        <f>'STS O&amp;M Input'!$C$10*'STS Calculation Summary'!Y78</f>
        <v>413084.84357924125</v>
      </c>
      <c r="G78" s="121">
        <f>'STS Calculation Summary'!AA78*2000*'STS O&amp;M Input'!$C$11</f>
        <v>55373.415490259773</v>
      </c>
      <c r="H78" s="121">
        <f>'STS Calculation Summary'!AC78*2000*'STS O&amp;M Input'!$C$12</f>
        <v>4109.988511808252</v>
      </c>
      <c r="I78" s="121">
        <f>'STS Calculation Summary'!AD78*'STS O&amp;M Input'!$C$18+'STS Calculation Summary'!AE78*'STS O&amp;M Input'!$C$17+'STS Calculation Summary'!AF78*'STS O&amp;M Input'!$C$13+'STS Calculation Summary'!AH78*'STS O&amp;M Input'!$C$15+'STS Calculation Summary'!AI78*'STS O&amp;M Input'!$C$16+'STS Calculation Summary'!AG78*'STS O&amp;M Input'!$C$14</f>
        <v>66107.414374382206</v>
      </c>
      <c r="J78" s="121">
        <f>'STS Analytical Costs'!P79</f>
        <v>18135</v>
      </c>
      <c r="K78" s="121">
        <f>'STS Calculation Summary'!AL78*$L$8</f>
        <v>40209.333428749589</v>
      </c>
      <c r="L78" s="122">
        <f t="shared" si="5"/>
        <v>1231921.1181038748</v>
      </c>
    </row>
    <row r="79" spans="1:12" x14ac:dyDescent="0.25">
      <c r="A79" s="120">
        <v>69</v>
      </c>
      <c r="B79" s="121">
        <v>0</v>
      </c>
      <c r="C79" s="121">
        <f>IF('STS Calculation Summary'!$V79&gt;150000,'STS Labor'!$B$39,'STS Labor'!$E$39)</f>
        <v>445274.96000000008</v>
      </c>
      <c r="D79" s="121">
        <f t="shared" si="3"/>
        <v>75850.465087773453</v>
      </c>
      <c r="E79" s="121">
        <f t="shared" si="4"/>
        <v>113775.69763166018</v>
      </c>
      <c r="F79" s="121">
        <f>'STS O&amp;M Input'!$C$10*'STS Calculation Summary'!Y79</f>
        <v>413084.84357924125</v>
      </c>
      <c r="G79" s="121">
        <f>'STS Calculation Summary'!AA79*2000*'STS O&amp;M Input'!$C$11</f>
        <v>55373.415490259773</v>
      </c>
      <c r="H79" s="121">
        <f>'STS Calculation Summary'!AC79*2000*'STS O&amp;M Input'!$C$12</f>
        <v>4109.988511808252</v>
      </c>
      <c r="I79" s="121">
        <f>'STS Calculation Summary'!AD79*'STS O&amp;M Input'!$C$18+'STS Calculation Summary'!AE79*'STS O&amp;M Input'!$C$17+'STS Calculation Summary'!AF79*'STS O&amp;M Input'!$C$13+'STS Calculation Summary'!AH79*'STS O&amp;M Input'!$C$15+'STS Calculation Summary'!AI79*'STS O&amp;M Input'!$C$16+'STS Calculation Summary'!AG79*'STS O&amp;M Input'!$C$14</f>
        <v>66107.414374382206</v>
      </c>
      <c r="J79" s="121">
        <f>'STS Analytical Costs'!P80</f>
        <v>18135</v>
      </c>
      <c r="K79" s="121">
        <f>'STS Calculation Summary'!AL79*$L$8</f>
        <v>40209.333428749589</v>
      </c>
      <c r="L79" s="122">
        <f t="shared" si="5"/>
        <v>1231921.1181038748</v>
      </c>
    </row>
    <row r="80" spans="1:12" x14ac:dyDescent="0.25">
      <c r="A80" s="120">
        <v>70</v>
      </c>
      <c r="B80" s="121">
        <v>0</v>
      </c>
      <c r="C80" s="121">
        <f>IF('STS Calculation Summary'!$V80&gt;150000,'STS Labor'!$B$39,'STS Labor'!$E$39)</f>
        <v>445274.96000000008</v>
      </c>
      <c r="D80" s="121">
        <f t="shared" ref="D80:D110" si="6">$L$4*$L$5</f>
        <v>75850.465087773453</v>
      </c>
      <c r="E80" s="121">
        <f t="shared" ref="E80:E110" si="7">$L$4*$L$6</f>
        <v>113775.69763166018</v>
      </c>
      <c r="F80" s="121">
        <f>'STS O&amp;M Input'!$C$10*'STS Calculation Summary'!Y80</f>
        <v>413084.84357924125</v>
      </c>
      <c r="G80" s="121">
        <f>'STS Calculation Summary'!AA80*2000*'STS O&amp;M Input'!$C$11</f>
        <v>55373.415490259773</v>
      </c>
      <c r="H80" s="121">
        <f>'STS Calculation Summary'!AC80*2000*'STS O&amp;M Input'!$C$12</f>
        <v>4109.988511808252</v>
      </c>
      <c r="I80" s="121">
        <f>'STS Calculation Summary'!AD80*'STS O&amp;M Input'!$C$18+'STS Calculation Summary'!AE80*'STS O&amp;M Input'!$C$17+'STS Calculation Summary'!AF80*'STS O&amp;M Input'!$C$13+'STS Calculation Summary'!AH80*'STS O&amp;M Input'!$C$15+'STS Calculation Summary'!AI80*'STS O&amp;M Input'!$C$16+'STS Calculation Summary'!AG80*'STS O&amp;M Input'!$C$14</f>
        <v>66107.414374382206</v>
      </c>
      <c r="J80" s="121">
        <f>'STS Analytical Costs'!P81</f>
        <v>18135</v>
      </c>
      <c r="K80" s="121">
        <f>'STS Calculation Summary'!AL80*$L$8</f>
        <v>40209.333428749589</v>
      </c>
      <c r="L80" s="122">
        <f t="shared" si="5"/>
        <v>1231921.1181038748</v>
      </c>
    </row>
    <row r="81" spans="1:12" x14ac:dyDescent="0.25">
      <c r="A81" s="120">
        <v>71</v>
      </c>
      <c r="B81" s="121">
        <v>0</v>
      </c>
      <c r="C81" s="121">
        <f>IF('STS Calculation Summary'!$V81&gt;150000,'STS Labor'!$B$39,'STS Labor'!$E$39)</f>
        <v>445274.96000000008</v>
      </c>
      <c r="D81" s="121">
        <f t="shared" si="6"/>
        <v>75850.465087773453</v>
      </c>
      <c r="E81" s="121">
        <f t="shared" si="7"/>
        <v>113775.69763166018</v>
      </c>
      <c r="F81" s="121">
        <f>'STS O&amp;M Input'!$C$10*'STS Calculation Summary'!Y81</f>
        <v>413084.84357924125</v>
      </c>
      <c r="G81" s="121">
        <f>'STS Calculation Summary'!AA81*2000*'STS O&amp;M Input'!$C$11</f>
        <v>55373.415490259773</v>
      </c>
      <c r="H81" s="121">
        <f>'STS Calculation Summary'!AC81*2000*'STS O&amp;M Input'!$C$12</f>
        <v>4109.988511808252</v>
      </c>
      <c r="I81" s="121">
        <f>'STS Calculation Summary'!AD81*'STS O&amp;M Input'!$C$18+'STS Calculation Summary'!AE81*'STS O&amp;M Input'!$C$17+'STS Calculation Summary'!AF81*'STS O&amp;M Input'!$C$13+'STS Calculation Summary'!AH81*'STS O&amp;M Input'!$C$15+'STS Calculation Summary'!AI81*'STS O&amp;M Input'!$C$16+'STS Calculation Summary'!AG81*'STS O&amp;M Input'!$C$14</f>
        <v>66107.414374382206</v>
      </c>
      <c r="J81" s="121">
        <f>'STS Analytical Costs'!P82</f>
        <v>18135</v>
      </c>
      <c r="K81" s="121">
        <f>'STS Calculation Summary'!AL81*$L$8</f>
        <v>40209.333428749589</v>
      </c>
      <c r="L81" s="122">
        <f t="shared" si="5"/>
        <v>1231921.1181038748</v>
      </c>
    </row>
    <row r="82" spans="1:12" x14ac:dyDescent="0.25">
      <c r="A82" s="120">
        <v>72</v>
      </c>
      <c r="B82" s="121">
        <v>0</v>
      </c>
      <c r="C82" s="121">
        <f>IF('STS Calculation Summary'!$V82&gt;150000,'STS Labor'!$B$39,'STS Labor'!$E$39)</f>
        <v>445274.96000000008</v>
      </c>
      <c r="D82" s="121">
        <f t="shared" si="6"/>
        <v>75850.465087773453</v>
      </c>
      <c r="E82" s="121">
        <f t="shared" si="7"/>
        <v>113775.69763166018</v>
      </c>
      <c r="F82" s="121">
        <f>'STS O&amp;M Input'!$C$10*'STS Calculation Summary'!Y82</f>
        <v>413084.84357924125</v>
      </c>
      <c r="G82" s="121">
        <f>'STS Calculation Summary'!AA82*2000*'STS O&amp;M Input'!$C$11</f>
        <v>55373.415490259773</v>
      </c>
      <c r="H82" s="121">
        <f>'STS Calculation Summary'!AC82*2000*'STS O&amp;M Input'!$C$12</f>
        <v>4109.988511808252</v>
      </c>
      <c r="I82" s="121">
        <f>'STS Calculation Summary'!AD82*'STS O&amp;M Input'!$C$18+'STS Calculation Summary'!AE82*'STS O&amp;M Input'!$C$17+'STS Calculation Summary'!AF82*'STS O&amp;M Input'!$C$13+'STS Calculation Summary'!AH82*'STS O&amp;M Input'!$C$15+'STS Calculation Summary'!AI82*'STS O&amp;M Input'!$C$16+'STS Calculation Summary'!AG82*'STS O&amp;M Input'!$C$14</f>
        <v>66107.414374382206</v>
      </c>
      <c r="J82" s="121">
        <f>'STS Analytical Costs'!P83</f>
        <v>18135</v>
      </c>
      <c r="K82" s="121">
        <f>'STS Calculation Summary'!AL82*$L$8</f>
        <v>40209.333428749589</v>
      </c>
      <c r="L82" s="122">
        <f t="shared" si="5"/>
        <v>1231921.1181038748</v>
      </c>
    </row>
    <row r="83" spans="1:12" x14ac:dyDescent="0.25">
      <c r="A83" s="120">
        <v>73</v>
      </c>
      <c r="B83" s="121">
        <v>0</v>
      </c>
      <c r="C83" s="121">
        <f>IF('STS Calculation Summary'!$V83&gt;150000,'STS Labor'!$B$39,'STS Labor'!$E$39)</f>
        <v>445274.96000000008</v>
      </c>
      <c r="D83" s="121">
        <f t="shared" si="6"/>
        <v>75850.465087773453</v>
      </c>
      <c r="E83" s="121">
        <f t="shared" si="7"/>
        <v>113775.69763166018</v>
      </c>
      <c r="F83" s="121">
        <f>'STS O&amp;M Input'!$C$10*'STS Calculation Summary'!Y83</f>
        <v>413084.83973810275</v>
      </c>
      <c r="G83" s="121">
        <f>'STS Calculation Summary'!AA83*2000*'STS O&amp;M Input'!$C$11</f>
        <v>55373.415204710524</v>
      </c>
      <c r="H83" s="121">
        <f>'STS Calculation Summary'!AC83*2000*'STS O&amp;M Input'!$C$12</f>
        <v>4109.988511808252</v>
      </c>
      <c r="I83" s="121">
        <f>'STS Calculation Summary'!AD83*'STS O&amp;M Input'!$C$18+'STS Calculation Summary'!AE83*'STS O&amp;M Input'!$C$17+'STS Calculation Summary'!AF83*'STS O&amp;M Input'!$C$13+'STS Calculation Summary'!AH83*'STS O&amp;M Input'!$C$15+'STS Calculation Summary'!AI83*'STS O&amp;M Input'!$C$16+'STS Calculation Summary'!AG83*'STS O&amp;M Input'!$C$14</f>
        <v>66107.414210329807</v>
      </c>
      <c r="J83" s="121">
        <f>'STS Analytical Costs'!P84</f>
        <v>18135</v>
      </c>
      <c r="K83" s="121">
        <f>'STS Calculation Summary'!AL83*$L$8</f>
        <v>40209.333312792573</v>
      </c>
      <c r="L83" s="122">
        <f t="shared" si="5"/>
        <v>1231921.1136971775</v>
      </c>
    </row>
    <row r="84" spans="1:12" x14ac:dyDescent="0.25">
      <c r="A84" s="120">
        <v>74</v>
      </c>
      <c r="B84" s="121">
        <v>0</v>
      </c>
      <c r="C84" s="121">
        <f>IF('STS Calculation Summary'!$V84&gt;150000,'STS Labor'!$B$39,'STS Labor'!$E$39)</f>
        <v>445274.96000000008</v>
      </c>
      <c r="D84" s="121">
        <f t="shared" si="6"/>
        <v>75850.465087773453</v>
      </c>
      <c r="E84" s="121">
        <f t="shared" si="7"/>
        <v>113775.69763166018</v>
      </c>
      <c r="F84" s="121">
        <f>'STS O&amp;M Input'!$C$10*'STS Calculation Summary'!Y84</f>
        <v>413084.84357924125</v>
      </c>
      <c r="G84" s="121">
        <f>'STS Calculation Summary'!AA84*2000*'STS O&amp;M Input'!$C$11</f>
        <v>55373.415490259773</v>
      </c>
      <c r="H84" s="121">
        <f>'STS Calculation Summary'!AC84*2000*'STS O&amp;M Input'!$C$12</f>
        <v>4109.988511808252</v>
      </c>
      <c r="I84" s="121">
        <f>'STS Calculation Summary'!AD84*'STS O&amp;M Input'!$C$18+'STS Calculation Summary'!AE84*'STS O&amp;M Input'!$C$17+'STS Calculation Summary'!AF84*'STS O&amp;M Input'!$C$13+'STS Calculation Summary'!AH84*'STS O&amp;M Input'!$C$15+'STS Calculation Summary'!AI84*'STS O&amp;M Input'!$C$16+'STS Calculation Summary'!AG84*'STS O&amp;M Input'!$C$14</f>
        <v>66107.414374382206</v>
      </c>
      <c r="J84" s="121">
        <f>'STS Analytical Costs'!P85</f>
        <v>18135</v>
      </c>
      <c r="K84" s="121">
        <f>'STS Calculation Summary'!AL84*$L$8</f>
        <v>40209.333428749589</v>
      </c>
      <c r="L84" s="122">
        <f t="shared" si="5"/>
        <v>1231921.1181038748</v>
      </c>
    </row>
    <row r="85" spans="1:12" x14ac:dyDescent="0.25">
      <c r="A85" s="120">
        <v>75</v>
      </c>
      <c r="B85" s="121">
        <v>0</v>
      </c>
      <c r="C85" s="121">
        <f>IF('STS Calculation Summary'!$V85&gt;150000,'STS Labor'!$B$39,'STS Labor'!$E$39)</f>
        <v>445274.96000000008</v>
      </c>
      <c r="D85" s="121">
        <f t="shared" si="6"/>
        <v>75850.465087773453</v>
      </c>
      <c r="E85" s="121">
        <f t="shared" si="7"/>
        <v>113775.69763166018</v>
      </c>
      <c r="F85" s="121">
        <f>'STS O&amp;M Input'!$C$10*'STS Calculation Summary'!Y85</f>
        <v>413084.84357924125</v>
      </c>
      <c r="G85" s="121">
        <f>'STS Calculation Summary'!AA85*2000*'STS O&amp;M Input'!$C$11</f>
        <v>55373.415490259773</v>
      </c>
      <c r="H85" s="121">
        <f>'STS Calculation Summary'!AC85*2000*'STS O&amp;M Input'!$C$12</f>
        <v>4109.988511808252</v>
      </c>
      <c r="I85" s="121">
        <f>'STS Calculation Summary'!AD85*'STS O&amp;M Input'!$C$18+'STS Calculation Summary'!AE85*'STS O&amp;M Input'!$C$17+'STS Calculation Summary'!AF85*'STS O&amp;M Input'!$C$13+'STS Calculation Summary'!AH85*'STS O&amp;M Input'!$C$15+'STS Calculation Summary'!AI85*'STS O&amp;M Input'!$C$16+'STS Calculation Summary'!AG85*'STS O&amp;M Input'!$C$14</f>
        <v>66107.414374382206</v>
      </c>
      <c r="J85" s="121">
        <f>'STS Analytical Costs'!P86</f>
        <v>18135</v>
      </c>
      <c r="K85" s="121">
        <f>'STS Calculation Summary'!AL85*$L$8</f>
        <v>40209.333428749589</v>
      </c>
      <c r="L85" s="122">
        <f t="shared" si="5"/>
        <v>1231921.1181038748</v>
      </c>
    </row>
    <row r="86" spans="1:12" x14ac:dyDescent="0.25">
      <c r="A86" s="120">
        <v>76</v>
      </c>
      <c r="B86" s="121">
        <v>0</v>
      </c>
      <c r="C86" s="121">
        <f>IF('STS Calculation Summary'!$V86&gt;150000,'STS Labor'!$B$39,'STS Labor'!$E$39)</f>
        <v>445274.96000000008</v>
      </c>
      <c r="D86" s="121">
        <f t="shared" si="6"/>
        <v>75850.465087773453</v>
      </c>
      <c r="E86" s="121">
        <f t="shared" si="7"/>
        <v>113775.69763166018</v>
      </c>
      <c r="F86" s="121">
        <f>'STS O&amp;M Input'!$C$10*'STS Calculation Summary'!Y86</f>
        <v>413084.84357924125</v>
      </c>
      <c r="G86" s="121">
        <f>'STS Calculation Summary'!AA86*2000*'STS O&amp;M Input'!$C$11</f>
        <v>55373.415490259773</v>
      </c>
      <c r="H86" s="121">
        <f>'STS Calculation Summary'!AC86*2000*'STS O&amp;M Input'!$C$12</f>
        <v>4109.988511808252</v>
      </c>
      <c r="I86" s="121">
        <f>'STS Calculation Summary'!AD86*'STS O&amp;M Input'!$C$18+'STS Calculation Summary'!AE86*'STS O&amp;M Input'!$C$17+'STS Calculation Summary'!AF86*'STS O&amp;M Input'!$C$13+'STS Calculation Summary'!AH86*'STS O&amp;M Input'!$C$15+'STS Calculation Summary'!AI86*'STS O&amp;M Input'!$C$16+'STS Calculation Summary'!AG86*'STS O&amp;M Input'!$C$14</f>
        <v>66107.414374382206</v>
      </c>
      <c r="J86" s="121">
        <f>'STS Analytical Costs'!P87</f>
        <v>18135</v>
      </c>
      <c r="K86" s="121">
        <f>'STS Calculation Summary'!AL86*$L$8</f>
        <v>40209.333428749589</v>
      </c>
      <c r="L86" s="122">
        <f t="shared" si="5"/>
        <v>1231921.1181038748</v>
      </c>
    </row>
    <row r="87" spans="1:12" x14ac:dyDescent="0.25">
      <c r="A87" s="120">
        <v>77</v>
      </c>
      <c r="B87" s="121">
        <v>0</v>
      </c>
      <c r="C87" s="121">
        <f>IF('STS Calculation Summary'!$V87&gt;150000,'STS Labor'!$B$39,'STS Labor'!$E$39)</f>
        <v>445274.96000000008</v>
      </c>
      <c r="D87" s="121">
        <f t="shared" si="6"/>
        <v>75850.465087773453</v>
      </c>
      <c r="E87" s="121">
        <f t="shared" si="7"/>
        <v>113775.69763166018</v>
      </c>
      <c r="F87" s="121">
        <f>'STS O&amp;M Input'!$C$10*'STS Calculation Summary'!Y87</f>
        <v>413084.84357924125</v>
      </c>
      <c r="G87" s="121">
        <f>'STS Calculation Summary'!AA87*2000*'STS O&amp;M Input'!$C$11</f>
        <v>55373.415490259773</v>
      </c>
      <c r="H87" s="121">
        <f>'STS Calculation Summary'!AC87*2000*'STS O&amp;M Input'!$C$12</f>
        <v>4109.988511808252</v>
      </c>
      <c r="I87" s="121">
        <f>'STS Calculation Summary'!AD87*'STS O&amp;M Input'!$C$18+'STS Calculation Summary'!AE87*'STS O&amp;M Input'!$C$17+'STS Calculation Summary'!AF87*'STS O&amp;M Input'!$C$13+'STS Calculation Summary'!AH87*'STS O&amp;M Input'!$C$15+'STS Calculation Summary'!AI87*'STS O&amp;M Input'!$C$16+'STS Calculation Summary'!AG87*'STS O&amp;M Input'!$C$14</f>
        <v>66107.414374382206</v>
      </c>
      <c r="J87" s="121">
        <f>'STS Analytical Costs'!P88</f>
        <v>18135</v>
      </c>
      <c r="K87" s="121">
        <f>'STS Calculation Summary'!AL87*$L$8</f>
        <v>40209.333428749589</v>
      </c>
      <c r="L87" s="122">
        <f t="shared" si="5"/>
        <v>1231921.1181038748</v>
      </c>
    </row>
    <row r="88" spans="1:12" x14ac:dyDescent="0.25">
      <c r="A88" s="120">
        <v>78</v>
      </c>
      <c r="B88" s="121">
        <v>0</v>
      </c>
      <c r="C88" s="121">
        <f>IF('STS Calculation Summary'!$V88&gt;150000,'STS Labor'!$B$39,'STS Labor'!$E$39)</f>
        <v>445274.96000000008</v>
      </c>
      <c r="D88" s="121">
        <f t="shared" si="6"/>
        <v>75850.465087773453</v>
      </c>
      <c r="E88" s="121">
        <f t="shared" si="7"/>
        <v>113775.69763166018</v>
      </c>
      <c r="F88" s="121">
        <f>'STS O&amp;M Input'!$C$10*'STS Calculation Summary'!Y88</f>
        <v>413084.84357924125</v>
      </c>
      <c r="G88" s="121">
        <f>'STS Calculation Summary'!AA88*2000*'STS O&amp;M Input'!$C$11</f>
        <v>55373.415490259773</v>
      </c>
      <c r="H88" s="121">
        <f>'STS Calculation Summary'!AC88*2000*'STS O&amp;M Input'!$C$12</f>
        <v>4109.988511808252</v>
      </c>
      <c r="I88" s="121">
        <f>'STS Calculation Summary'!AD88*'STS O&amp;M Input'!$C$18+'STS Calculation Summary'!AE88*'STS O&amp;M Input'!$C$17+'STS Calculation Summary'!AF88*'STS O&amp;M Input'!$C$13+'STS Calculation Summary'!AH88*'STS O&amp;M Input'!$C$15+'STS Calculation Summary'!AI88*'STS O&amp;M Input'!$C$16+'STS Calculation Summary'!AG88*'STS O&amp;M Input'!$C$14</f>
        <v>66107.414374382206</v>
      </c>
      <c r="J88" s="121">
        <f>'STS Analytical Costs'!P89</f>
        <v>18135</v>
      </c>
      <c r="K88" s="121">
        <f>'STS Calculation Summary'!AL88*$L$8</f>
        <v>40209.333428749589</v>
      </c>
      <c r="L88" s="122">
        <f t="shared" si="5"/>
        <v>1231921.1181038748</v>
      </c>
    </row>
    <row r="89" spans="1:12" x14ac:dyDescent="0.25">
      <c r="A89" s="120">
        <v>79</v>
      </c>
      <c r="B89" s="121">
        <v>0</v>
      </c>
      <c r="C89" s="121">
        <f>IF('STS Calculation Summary'!$V89&gt;150000,'STS Labor'!$B$39,'STS Labor'!$E$39)</f>
        <v>445274.96000000008</v>
      </c>
      <c r="D89" s="121">
        <f t="shared" si="6"/>
        <v>75850.465087773453</v>
      </c>
      <c r="E89" s="121">
        <f t="shared" si="7"/>
        <v>113775.69763166018</v>
      </c>
      <c r="F89" s="121">
        <f>'STS O&amp;M Input'!$C$10*'STS Calculation Summary'!Y89</f>
        <v>413084.84357924125</v>
      </c>
      <c r="G89" s="121">
        <f>'STS Calculation Summary'!AA89*2000*'STS O&amp;M Input'!$C$11</f>
        <v>55373.415490259773</v>
      </c>
      <c r="H89" s="121">
        <f>'STS Calculation Summary'!AC89*2000*'STS O&amp;M Input'!$C$12</f>
        <v>4109.988511808252</v>
      </c>
      <c r="I89" s="121">
        <f>'STS Calculation Summary'!AD89*'STS O&amp;M Input'!$C$18+'STS Calculation Summary'!AE89*'STS O&amp;M Input'!$C$17+'STS Calculation Summary'!AF89*'STS O&amp;M Input'!$C$13+'STS Calculation Summary'!AH89*'STS O&amp;M Input'!$C$15+'STS Calculation Summary'!AI89*'STS O&amp;M Input'!$C$16+'STS Calculation Summary'!AG89*'STS O&amp;M Input'!$C$14</f>
        <v>66107.414374382206</v>
      </c>
      <c r="J89" s="121">
        <f>'STS Analytical Costs'!P90</f>
        <v>18135</v>
      </c>
      <c r="K89" s="121">
        <f>'STS Calculation Summary'!AL89*$L$8</f>
        <v>40209.333428749589</v>
      </c>
      <c r="L89" s="122">
        <f t="shared" si="5"/>
        <v>1231921.1181038748</v>
      </c>
    </row>
    <row r="90" spans="1:12" x14ac:dyDescent="0.25">
      <c r="A90" s="120">
        <v>80</v>
      </c>
      <c r="B90" s="121">
        <v>0</v>
      </c>
      <c r="C90" s="121">
        <f>IF('STS Calculation Summary'!$V90&gt;150000,'STS Labor'!$B$39,'STS Labor'!$E$39)</f>
        <v>445274.96000000008</v>
      </c>
      <c r="D90" s="121">
        <f t="shared" si="6"/>
        <v>75850.465087773453</v>
      </c>
      <c r="E90" s="121">
        <f t="shared" si="7"/>
        <v>113775.69763166018</v>
      </c>
      <c r="F90" s="121">
        <f>'STS O&amp;M Input'!$C$10*'STS Calculation Summary'!Y90</f>
        <v>413084.84357924125</v>
      </c>
      <c r="G90" s="121">
        <f>'STS Calculation Summary'!AA90*2000*'STS O&amp;M Input'!$C$11</f>
        <v>55373.415490259773</v>
      </c>
      <c r="H90" s="121">
        <f>'STS Calculation Summary'!AC90*2000*'STS O&amp;M Input'!$C$12</f>
        <v>4109.988511808252</v>
      </c>
      <c r="I90" s="121">
        <f>'STS Calculation Summary'!AD90*'STS O&amp;M Input'!$C$18+'STS Calculation Summary'!AE90*'STS O&amp;M Input'!$C$17+'STS Calculation Summary'!AF90*'STS O&amp;M Input'!$C$13+'STS Calculation Summary'!AH90*'STS O&amp;M Input'!$C$15+'STS Calculation Summary'!AI90*'STS O&amp;M Input'!$C$16+'STS Calculation Summary'!AG90*'STS O&amp;M Input'!$C$14</f>
        <v>66107.414374382206</v>
      </c>
      <c r="J90" s="121">
        <f>'STS Analytical Costs'!P91</f>
        <v>18135</v>
      </c>
      <c r="K90" s="121">
        <f>'STS Calculation Summary'!AL90*$L$8</f>
        <v>40209.333428749589</v>
      </c>
      <c r="L90" s="122">
        <f t="shared" si="5"/>
        <v>1231921.1181038748</v>
      </c>
    </row>
    <row r="91" spans="1:12" x14ac:dyDescent="0.25">
      <c r="A91" s="120">
        <v>81</v>
      </c>
      <c r="B91" s="121">
        <v>0</v>
      </c>
      <c r="C91" s="121">
        <f>IF('STS Calculation Summary'!$V91&gt;150000,'STS Labor'!$B$39,'STS Labor'!$E$39)</f>
        <v>445274.96000000008</v>
      </c>
      <c r="D91" s="121">
        <f t="shared" si="6"/>
        <v>75850.465087773453</v>
      </c>
      <c r="E91" s="121">
        <f t="shared" si="7"/>
        <v>113775.69763166018</v>
      </c>
      <c r="F91" s="121">
        <f>'STS O&amp;M Input'!$C$10*'STS Calculation Summary'!Y91</f>
        <v>413084.84357924125</v>
      </c>
      <c r="G91" s="121">
        <f>'STS Calculation Summary'!AA91*2000*'STS O&amp;M Input'!$C$11</f>
        <v>55373.415490259773</v>
      </c>
      <c r="H91" s="121">
        <f>'STS Calculation Summary'!AC91*2000*'STS O&amp;M Input'!$C$12</f>
        <v>4109.988511808252</v>
      </c>
      <c r="I91" s="121">
        <f>'STS Calculation Summary'!AD91*'STS O&amp;M Input'!$C$18+'STS Calculation Summary'!AE91*'STS O&amp;M Input'!$C$17+'STS Calculation Summary'!AF91*'STS O&amp;M Input'!$C$13+'STS Calculation Summary'!AH91*'STS O&amp;M Input'!$C$15+'STS Calculation Summary'!AI91*'STS O&amp;M Input'!$C$16+'STS Calculation Summary'!AG91*'STS O&amp;M Input'!$C$14</f>
        <v>66107.414374382206</v>
      </c>
      <c r="J91" s="121">
        <f>'STS Analytical Costs'!P92</f>
        <v>18135</v>
      </c>
      <c r="K91" s="121">
        <f>'STS Calculation Summary'!AL91*$L$8</f>
        <v>40209.333428749589</v>
      </c>
      <c r="L91" s="122">
        <f t="shared" si="5"/>
        <v>1231921.1181038748</v>
      </c>
    </row>
    <row r="92" spans="1:12" x14ac:dyDescent="0.25">
      <c r="A92" s="120">
        <v>82</v>
      </c>
      <c r="B92" s="121">
        <v>0</v>
      </c>
      <c r="C92" s="121">
        <f>IF('STS Calculation Summary'!$V92&gt;150000,'STS Labor'!$B$39,'STS Labor'!$E$39)</f>
        <v>445274.96000000008</v>
      </c>
      <c r="D92" s="121">
        <f t="shared" si="6"/>
        <v>75850.465087773453</v>
      </c>
      <c r="E92" s="121">
        <f t="shared" si="7"/>
        <v>113775.69763166018</v>
      </c>
      <c r="F92" s="121">
        <f>'STS O&amp;M Input'!$C$10*'STS Calculation Summary'!Y92</f>
        <v>413084.83973810275</v>
      </c>
      <c r="G92" s="121">
        <f>'STS Calculation Summary'!AA92*2000*'STS O&amp;M Input'!$C$11</f>
        <v>55373.415204710524</v>
      </c>
      <c r="H92" s="121">
        <f>'STS Calculation Summary'!AC92*2000*'STS O&amp;M Input'!$C$12</f>
        <v>4109.988511808252</v>
      </c>
      <c r="I92" s="121">
        <f>'STS Calculation Summary'!AD92*'STS O&amp;M Input'!$C$18+'STS Calculation Summary'!AE92*'STS O&amp;M Input'!$C$17+'STS Calculation Summary'!AF92*'STS O&amp;M Input'!$C$13+'STS Calculation Summary'!AH92*'STS O&amp;M Input'!$C$15+'STS Calculation Summary'!AI92*'STS O&amp;M Input'!$C$16+'STS Calculation Summary'!AG92*'STS O&amp;M Input'!$C$14</f>
        <v>66107.414210329807</v>
      </c>
      <c r="J92" s="121">
        <f>'STS Analytical Costs'!P93</f>
        <v>18135</v>
      </c>
      <c r="K92" s="121">
        <f>'STS Calculation Summary'!AL92*$L$8</f>
        <v>40209.333312792573</v>
      </c>
      <c r="L92" s="122">
        <f t="shared" si="5"/>
        <v>1231921.1136971775</v>
      </c>
    </row>
    <row r="93" spans="1:12" x14ac:dyDescent="0.25">
      <c r="A93" s="120">
        <v>83</v>
      </c>
      <c r="B93" s="121">
        <v>0</v>
      </c>
      <c r="C93" s="121">
        <f>IF('STS Calculation Summary'!$V93&gt;150000,'STS Labor'!$B$39,'STS Labor'!$E$39)</f>
        <v>445274.96000000008</v>
      </c>
      <c r="D93" s="121">
        <f t="shared" si="6"/>
        <v>75850.465087773453</v>
      </c>
      <c r="E93" s="121">
        <f t="shared" si="7"/>
        <v>113775.69763166018</v>
      </c>
      <c r="F93" s="121">
        <f>'STS O&amp;M Input'!$C$10*'STS Calculation Summary'!Y93</f>
        <v>413084.84357924125</v>
      </c>
      <c r="G93" s="121">
        <f>'STS Calculation Summary'!AA93*2000*'STS O&amp;M Input'!$C$11</f>
        <v>55373.415490259773</v>
      </c>
      <c r="H93" s="121">
        <f>'STS Calculation Summary'!AC93*2000*'STS O&amp;M Input'!$C$12</f>
        <v>4109.988511808252</v>
      </c>
      <c r="I93" s="121">
        <f>'STS Calculation Summary'!AD93*'STS O&amp;M Input'!$C$18+'STS Calculation Summary'!AE93*'STS O&amp;M Input'!$C$17+'STS Calculation Summary'!AF93*'STS O&amp;M Input'!$C$13+'STS Calculation Summary'!AH93*'STS O&amp;M Input'!$C$15+'STS Calculation Summary'!AI93*'STS O&amp;M Input'!$C$16+'STS Calculation Summary'!AG93*'STS O&amp;M Input'!$C$14</f>
        <v>66107.414374382206</v>
      </c>
      <c r="J93" s="121">
        <f>'STS Analytical Costs'!P94</f>
        <v>18135</v>
      </c>
      <c r="K93" s="121">
        <f>'STS Calculation Summary'!AL93*$L$8</f>
        <v>40209.333428749589</v>
      </c>
      <c r="L93" s="122">
        <f t="shared" si="5"/>
        <v>1231921.1181038748</v>
      </c>
    </row>
    <row r="94" spans="1:12" x14ac:dyDescent="0.25">
      <c r="A94" s="120">
        <v>84</v>
      </c>
      <c r="B94" s="121">
        <v>0</v>
      </c>
      <c r="C94" s="121">
        <f>IF('STS Calculation Summary'!$V94&gt;150000,'STS Labor'!$B$39,'STS Labor'!$E$39)</f>
        <v>445274.96000000008</v>
      </c>
      <c r="D94" s="121">
        <f t="shared" si="6"/>
        <v>75850.465087773453</v>
      </c>
      <c r="E94" s="121">
        <f t="shared" si="7"/>
        <v>113775.69763166018</v>
      </c>
      <c r="F94" s="121">
        <f>'STS O&amp;M Input'!$C$10*'STS Calculation Summary'!Y94</f>
        <v>413084.83973810275</v>
      </c>
      <c r="G94" s="121">
        <f>'STS Calculation Summary'!AA94*2000*'STS O&amp;M Input'!$C$11</f>
        <v>55373.415204710524</v>
      </c>
      <c r="H94" s="121">
        <f>'STS Calculation Summary'!AC94*2000*'STS O&amp;M Input'!$C$12</f>
        <v>4109.988511808252</v>
      </c>
      <c r="I94" s="121">
        <f>'STS Calculation Summary'!AD94*'STS O&amp;M Input'!$C$18+'STS Calculation Summary'!AE94*'STS O&amp;M Input'!$C$17+'STS Calculation Summary'!AF94*'STS O&amp;M Input'!$C$13+'STS Calculation Summary'!AH94*'STS O&amp;M Input'!$C$15+'STS Calculation Summary'!AI94*'STS O&amp;M Input'!$C$16+'STS Calculation Summary'!AG94*'STS O&amp;M Input'!$C$14</f>
        <v>66107.414210329807</v>
      </c>
      <c r="J94" s="121">
        <f>'STS Analytical Costs'!P95</f>
        <v>18135</v>
      </c>
      <c r="K94" s="121">
        <f>'STS Calculation Summary'!AL94*$L$8</f>
        <v>40209.333312792573</v>
      </c>
      <c r="L94" s="122">
        <f t="shared" si="5"/>
        <v>1231921.1136971775</v>
      </c>
    </row>
    <row r="95" spans="1:12" x14ac:dyDescent="0.25">
      <c r="A95" s="120">
        <v>85</v>
      </c>
      <c r="B95" s="121">
        <v>0</v>
      </c>
      <c r="C95" s="121">
        <f>IF('STS Calculation Summary'!$V95&gt;150000,'STS Labor'!$B$39,'STS Labor'!$E$39)</f>
        <v>445274.96000000008</v>
      </c>
      <c r="D95" s="121">
        <f t="shared" si="6"/>
        <v>75850.465087773453</v>
      </c>
      <c r="E95" s="121">
        <f t="shared" si="7"/>
        <v>113775.69763166018</v>
      </c>
      <c r="F95" s="121">
        <f>'STS O&amp;M Input'!$C$10*'STS Calculation Summary'!Y95</f>
        <v>413084.84357924125</v>
      </c>
      <c r="G95" s="121">
        <f>'STS Calculation Summary'!AA95*2000*'STS O&amp;M Input'!$C$11</f>
        <v>55373.415490259773</v>
      </c>
      <c r="H95" s="121">
        <f>'STS Calculation Summary'!AC95*2000*'STS O&amp;M Input'!$C$12</f>
        <v>4109.988511808252</v>
      </c>
      <c r="I95" s="121">
        <f>'STS Calculation Summary'!AD95*'STS O&amp;M Input'!$C$18+'STS Calculation Summary'!AE95*'STS O&amp;M Input'!$C$17+'STS Calculation Summary'!AF95*'STS O&amp;M Input'!$C$13+'STS Calculation Summary'!AH95*'STS O&amp;M Input'!$C$15+'STS Calculation Summary'!AI95*'STS O&amp;M Input'!$C$16+'STS Calculation Summary'!AG95*'STS O&amp;M Input'!$C$14</f>
        <v>66107.414374382206</v>
      </c>
      <c r="J95" s="121">
        <f>'STS Analytical Costs'!P96</f>
        <v>18135</v>
      </c>
      <c r="K95" s="121">
        <f>'STS Calculation Summary'!AL95*$L$8</f>
        <v>40209.333428749589</v>
      </c>
      <c r="L95" s="122">
        <f t="shared" si="5"/>
        <v>1231921.1181038748</v>
      </c>
    </row>
    <row r="96" spans="1:12" x14ac:dyDescent="0.25">
      <c r="A96" s="120">
        <v>86</v>
      </c>
      <c r="B96" s="121">
        <v>0</v>
      </c>
      <c r="C96" s="121">
        <f>IF('STS Calculation Summary'!$V96&gt;150000,'STS Labor'!$B$39,'STS Labor'!$E$39)</f>
        <v>445274.96000000008</v>
      </c>
      <c r="D96" s="121">
        <f t="shared" si="6"/>
        <v>75850.465087773453</v>
      </c>
      <c r="E96" s="121">
        <f t="shared" si="7"/>
        <v>113775.69763166018</v>
      </c>
      <c r="F96" s="121">
        <f>'STS O&amp;M Input'!$C$10*'STS Calculation Summary'!Y96</f>
        <v>413084.84357924125</v>
      </c>
      <c r="G96" s="121">
        <f>'STS Calculation Summary'!AA96*2000*'STS O&amp;M Input'!$C$11</f>
        <v>55373.415490259773</v>
      </c>
      <c r="H96" s="121">
        <f>'STS Calculation Summary'!AC96*2000*'STS O&amp;M Input'!$C$12</f>
        <v>4109.988511808252</v>
      </c>
      <c r="I96" s="121">
        <f>'STS Calculation Summary'!AD96*'STS O&amp;M Input'!$C$18+'STS Calculation Summary'!AE96*'STS O&amp;M Input'!$C$17+'STS Calculation Summary'!AF96*'STS O&amp;M Input'!$C$13+'STS Calculation Summary'!AH96*'STS O&amp;M Input'!$C$15+'STS Calculation Summary'!AI96*'STS O&amp;M Input'!$C$16+'STS Calculation Summary'!AG96*'STS O&amp;M Input'!$C$14</f>
        <v>66107.414374382206</v>
      </c>
      <c r="J96" s="121">
        <f>'STS Analytical Costs'!P97</f>
        <v>18135</v>
      </c>
      <c r="K96" s="121">
        <f>'STS Calculation Summary'!AL96*$L$8</f>
        <v>40209.333428749589</v>
      </c>
      <c r="L96" s="122">
        <f t="shared" si="5"/>
        <v>1231921.1181038748</v>
      </c>
    </row>
    <row r="97" spans="1:12" x14ac:dyDescent="0.25">
      <c r="A97" s="120">
        <v>87</v>
      </c>
      <c r="B97" s="121">
        <v>0</v>
      </c>
      <c r="C97" s="121">
        <f>IF('STS Calculation Summary'!$V97&gt;150000,'STS Labor'!$B$39,'STS Labor'!$E$39)</f>
        <v>445274.96000000008</v>
      </c>
      <c r="D97" s="121">
        <f t="shared" si="6"/>
        <v>75850.465087773453</v>
      </c>
      <c r="E97" s="121">
        <f t="shared" si="7"/>
        <v>113775.69763166018</v>
      </c>
      <c r="F97" s="121">
        <f>'STS O&amp;M Input'!$C$10*'STS Calculation Summary'!Y97</f>
        <v>413084.83973810275</v>
      </c>
      <c r="G97" s="121">
        <f>'STS Calculation Summary'!AA97*2000*'STS O&amp;M Input'!$C$11</f>
        <v>55373.415204710524</v>
      </c>
      <c r="H97" s="121">
        <f>'STS Calculation Summary'!AC97*2000*'STS O&amp;M Input'!$C$12</f>
        <v>4109.988511808252</v>
      </c>
      <c r="I97" s="121">
        <f>'STS Calculation Summary'!AD97*'STS O&amp;M Input'!$C$18+'STS Calculation Summary'!AE97*'STS O&amp;M Input'!$C$17+'STS Calculation Summary'!AF97*'STS O&amp;M Input'!$C$13+'STS Calculation Summary'!AH97*'STS O&amp;M Input'!$C$15+'STS Calculation Summary'!AI97*'STS O&amp;M Input'!$C$16+'STS Calculation Summary'!AG97*'STS O&amp;M Input'!$C$14</f>
        <v>66107.414210329807</v>
      </c>
      <c r="J97" s="121">
        <f>'STS Analytical Costs'!P98</f>
        <v>18135</v>
      </c>
      <c r="K97" s="121">
        <f>'STS Calculation Summary'!AL97*$L$8</f>
        <v>40209.333312792573</v>
      </c>
      <c r="L97" s="122">
        <f t="shared" si="5"/>
        <v>1231921.1136971775</v>
      </c>
    </row>
    <row r="98" spans="1:12" x14ac:dyDescent="0.25">
      <c r="A98" s="120">
        <v>88</v>
      </c>
      <c r="B98" s="121">
        <v>0</v>
      </c>
      <c r="C98" s="121">
        <f>IF('STS Calculation Summary'!$V98&gt;150000,'STS Labor'!$B$39,'STS Labor'!$E$39)</f>
        <v>445274.96000000008</v>
      </c>
      <c r="D98" s="121">
        <f t="shared" si="6"/>
        <v>75850.465087773453</v>
      </c>
      <c r="E98" s="121">
        <f t="shared" si="7"/>
        <v>113775.69763166018</v>
      </c>
      <c r="F98" s="121">
        <f>'STS O&amp;M Input'!$C$10*'STS Calculation Summary'!Y98</f>
        <v>413084.83973810275</v>
      </c>
      <c r="G98" s="121">
        <f>'STS Calculation Summary'!AA98*2000*'STS O&amp;M Input'!$C$11</f>
        <v>55373.415204710524</v>
      </c>
      <c r="H98" s="121">
        <f>'STS Calculation Summary'!AC98*2000*'STS O&amp;M Input'!$C$12</f>
        <v>4109.988511808252</v>
      </c>
      <c r="I98" s="121">
        <f>'STS Calculation Summary'!AD98*'STS O&amp;M Input'!$C$18+'STS Calculation Summary'!AE98*'STS O&amp;M Input'!$C$17+'STS Calculation Summary'!AF98*'STS O&amp;M Input'!$C$13+'STS Calculation Summary'!AH98*'STS O&amp;M Input'!$C$15+'STS Calculation Summary'!AI98*'STS O&amp;M Input'!$C$16+'STS Calculation Summary'!AG98*'STS O&amp;M Input'!$C$14</f>
        <v>66107.414210329807</v>
      </c>
      <c r="J98" s="121">
        <f>'STS Analytical Costs'!P99</f>
        <v>18135</v>
      </c>
      <c r="K98" s="121">
        <f>'STS Calculation Summary'!AL98*$L$8</f>
        <v>40209.333312792573</v>
      </c>
      <c r="L98" s="122">
        <f t="shared" si="5"/>
        <v>1231921.1136971775</v>
      </c>
    </row>
    <row r="99" spans="1:12" x14ac:dyDescent="0.25">
      <c r="A99" s="120">
        <v>89</v>
      </c>
      <c r="B99" s="121">
        <v>0</v>
      </c>
      <c r="C99" s="121">
        <f>IF('STS Calculation Summary'!$V99&gt;150000,'STS Labor'!$B$39,'STS Labor'!$E$39)</f>
        <v>445274.96000000008</v>
      </c>
      <c r="D99" s="121">
        <f t="shared" si="6"/>
        <v>75850.465087773453</v>
      </c>
      <c r="E99" s="121">
        <f t="shared" si="7"/>
        <v>113775.69763166018</v>
      </c>
      <c r="F99" s="121">
        <f>'STS O&amp;M Input'!$C$10*'STS Calculation Summary'!Y99</f>
        <v>413084.84357924125</v>
      </c>
      <c r="G99" s="121">
        <f>'STS Calculation Summary'!AA99*2000*'STS O&amp;M Input'!$C$11</f>
        <v>55373.415490259773</v>
      </c>
      <c r="H99" s="121">
        <f>'STS Calculation Summary'!AC99*2000*'STS O&amp;M Input'!$C$12</f>
        <v>4109.988511808252</v>
      </c>
      <c r="I99" s="121">
        <f>'STS Calculation Summary'!AD99*'STS O&amp;M Input'!$C$18+'STS Calculation Summary'!AE99*'STS O&amp;M Input'!$C$17+'STS Calculation Summary'!AF99*'STS O&amp;M Input'!$C$13+'STS Calculation Summary'!AH99*'STS O&amp;M Input'!$C$15+'STS Calculation Summary'!AI99*'STS O&amp;M Input'!$C$16+'STS Calculation Summary'!AG99*'STS O&amp;M Input'!$C$14</f>
        <v>66107.414374382206</v>
      </c>
      <c r="J99" s="121">
        <f>'STS Analytical Costs'!P100</f>
        <v>18135</v>
      </c>
      <c r="K99" s="121">
        <f>'STS Calculation Summary'!AL99*$L$8</f>
        <v>40209.333428749589</v>
      </c>
      <c r="L99" s="122">
        <f t="shared" si="5"/>
        <v>1231921.1181038748</v>
      </c>
    </row>
    <row r="100" spans="1:12" x14ac:dyDescent="0.25">
      <c r="A100" s="120">
        <v>90</v>
      </c>
      <c r="B100" s="121">
        <v>0</v>
      </c>
      <c r="C100" s="121">
        <f>IF('STS Calculation Summary'!$V100&gt;150000,'STS Labor'!$B$39,'STS Labor'!$E$39)</f>
        <v>445274.96000000008</v>
      </c>
      <c r="D100" s="121">
        <f t="shared" si="6"/>
        <v>75850.465087773453</v>
      </c>
      <c r="E100" s="121">
        <f t="shared" si="7"/>
        <v>113775.69763166018</v>
      </c>
      <c r="F100" s="121">
        <f>'STS O&amp;M Input'!$C$10*'STS Calculation Summary'!Y100</f>
        <v>413084.84357924125</v>
      </c>
      <c r="G100" s="121">
        <f>'STS Calculation Summary'!AA100*2000*'STS O&amp;M Input'!$C$11</f>
        <v>55373.415490259773</v>
      </c>
      <c r="H100" s="121">
        <f>'STS Calculation Summary'!AC100*2000*'STS O&amp;M Input'!$C$12</f>
        <v>4109.988511808252</v>
      </c>
      <c r="I100" s="121">
        <f>'STS Calculation Summary'!AD100*'STS O&amp;M Input'!$C$18+'STS Calculation Summary'!AE100*'STS O&amp;M Input'!$C$17+'STS Calculation Summary'!AF100*'STS O&amp;M Input'!$C$13+'STS Calculation Summary'!AH100*'STS O&amp;M Input'!$C$15+'STS Calculation Summary'!AI100*'STS O&amp;M Input'!$C$16+'STS Calculation Summary'!AG100*'STS O&amp;M Input'!$C$14</f>
        <v>66107.414374382206</v>
      </c>
      <c r="J100" s="121">
        <f>'STS Analytical Costs'!P101</f>
        <v>18135</v>
      </c>
      <c r="K100" s="121">
        <f>'STS Calculation Summary'!AL100*$L$8</f>
        <v>40209.333428749589</v>
      </c>
      <c r="L100" s="122">
        <f t="shared" si="5"/>
        <v>1231921.1181038748</v>
      </c>
    </row>
    <row r="101" spans="1:12" x14ac:dyDescent="0.25">
      <c r="A101" s="120">
        <v>91</v>
      </c>
      <c r="B101" s="121">
        <v>0</v>
      </c>
      <c r="C101" s="121">
        <f>IF('STS Calculation Summary'!$V101&gt;150000,'STS Labor'!$B$39,'STS Labor'!$E$39)</f>
        <v>445274.96000000008</v>
      </c>
      <c r="D101" s="121">
        <f t="shared" si="6"/>
        <v>75850.465087773453</v>
      </c>
      <c r="E101" s="121">
        <f t="shared" si="7"/>
        <v>113775.69763166018</v>
      </c>
      <c r="F101" s="121">
        <f>'STS O&amp;M Input'!$C$10*'STS Calculation Summary'!Y101</f>
        <v>413084.84357924125</v>
      </c>
      <c r="G101" s="121">
        <f>'STS Calculation Summary'!AA101*2000*'STS O&amp;M Input'!$C$11</f>
        <v>55373.415490259773</v>
      </c>
      <c r="H101" s="121">
        <f>'STS Calculation Summary'!AC101*2000*'STS O&amp;M Input'!$C$12</f>
        <v>4109.988511808252</v>
      </c>
      <c r="I101" s="121">
        <f>'STS Calculation Summary'!AD101*'STS O&amp;M Input'!$C$18+'STS Calculation Summary'!AE101*'STS O&amp;M Input'!$C$17+'STS Calculation Summary'!AF101*'STS O&amp;M Input'!$C$13+'STS Calculation Summary'!AH101*'STS O&amp;M Input'!$C$15+'STS Calculation Summary'!AI101*'STS O&amp;M Input'!$C$16+'STS Calculation Summary'!AG101*'STS O&amp;M Input'!$C$14</f>
        <v>66107.414374382206</v>
      </c>
      <c r="J101" s="121">
        <f>'STS Analytical Costs'!P102</f>
        <v>18135</v>
      </c>
      <c r="K101" s="121">
        <f>'STS Calculation Summary'!AL101*$L$8</f>
        <v>40209.333428749589</v>
      </c>
      <c r="L101" s="122">
        <f t="shared" si="5"/>
        <v>1231921.1181038748</v>
      </c>
    </row>
    <row r="102" spans="1:12" x14ac:dyDescent="0.25">
      <c r="A102" s="120">
        <v>92</v>
      </c>
      <c r="B102" s="121">
        <v>0</v>
      </c>
      <c r="C102" s="121">
        <f>IF('STS Calculation Summary'!$V102&gt;150000,'STS Labor'!$B$39,'STS Labor'!$E$39)</f>
        <v>445274.96000000008</v>
      </c>
      <c r="D102" s="121">
        <f t="shared" si="6"/>
        <v>75850.465087773453</v>
      </c>
      <c r="E102" s="121">
        <f t="shared" si="7"/>
        <v>113775.69763166018</v>
      </c>
      <c r="F102" s="121">
        <f>'STS O&amp;M Input'!$C$10*'STS Calculation Summary'!Y102</f>
        <v>413084.84357924125</v>
      </c>
      <c r="G102" s="121">
        <f>'STS Calculation Summary'!AA102*2000*'STS O&amp;M Input'!$C$11</f>
        <v>55373.415490259773</v>
      </c>
      <c r="H102" s="121">
        <f>'STS Calculation Summary'!AC102*2000*'STS O&amp;M Input'!$C$12</f>
        <v>4109.988511808252</v>
      </c>
      <c r="I102" s="121">
        <f>'STS Calculation Summary'!AD102*'STS O&amp;M Input'!$C$18+'STS Calculation Summary'!AE102*'STS O&amp;M Input'!$C$17+'STS Calculation Summary'!AF102*'STS O&amp;M Input'!$C$13+'STS Calculation Summary'!AH102*'STS O&amp;M Input'!$C$15+'STS Calculation Summary'!AI102*'STS O&amp;M Input'!$C$16+'STS Calculation Summary'!AG102*'STS O&amp;M Input'!$C$14</f>
        <v>66107.414374382206</v>
      </c>
      <c r="J102" s="121">
        <f>'STS Analytical Costs'!P103</f>
        <v>18135</v>
      </c>
      <c r="K102" s="121">
        <f>'STS Calculation Summary'!AL102*$L$8</f>
        <v>40209.333428749589</v>
      </c>
      <c r="L102" s="122">
        <f t="shared" si="5"/>
        <v>1231921.1181038748</v>
      </c>
    </row>
    <row r="103" spans="1:12" x14ac:dyDescent="0.25">
      <c r="A103" s="120">
        <v>93</v>
      </c>
      <c r="B103" s="121">
        <v>0</v>
      </c>
      <c r="C103" s="121">
        <f>IF('STS Calculation Summary'!$V103&gt;150000,'STS Labor'!$B$39,'STS Labor'!$E$39)</f>
        <v>445274.96000000008</v>
      </c>
      <c r="D103" s="121">
        <f t="shared" si="6"/>
        <v>75850.465087773453</v>
      </c>
      <c r="E103" s="121">
        <f t="shared" si="7"/>
        <v>113775.69763166018</v>
      </c>
      <c r="F103" s="121">
        <f>'STS O&amp;M Input'!$C$10*'STS Calculation Summary'!Y103</f>
        <v>413084.84357924125</v>
      </c>
      <c r="G103" s="121">
        <f>'STS Calculation Summary'!AA103*2000*'STS O&amp;M Input'!$C$11</f>
        <v>55373.415490259773</v>
      </c>
      <c r="H103" s="121">
        <f>'STS Calculation Summary'!AC103*2000*'STS O&amp;M Input'!$C$12</f>
        <v>4109.988511808252</v>
      </c>
      <c r="I103" s="121">
        <f>'STS Calculation Summary'!AD103*'STS O&amp;M Input'!$C$18+'STS Calculation Summary'!AE103*'STS O&amp;M Input'!$C$17+'STS Calculation Summary'!AF103*'STS O&amp;M Input'!$C$13+'STS Calculation Summary'!AH103*'STS O&amp;M Input'!$C$15+'STS Calculation Summary'!AI103*'STS O&amp;M Input'!$C$16+'STS Calculation Summary'!AG103*'STS O&amp;M Input'!$C$14</f>
        <v>66107.414374382206</v>
      </c>
      <c r="J103" s="121">
        <f>'STS Analytical Costs'!P104</f>
        <v>18135</v>
      </c>
      <c r="K103" s="121">
        <f>'STS Calculation Summary'!AL103*$L$8</f>
        <v>40209.333428749589</v>
      </c>
      <c r="L103" s="122">
        <f t="shared" si="5"/>
        <v>1231921.1181038748</v>
      </c>
    </row>
    <row r="104" spans="1:12" x14ac:dyDescent="0.25">
      <c r="A104" s="120">
        <v>94</v>
      </c>
      <c r="B104" s="121">
        <v>0</v>
      </c>
      <c r="C104" s="121">
        <f>IF('STS Calculation Summary'!$V104&gt;150000,'STS Labor'!$B$39,'STS Labor'!$E$39)</f>
        <v>445274.96000000008</v>
      </c>
      <c r="D104" s="121">
        <f t="shared" si="6"/>
        <v>75850.465087773453</v>
      </c>
      <c r="E104" s="121">
        <f t="shared" si="7"/>
        <v>113775.69763166018</v>
      </c>
      <c r="F104" s="121">
        <f>'STS O&amp;M Input'!$C$10*'STS Calculation Summary'!Y104</f>
        <v>413084.84357924125</v>
      </c>
      <c r="G104" s="121">
        <f>'STS Calculation Summary'!AA104*2000*'STS O&amp;M Input'!$C$11</f>
        <v>55373.415490259773</v>
      </c>
      <c r="H104" s="121">
        <f>'STS Calculation Summary'!AC104*2000*'STS O&amp;M Input'!$C$12</f>
        <v>4109.988511808252</v>
      </c>
      <c r="I104" s="121">
        <f>'STS Calculation Summary'!AD104*'STS O&amp;M Input'!$C$18+'STS Calculation Summary'!AE104*'STS O&amp;M Input'!$C$17+'STS Calculation Summary'!AF104*'STS O&amp;M Input'!$C$13+'STS Calculation Summary'!AH104*'STS O&amp;M Input'!$C$15+'STS Calculation Summary'!AI104*'STS O&amp;M Input'!$C$16+'STS Calculation Summary'!AG104*'STS O&amp;M Input'!$C$14</f>
        <v>66107.414374382206</v>
      </c>
      <c r="J104" s="121">
        <f>'STS Analytical Costs'!P105</f>
        <v>18135</v>
      </c>
      <c r="K104" s="121">
        <f>'STS Calculation Summary'!AL104*$L$8</f>
        <v>40209.333428749589</v>
      </c>
      <c r="L104" s="122">
        <f t="shared" si="5"/>
        <v>1231921.1181038748</v>
      </c>
    </row>
    <row r="105" spans="1:12" x14ac:dyDescent="0.25">
      <c r="A105" s="120">
        <v>95</v>
      </c>
      <c r="B105" s="121">
        <v>0</v>
      </c>
      <c r="C105" s="121">
        <f>IF('STS Calculation Summary'!$V105&gt;150000,'STS Labor'!$B$39,'STS Labor'!$E$39)</f>
        <v>445274.96000000008</v>
      </c>
      <c r="D105" s="121">
        <f t="shared" si="6"/>
        <v>75850.465087773453</v>
      </c>
      <c r="E105" s="121">
        <f t="shared" si="7"/>
        <v>113775.69763166018</v>
      </c>
      <c r="F105" s="121">
        <f>'STS O&amp;M Input'!$C$10*'STS Calculation Summary'!Y105</f>
        <v>413084.84357924125</v>
      </c>
      <c r="G105" s="121">
        <f>'STS Calculation Summary'!AA105*2000*'STS O&amp;M Input'!$C$11</f>
        <v>55373.415490259773</v>
      </c>
      <c r="H105" s="121">
        <f>'STS Calculation Summary'!AC105*2000*'STS O&amp;M Input'!$C$12</f>
        <v>4109.988511808252</v>
      </c>
      <c r="I105" s="121">
        <f>'STS Calculation Summary'!AD105*'STS O&amp;M Input'!$C$18+'STS Calculation Summary'!AE105*'STS O&amp;M Input'!$C$17+'STS Calculation Summary'!AF105*'STS O&amp;M Input'!$C$13+'STS Calculation Summary'!AH105*'STS O&amp;M Input'!$C$15+'STS Calculation Summary'!AI105*'STS O&amp;M Input'!$C$16+'STS Calculation Summary'!AG105*'STS O&amp;M Input'!$C$14</f>
        <v>66107.414374382206</v>
      </c>
      <c r="J105" s="121">
        <f>'STS Analytical Costs'!P106</f>
        <v>18135</v>
      </c>
      <c r="K105" s="121">
        <f>'STS Calculation Summary'!AL105*$L$8</f>
        <v>40209.333428749589</v>
      </c>
      <c r="L105" s="122">
        <f t="shared" si="5"/>
        <v>1231921.1181038748</v>
      </c>
    </row>
    <row r="106" spans="1:12" x14ac:dyDescent="0.25">
      <c r="A106" s="120">
        <v>96</v>
      </c>
      <c r="B106" s="121">
        <v>0</v>
      </c>
      <c r="C106" s="121">
        <f>IF('STS Calculation Summary'!$V106&gt;150000,'STS Labor'!$B$39,'STS Labor'!$E$39)</f>
        <v>445274.96000000008</v>
      </c>
      <c r="D106" s="121">
        <f t="shared" si="6"/>
        <v>75850.465087773453</v>
      </c>
      <c r="E106" s="121">
        <f t="shared" si="7"/>
        <v>113775.69763166018</v>
      </c>
      <c r="F106" s="121">
        <f>'STS O&amp;M Input'!$C$10*'STS Calculation Summary'!Y106</f>
        <v>413084.83973810275</v>
      </c>
      <c r="G106" s="121">
        <f>'STS Calculation Summary'!AA106*2000*'STS O&amp;M Input'!$C$11</f>
        <v>55373.415204710524</v>
      </c>
      <c r="H106" s="121">
        <f>'STS Calculation Summary'!AC106*2000*'STS O&amp;M Input'!$C$12</f>
        <v>4109.988511808252</v>
      </c>
      <c r="I106" s="121">
        <f>'STS Calculation Summary'!AD106*'STS O&amp;M Input'!$C$18+'STS Calculation Summary'!AE106*'STS O&amp;M Input'!$C$17+'STS Calculation Summary'!AF106*'STS O&amp;M Input'!$C$13+'STS Calculation Summary'!AH106*'STS O&amp;M Input'!$C$15+'STS Calculation Summary'!AI106*'STS O&amp;M Input'!$C$16+'STS Calculation Summary'!AG106*'STS O&amp;M Input'!$C$14</f>
        <v>66107.414210329807</v>
      </c>
      <c r="J106" s="121">
        <f>'STS Analytical Costs'!P107</f>
        <v>18135</v>
      </c>
      <c r="K106" s="121">
        <f>'STS Calculation Summary'!AL106*$L$8</f>
        <v>40209.333312792573</v>
      </c>
      <c r="L106" s="122">
        <f t="shared" si="5"/>
        <v>1231921.1136971775</v>
      </c>
    </row>
    <row r="107" spans="1:12" x14ac:dyDescent="0.25">
      <c r="A107" s="120">
        <v>97</v>
      </c>
      <c r="B107" s="121">
        <v>0</v>
      </c>
      <c r="C107" s="121">
        <f>IF('STS Calculation Summary'!$V107&gt;150000,'STS Labor'!$B$39,'STS Labor'!$E$39)</f>
        <v>445274.96000000008</v>
      </c>
      <c r="D107" s="121">
        <f t="shared" si="6"/>
        <v>75850.465087773453</v>
      </c>
      <c r="E107" s="121">
        <f t="shared" si="7"/>
        <v>113775.69763166018</v>
      </c>
      <c r="F107" s="121">
        <f>'STS O&amp;M Input'!$C$10*'STS Calculation Summary'!Y107</f>
        <v>413084.84357924125</v>
      </c>
      <c r="G107" s="121">
        <f>'STS Calculation Summary'!AA107*2000*'STS O&amp;M Input'!$C$11</f>
        <v>55373.415490259773</v>
      </c>
      <c r="H107" s="121">
        <f>'STS Calculation Summary'!AC107*2000*'STS O&amp;M Input'!$C$12</f>
        <v>4109.988511808252</v>
      </c>
      <c r="I107" s="121">
        <f>'STS Calculation Summary'!AD107*'STS O&amp;M Input'!$C$18+'STS Calculation Summary'!AE107*'STS O&amp;M Input'!$C$17+'STS Calculation Summary'!AF107*'STS O&amp;M Input'!$C$13+'STS Calculation Summary'!AH107*'STS O&amp;M Input'!$C$15+'STS Calculation Summary'!AI107*'STS O&amp;M Input'!$C$16+'STS Calculation Summary'!AG107*'STS O&amp;M Input'!$C$14</f>
        <v>66107.414374382206</v>
      </c>
      <c r="J107" s="121">
        <f>'STS Analytical Costs'!P108</f>
        <v>18135</v>
      </c>
      <c r="K107" s="121">
        <f>'STS Calculation Summary'!AL107*$L$8</f>
        <v>40209.333428749589</v>
      </c>
      <c r="L107" s="122">
        <f t="shared" si="5"/>
        <v>1231921.1181038748</v>
      </c>
    </row>
    <row r="108" spans="1:12" x14ac:dyDescent="0.25">
      <c r="A108" s="120">
        <v>98</v>
      </c>
      <c r="B108" s="121">
        <v>0</v>
      </c>
      <c r="C108" s="121">
        <f>IF('STS Calculation Summary'!$V108&gt;150000,'STS Labor'!$B$39,'STS Labor'!$E$39)</f>
        <v>445274.96000000008</v>
      </c>
      <c r="D108" s="121">
        <f t="shared" si="6"/>
        <v>75850.465087773453</v>
      </c>
      <c r="E108" s="121">
        <f t="shared" si="7"/>
        <v>113775.69763166018</v>
      </c>
      <c r="F108" s="121">
        <f>'STS O&amp;M Input'!$C$10*'STS Calculation Summary'!Y108</f>
        <v>413084.84357924125</v>
      </c>
      <c r="G108" s="121">
        <f>'STS Calculation Summary'!AA108*2000*'STS O&amp;M Input'!$C$11</f>
        <v>55373.415490259773</v>
      </c>
      <c r="H108" s="121">
        <f>'STS Calculation Summary'!AC108*2000*'STS O&amp;M Input'!$C$12</f>
        <v>4109.988511808252</v>
      </c>
      <c r="I108" s="121">
        <f>'STS Calculation Summary'!AD108*'STS O&amp;M Input'!$C$18+'STS Calculation Summary'!AE108*'STS O&amp;M Input'!$C$17+'STS Calculation Summary'!AF108*'STS O&amp;M Input'!$C$13+'STS Calculation Summary'!AH108*'STS O&amp;M Input'!$C$15+'STS Calculation Summary'!AI108*'STS O&amp;M Input'!$C$16+'STS Calculation Summary'!AG108*'STS O&amp;M Input'!$C$14</f>
        <v>66107.414374382206</v>
      </c>
      <c r="J108" s="121">
        <f>'STS Analytical Costs'!P109</f>
        <v>18135</v>
      </c>
      <c r="K108" s="121">
        <f>'STS Calculation Summary'!AL108*$L$8</f>
        <v>40209.333428749589</v>
      </c>
      <c r="L108" s="122">
        <f t="shared" si="5"/>
        <v>1231921.1181038748</v>
      </c>
    </row>
    <row r="109" spans="1:12" x14ac:dyDescent="0.25">
      <c r="A109" s="120">
        <v>99</v>
      </c>
      <c r="B109" s="121">
        <v>0</v>
      </c>
      <c r="C109" s="121">
        <f>IF('STS Calculation Summary'!$V109&gt;150000,'STS Labor'!$B$39,'STS Labor'!$E$39)</f>
        <v>445274.96000000008</v>
      </c>
      <c r="D109" s="121">
        <f t="shared" si="6"/>
        <v>75850.465087773453</v>
      </c>
      <c r="E109" s="121">
        <f t="shared" si="7"/>
        <v>113775.69763166018</v>
      </c>
      <c r="F109" s="121">
        <f>'STS O&amp;M Input'!$C$10*'STS Calculation Summary'!Y109</f>
        <v>413084.84357924125</v>
      </c>
      <c r="G109" s="121">
        <f>'STS Calculation Summary'!AA109*2000*'STS O&amp;M Input'!$C$11</f>
        <v>55373.415490259773</v>
      </c>
      <c r="H109" s="121">
        <f>'STS Calculation Summary'!AC109*2000*'STS O&amp;M Input'!$C$12</f>
        <v>4109.988511808252</v>
      </c>
      <c r="I109" s="121">
        <f>'STS Calculation Summary'!AD109*'STS O&amp;M Input'!$C$18+'STS Calculation Summary'!AE109*'STS O&amp;M Input'!$C$17+'STS Calculation Summary'!AF109*'STS O&amp;M Input'!$C$13+'STS Calculation Summary'!AH109*'STS O&amp;M Input'!$C$15+'STS Calculation Summary'!AI109*'STS O&amp;M Input'!$C$16+'STS Calculation Summary'!AG109*'STS O&amp;M Input'!$C$14</f>
        <v>66107.414374382206</v>
      </c>
      <c r="J109" s="121">
        <f>'STS Analytical Costs'!P110</f>
        <v>18135</v>
      </c>
      <c r="K109" s="121">
        <f>'STS Calculation Summary'!AL109*$L$8</f>
        <v>40209.333428749589</v>
      </c>
      <c r="L109" s="122">
        <f t="shared" si="5"/>
        <v>1231921.1181038748</v>
      </c>
    </row>
    <row r="110" spans="1:12" x14ac:dyDescent="0.25">
      <c r="A110" s="120">
        <v>100</v>
      </c>
      <c r="B110" s="121">
        <v>0</v>
      </c>
      <c r="C110" s="121">
        <f>IF('STS Calculation Summary'!$V110&gt;150000,'STS Labor'!$B$39,'STS Labor'!$E$39)</f>
        <v>445274.96000000008</v>
      </c>
      <c r="D110" s="121">
        <f t="shared" si="6"/>
        <v>75850.465087773453</v>
      </c>
      <c r="E110" s="121">
        <f t="shared" si="7"/>
        <v>113775.69763166018</v>
      </c>
      <c r="F110" s="121">
        <f>'STS O&amp;M Input'!$C$10*'STS Calculation Summary'!Y110</f>
        <v>413084.84357924125</v>
      </c>
      <c r="G110" s="121">
        <f>'STS Calculation Summary'!AA110*2000*'STS O&amp;M Input'!$C$11</f>
        <v>55373.415490259773</v>
      </c>
      <c r="H110" s="121">
        <f>'STS Calculation Summary'!AC110*2000*'STS O&amp;M Input'!$C$12</f>
        <v>4109.988511808252</v>
      </c>
      <c r="I110" s="121">
        <f>'STS Calculation Summary'!AD110*'STS O&amp;M Input'!$C$18+'STS Calculation Summary'!AE110*'STS O&amp;M Input'!$C$17+'STS Calculation Summary'!AF110*'STS O&amp;M Input'!$C$13+'STS Calculation Summary'!AH110*'STS O&amp;M Input'!$C$15+'STS Calculation Summary'!AI110*'STS O&amp;M Input'!$C$16+'STS Calculation Summary'!AG110*'STS O&amp;M Input'!$C$14</f>
        <v>66107.414374382206</v>
      </c>
      <c r="J110" s="121">
        <f>'STS Analytical Costs'!P111</f>
        <v>18135</v>
      </c>
      <c r="K110" s="121">
        <f>'STS Calculation Summary'!AL110*$L$8</f>
        <v>40209.333428749589</v>
      </c>
      <c r="L110" s="122">
        <f t="shared" si="5"/>
        <v>1231921.1181038748</v>
      </c>
    </row>
    <row r="111" spans="1:12" ht="13" x14ac:dyDescent="0.3">
      <c r="A111" s="123" t="s">
        <v>57</v>
      </c>
      <c r="B111" s="124">
        <f>SUM(B11:B110)</f>
        <v>7585046.5087773455</v>
      </c>
      <c r="C111" s="124">
        <f t="shared" ref="C111:L111" si="8">SUM(C11:C110)</f>
        <v>47081366.800000072</v>
      </c>
      <c r="D111" s="124">
        <f t="shared" si="8"/>
        <v>7205794.183338468</v>
      </c>
      <c r="E111" s="124">
        <f t="shared" si="8"/>
        <v>10808691.275007725</v>
      </c>
      <c r="F111" s="124">
        <f t="shared" si="8"/>
        <v>49140251.813635439</v>
      </c>
      <c r="G111" s="124">
        <f t="shared" si="8"/>
        <v>5582351.0826622341</v>
      </c>
      <c r="H111" s="124">
        <f t="shared" si="8"/>
        <v>426137.48188535828</v>
      </c>
      <c r="I111" s="124">
        <f t="shared" si="8"/>
        <v>6996777.3132003434</v>
      </c>
      <c r="J111" s="124">
        <f t="shared" si="8"/>
        <v>2150408</v>
      </c>
      <c r="K111" s="124">
        <f t="shared" si="8"/>
        <v>4224641.9876696942</v>
      </c>
      <c r="L111" s="185">
        <f t="shared" si="8"/>
        <v>141201466.44617665</v>
      </c>
    </row>
    <row r="112" spans="1:12" ht="14.15" customHeight="1" x14ac:dyDescent="0.25">
      <c r="A112" s="557" t="s">
        <v>174</v>
      </c>
      <c r="B112" s="557"/>
      <c r="C112" s="557"/>
      <c r="D112" s="557"/>
      <c r="E112" s="557"/>
      <c r="F112" s="557"/>
      <c r="G112" s="557"/>
      <c r="H112" s="557"/>
      <c r="I112" s="557"/>
      <c r="J112" s="557"/>
      <c r="K112" s="557"/>
      <c r="L112" s="557"/>
    </row>
    <row r="113" spans="1:10" x14ac:dyDescent="0.25">
      <c r="A113" s="94" t="s">
        <v>86</v>
      </c>
      <c r="F113" s="344" t="s">
        <v>0</v>
      </c>
      <c r="H113" s="344" t="s">
        <v>0</v>
      </c>
    </row>
    <row r="114" spans="1:10" s="451" customFormat="1" ht="14" x14ac:dyDescent="0.3">
      <c r="A114" s="448" t="s">
        <v>85</v>
      </c>
      <c r="B114" s="449"/>
      <c r="C114" s="449"/>
      <c r="D114" s="449"/>
      <c r="E114" s="449"/>
      <c r="F114" s="449"/>
      <c r="G114" s="449"/>
      <c r="H114" s="449"/>
      <c r="I114" s="449"/>
      <c r="J114" s="450"/>
    </row>
    <row r="115" spans="1:10" x14ac:dyDescent="0.25">
      <c r="A115" s="244"/>
      <c r="B115" s="244"/>
      <c r="D115" s="344" t="s">
        <v>0</v>
      </c>
    </row>
    <row r="116" spans="1:10" x14ac:dyDescent="0.25">
      <c r="F116" s="344" t="s">
        <v>0</v>
      </c>
      <c r="H116" s="344" t="s">
        <v>0</v>
      </c>
    </row>
  </sheetData>
  <mergeCells count="12">
    <mergeCell ref="K3:L3"/>
    <mergeCell ref="A112:L112"/>
    <mergeCell ref="L9:L10"/>
    <mergeCell ref="O7:P7"/>
    <mergeCell ref="A9:A10"/>
    <mergeCell ref="C9:C10"/>
    <mergeCell ref="E9:E10"/>
    <mergeCell ref="F9:I9"/>
    <mergeCell ref="J9:J10"/>
    <mergeCell ref="K9:K10"/>
    <mergeCell ref="D9:D10"/>
    <mergeCell ref="B9:B10"/>
  </mergeCells>
  <pageMargins left="0.7" right="0.7" top="0.75" bottom="0.75" header="0.3" footer="0.3"/>
  <pageSetup paperSize="3" scale="76"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33F9-7910-4FD4-884F-F762689C450E}">
  <sheetPr>
    <tabColor rgb="FF00B050"/>
    <pageSetUpPr fitToPage="1"/>
  </sheetPr>
  <dimension ref="A1:I88"/>
  <sheetViews>
    <sheetView topLeftCell="A10" zoomScaleNormal="100" zoomScaleSheetLayoutView="100" workbookViewId="0">
      <selection activeCell="A23" sqref="A23"/>
    </sheetView>
  </sheetViews>
  <sheetFormatPr defaultColWidth="9.1796875" defaultRowHeight="12.5" x14ac:dyDescent="0.25"/>
  <cols>
    <col min="1" max="1" width="33.54296875" style="94" customWidth="1"/>
    <col min="2" max="2" width="1.81640625" style="94" customWidth="1"/>
    <col min="3" max="3" width="21.54296875" style="94" customWidth="1"/>
    <col min="4" max="7" width="9.1796875" style="94"/>
    <col min="8" max="8" width="11.26953125" style="94" customWidth="1"/>
    <col min="9" max="9" width="16.453125" style="94" customWidth="1"/>
    <col min="10" max="20" width="9.1796875" style="94" customWidth="1"/>
    <col min="21" max="16384" width="9.1796875" style="94"/>
  </cols>
  <sheetData>
    <row r="1" spans="1:9" x14ac:dyDescent="0.25">
      <c r="B1" s="131"/>
      <c r="F1" s="98"/>
    </row>
    <row r="2" spans="1:9" ht="14.5" x14ac:dyDescent="0.35">
      <c r="D2" s="286"/>
      <c r="F2" s="98"/>
    </row>
    <row r="3" spans="1:9" ht="22.5" customHeight="1" x14ac:dyDescent="0.25">
      <c r="A3" s="3"/>
      <c r="B3" s="3"/>
      <c r="C3" s="3"/>
    </row>
    <row r="4" spans="1:9" ht="13" x14ac:dyDescent="0.3">
      <c r="A4" s="455" t="s">
        <v>1</v>
      </c>
      <c r="B4" s="455"/>
      <c r="C4" s="125">
        <f>'2019 CCP Summary'!B4</f>
        <v>43536</v>
      </c>
      <c r="D4" s="4"/>
    </row>
    <row r="5" spans="1:9" ht="13" x14ac:dyDescent="0.3">
      <c r="A5" s="456" t="s">
        <v>2</v>
      </c>
      <c r="B5" s="456"/>
      <c r="C5" s="6" t="s">
        <v>3</v>
      </c>
      <c r="D5" s="7"/>
    </row>
    <row r="6" spans="1:9" ht="13" x14ac:dyDescent="0.3">
      <c r="A6" s="456" t="s">
        <v>4</v>
      </c>
      <c r="B6" s="456"/>
      <c r="C6" s="6" t="s">
        <v>175</v>
      </c>
      <c r="D6" s="8"/>
    </row>
    <row r="7" spans="1:9" ht="13" x14ac:dyDescent="0.3">
      <c r="A7" s="457" t="s">
        <v>6</v>
      </c>
      <c r="B7" s="457"/>
      <c r="C7" s="6" t="s">
        <v>7</v>
      </c>
      <c r="D7" s="8"/>
    </row>
    <row r="8" spans="1:9" ht="13" x14ac:dyDescent="0.3">
      <c r="A8" s="132"/>
      <c r="B8" s="132"/>
      <c r="C8" s="132"/>
      <c r="D8" s="110"/>
      <c r="E8" s="110"/>
      <c r="F8" s="127"/>
      <c r="G8" s="133"/>
      <c r="H8" s="134"/>
      <c r="I8" s="128"/>
    </row>
    <row r="9" spans="1:9" ht="13" x14ac:dyDescent="0.3">
      <c r="A9" s="238" t="s">
        <v>176</v>
      </c>
      <c r="B9" s="458"/>
      <c r="C9" s="564" t="s">
        <v>177</v>
      </c>
      <c r="D9" s="565"/>
      <c r="E9" s="565"/>
      <c r="F9" s="239" t="s">
        <v>178</v>
      </c>
      <c r="G9" s="459" t="s">
        <v>179</v>
      </c>
      <c r="H9" s="240" t="s">
        <v>180</v>
      </c>
      <c r="I9" s="241" t="s">
        <v>181</v>
      </c>
    </row>
    <row r="10" spans="1:9" ht="13" x14ac:dyDescent="0.3">
      <c r="A10" s="566" t="s">
        <v>182</v>
      </c>
      <c r="B10" s="567"/>
      <c r="C10" s="567"/>
      <c r="D10" s="567"/>
      <c r="E10" s="567"/>
      <c r="F10" s="567"/>
      <c r="G10" s="567"/>
      <c r="H10" s="567"/>
      <c r="I10" s="568"/>
    </row>
    <row r="11" spans="1:9" ht="33.75" customHeight="1" x14ac:dyDescent="0.25">
      <c r="A11" s="348" t="str">
        <f>'STS Equipment List Input'!A17</f>
        <v>Membrane System, UF and RO systems</v>
      </c>
      <c r="B11" s="135" t="s">
        <v>183</v>
      </c>
      <c r="C11" s="563" t="str">
        <f>'STS Equipment List Input'!B17</f>
        <v>1,700 gpm, UF is 2 50% units and RO is 3 33% units for flexibility</v>
      </c>
      <c r="D11" s="563"/>
      <c r="E11" s="563"/>
      <c r="F11" s="136">
        <f>'STS Equipment List Input'!E17</f>
        <v>1</v>
      </c>
      <c r="G11" s="136" t="s">
        <v>184</v>
      </c>
      <c r="H11" s="137">
        <f>'STS Equipment List Input'!F17/'STS Equipment List Input'!E17</f>
        <v>1876145</v>
      </c>
      <c r="I11" s="137">
        <f t="shared" ref="I11:I32" si="0">F11*H11</f>
        <v>1876145</v>
      </c>
    </row>
    <row r="12" spans="1:9" ht="44.25" customHeight="1" x14ac:dyDescent="0.25">
      <c r="A12" s="348" t="str">
        <f>'STS Equipment List Input'!A18</f>
        <v>Reaction Tank</v>
      </c>
      <c r="B12" s="135" t="s">
        <v>183</v>
      </c>
      <c r="C12" s="563" t="str">
        <f>'STS Equipment List Input'!B18</f>
        <v>Four 30,000 gallon tanks for flexibility, appx 120 min reaction time, baffles, ladder, platform, mixer mount and mixer</v>
      </c>
      <c r="D12" s="563"/>
      <c r="E12" s="563"/>
      <c r="F12" s="136">
        <f>'STS Equipment List Input'!E18</f>
        <v>4</v>
      </c>
      <c r="G12" s="136" t="s">
        <v>184</v>
      </c>
      <c r="H12" s="137">
        <f>'STS Equipment List Input'!F18/'STS Equipment List Input'!E18</f>
        <v>188490</v>
      </c>
      <c r="I12" s="137">
        <f t="shared" si="0"/>
        <v>753960</v>
      </c>
    </row>
    <row r="13" spans="1:9" ht="14.5" x14ac:dyDescent="0.25">
      <c r="A13" s="348" t="str">
        <f>'STS Equipment List Input'!A19</f>
        <v>Floc Tank</v>
      </c>
      <c r="B13" s="135" t="s">
        <v>183</v>
      </c>
      <c r="C13" s="563" t="str">
        <f>'STS Equipment List Input'!B19</f>
        <v>5,000 gallon tank and mixer</v>
      </c>
      <c r="D13" s="563"/>
      <c r="E13" s="563"/>
      <c r="F13" s="136">
        <f>'STS Equipment List Input'!E19</f>
        <v>1</v>
      </c>
      <c r="G13" s="136" t="s">
        <v>184</v>
      </c>
      <c r="H13" s="137">
        <f>'STS Equipment List Input'!F19/'STS Equipment List Input'!E19</f>
        <v>20334.452099999999</v>
      </c>
      <c r="I13" s="137">
        <f t="shared" si="0"/>
        <v>20334.452099999999</v>
      </c>
    </row>
    <row r="14" spans="1:9" ht="42" customHeight="1" x14ac:dyDescent="0.25">
      <c r="A14" s="348" t="str">
        <f>'STS Equipment List Input'!A20</f>
        <v>Sludge Densification Tank</v>
      </c>
      <c r="B14" s="135" t="s">
        <v>183</v>
      </c>
      <c r="C14" s="563" t="str">
        <f>'STS Equipment List Input'!B20</f>
        <v>2 tanks at 600 gal, with internal baffles, mixer mount and mixer, legs for gravity overflow to reaction tank</v>
      </c>
      <c r="D14" s="563"/>
      <c r="E14" s="563"/>
      <c r="F14" s="136">
        <f>'STS Equipment List Input'!E20</f>
        <v>2</v>
      </c>
      <c r="G14" s="136" t="s">
        <v>184</v>
      </c>
      <c r="H14" s="137">
        <f>'STS Equipment List Input'!F20/'STS Equipment List Input'!E20</f>
        <v>108075.7348941891</v>
      </c>
      <c r="I14" s="137">
        <f t="shared" si="0"/>
        <v>216151.46978837819</v>
      </c>
    </row>
    <row r="15" spans="1:9" ht="28.5" customHeight="1" x14ac:dyDescent="0.25">
      <c r="A15" s="348" t="str">
        <f>'STS Equipment List Input'!A21</f>
        <v xml:space="preserve">Thickener/Clarifier </v>
      </c>
      <c r="B15" s="135" t="s">
        <v>183</v>
      </c>
      <c r="C15" s="563" t="str">
        <f>'STS Equipment List Input'!B21</f>
        <v>70' diameter, with feedwell, bridge, ladder, platform</v>
      </c>
      <c r="D15" s="563"/>
      <c r="E15" s="563"/>
      <c r="F15" s="136">
        <f>'STS Equipment List Input'!E21</f>
        <v>1</v>
      </c>
      <c r="G15" s="136" t="s">
        <v>184</v>
      </c>
      <c r="H15" s="137">
        <f>'STS Equipment List Input'!F21/'STS Equipment List Input'!E21</f>
        <v>331660</v>
      </c>
      <c r="I15" s="137">
        <f t="shared" si="0"/>
        <v>331660</v>
      </c>
    </row>
    <row r="16" spans="1:9" ht="14.5" x14ac:dyDescent="0.25">
      <c r="A16" s="348" t="str">
        <f>'STS Equipment List Input'!A22</f>
        <v xml:space="preserve">Sludge Pump </v>
      </c>
      <c r="B16" s="135" t="s">
        <v>183</v>
      </c>
      <c r="C16" s="563" t="str">
        <f>'STS Equipment List Input'!B22</f>
        <v>42 gpm</v>
      </c>
      <c r="D16" s="563"/>
      <c r="E16" s="563"/>
      <c r="F16" s="136">
        <f>'STS Equipment List Input'!E22</f>
        <v>2</v>
      </c>
      <c r="G16" s="136" t="s">
        <v>184</v>
      </c>
      <c r="H16" s="137">
        <f>'STS Equipment List Input'!F22/'STS Equipment List Input'!E22</f>
        <v>5470.342204881953</v>
      </c>
      <c r="I16" s="137">
        <f t="shared" si="0"/>
        <v>10940.684409763906</v>
      </c>
    </row>
    <row r="17" spans="1:9" ht="14.5" x14ac:dyDescent="0.25">
      <c r="A17" s="348" t="str">
        <f>'STS Equipment List Input'!A23</f>
        <v>Underflow Pump</v>
      </c>
      <c r="B17" s="135" t="s">
        <v>183</v>
      </c>
      <c r="C17" s="563" t="str">
        <f>'STS Equipment List Input'!B23</f>
        <v>3 Recycles 249 gpm</v>
      </c>
      <c r="D17" s="563"/>
      <c r="E17" s="563"/>
      <c r="F17" s="136">
        <f>'STS Equipment List Input'!E23</f>
        <v>2</v>
      </c>
      <c r="G17" s="136" t="s">
        <v>184</v>
      </c>
      <c r="H17" s="137">
        <f>'STS Equipment List Input'!F23/'STS Equipment List Input'!E23</f>
        <v>19014.264668634631</v>
      </c>
      <c r="I17" s="137">
        <f t="shared" si="0"/>
        <v>38028.529337269261</v>
      </c>
    </row>
    <row r="18" spans="1:9" ht="14.5" x14ac:dyDescent="0.25">
      <c r="A18" s="348" t="str">
        <f>'STS Equipment List Input'!A24</f>
        <v>Polymer system</v>
      </c>
      <c r="B18" s="135" t="s">
        <v>183</v>
      </c>
      <c r="C18" s="563" t="str">
        <f>'STS Equipment List Input'!B24</f>
        <v>10 mg/L - 0.67 gph</v>
      </c>
      <c r="D18" s="563"/>
      <c r="E18" s="563"/>
      <c r="F18" s="136">
        <f>'STS Equipment List Input'!E24</f>
        <v>1</v>
      </c>
      <c r="G18" s="136" t="s">
        <v>184</v>
      </c>
      <c r="H18" s="137">
        <f>'STS Equipment List Input'!F24/'STS Equipment List Input'!E24</f>
        <v>15997.982225339998</v>
      </c>
      <c r="I18" s="137">
        <f t="shared" si="0"/>
        <v>15997.982225339998</v>
      </c>
    </row>
    <row r="19" spans="1:9" ht="14.5" x14ac:dyDescent="0.25">
      <c r="A19" s="348" t="str">
        <f>'STS Equipment List Input'!A25</f>
        <v>Lime Silo and Slaker System</v>
      </c>
      <c r="B19" s="135" t="s">
        <v>183</v>
      </c>
      <c r="C19" s="563" t="str">
        <f>'STS Equipment List Input'!B25</f>
        <v>36,780  lb/day - 39 gpm, 10% slurry</v>
      </c>
      <c r="D19" s="563"/>
      <c r="E19" s="563"/>
      <c r="F19" s="136">
        <f>'STS Equipment List Input'!E25</f>
        <v>1</v>
      </c>
      <c r="G19" s="136" t="s">
        <v>184</v>
      </c>
      <c r="H19" s="137">
        <f>'STS Equipment List Input'!F25/'STS Equipment List Input'!E25</f>
        <v>1014550</v>
      </c>
      <c r="I19" s="137">
        <f t="shared" si="0"/>
        <v>1014550</v>
      </c>
    </row>
    <row r="20" spans="1:9" ht="14.5" x14ac:dyDescent="0.25">
      <c r="A20" s="348" t="str">
        <f>'STS Equipment List Input'!A26</f>
        <v>pH control system (acid addition)</v>
      </c>
      <c r="B20" s="135" t="s">
        <v>183</v>
      </c>
      <c r="C20" s="563" t="str">
        <f>'STS Equipment List Input'!B26</f>
        <v>6.65 mg/L - 1.46 gph, 0.35 concentration</v>
      </c>
      <c r="D20" s="563"/>
      <c r="E20" s="563"/>
      <c r="F20" s="136">
        <f>'STS Equipment List Input'!E26</f>
        <v>2</v>
      </c>
      <c r="G20" s="136" t="s">
        <v>184</v>
      </c>
      <c r="H20" s="137">
        <f>'STS Equipment List Input'!F26/'STS Equipment List Input'!E26</f>
        <v>16266.779699999999</v>
      </c>
      <c r="I20" s="137">
        <f t="shared" si="0"/>
        <v>32533.559399999998</v>
      </c>
    </row>
    <row r="21" spans="1:9" ht="14.5" x14ac:dyDescent="0.25">
      <c r="A21" s="348" t="str">
        <f>'STS Equipment List Input'!A27</f>
        <v>Effluent Neutralization Tank</v>
      </c>
      <c r="B21" s="135" t="s">
        <v>183</v>
      </c>
      <c r="C21" s="563" t="str">
        <f>'STS Equipment List Input'!B27</f>
        <v>28,000 gallon tank with mixer</v>
      </c>
      <c r="D21" s="563"/>
      <c r="E21" s="563"/>
      <c r="F21" s="136">
        <f>'STS Equipment List Input'!E27</f>
        <v>1</v>
      </c>
      <c r="G21" s="136" t="s">
        <v>184</v>
      </c>
      <c r="H21" s="137">
        <f>'STS Equipment List Input'!F27/'STS Equipment List Input'!E27</f>
        <v>188490</v>
      </c>
      <c r="I21" s="137">
        <f t="shared" si="0"/>
        <v>188490</v>
      </c>
    </row>
    <row r="22" spans="1:9" ht="14.5" x14ac:dyDescent="0.25">
      <c r="A22" s="348" t="str">
        <f>'STS Equipment List Input'!A28</f>
        <v>Sludge Holding Tank</v>
      </c>
      <c r="B22" s="135" t="s">
        <v>183</v>
      </c>
      <c r="C22" s="563" t="str">
        <f>'STS Equipment List Input'!B28</f>
        <v>13,000 gal</v>
      </c>
      <c r="D22" s="563"/>
      <c r="E22" s="563"/>
      <c r="F22" s="136">
        <f>'STS Equipment List Input'!E28</f>
        <v>1</v>
      </c>
      <c r="G22" s="136" t="s">
        <v>184</v>
      </c>
      <c r="H22" s="137">
        <f>'STS Equipment List Input'!F28/'STS Equipment List Input'!E28</f>
        <v>38093.122971499863</v>
      </c>
      <c r="I22" s="137">
        <f t="shared" si="0"/>
        <v>38093.122971499863</v>
      </c>
    </row>
    <row r="23" spans="1:9" ht="14.5" x14ac:dyDescent="0.25">
      <c r="A23" s="348" t="str">
        <f>'STS Equipment List Input'!A29</f>
        <v>Filter Press System</v>
      </c>
      <c r="B23" s="135" t="s">
        <v>183</v>
      </c>
      <c r="C23" s="563" t="str">
        <f>'STS Equipment List Input'!B29</f>
        <v>2 - 100 ft3 including platform and conveyor</v>
      </c>
      <c r="D23" s="563"/>
      <c r="E23" s="563"/>
      <c r="F23" s="136">
        <f>'STS Equipment List Input'!E29</f>
        <v>2</v>
      </c>
      <c r="G23" s="136" t="s">
        <v>184</v>
      </c>
      <c r="H23" s="137">
        <f>'STS Equipment List Input'!F29/'STS Equipment List Input'!E29</f>
        <v>275208.28752439661</v>
      </c>
      <c r="I23" s="137">
        <f t="shared" si="0"/>
        <v>550416.57504879322</v>
      </c>
    </row>
    <row r="24" spans="1:9" ht="14.5" x14ac:dyDescent="0.25">
      <c r="A24" s="348" t="str">
        <f>'STS Equipment List Input'!A30</f>
        <v>Filtrate Tank</v>
      </c>
      <c r="B24" s="135" t="s">
        <v>183</v>
      </c>
      <c r="C24" s="563" t="str">
        <f>'STS Equipment List Input'!B30</f>
        <v>4,000 gal</v>
      </c>
      <c r="D24" s="563"/>
      <c r="E24" s="563"/>
      <c r="F24" s="136">
        <f>'STS Equipment List Input'!E30</f>
        <v>1</v>
      </c>
      <c r="G24" s="136" t="s">
        <v>184</v>
      </c>
      <c r="H24" s="137">
        <f>'STS Equipment List Input'!F30/'STS Equipment List Input'!E30</f>
        <v>11406.126045796127</v>
      </c>
      <c r="I24" s="137">
        <f t="shared" si="0"/>
        <v>11406.126045796127</v>
      </c>
    </row>
    <row r="25" spans="1:9" ht="14.5" x14ac:dyDescent="0.25">
      <c r="A25" s="348" t="str">
        <f>'STS Equipment List Input'!A31</f>
        <v>Filtrate Pump</v>
      </c>
      <c r="B25" s="135" t="s">
        <v>183</v>
      </c>
      <c r="C25" s="563" t="str">
        <f>'STS Equipment List Input'!B31</f>
        <v>13 gpm</v>
      </c>
      <c r="D25" s="563"/>
      <c r="E25" s="563"/>
      <c r="F25" s="136">
        <f>'STS Equipment List Input'!E31</f>
        <v>2</v>
      </c>
      <c r="G25" s="136" t="s">
        <v>184</v>
      </c>
      <c r="H25" s="137">
        <f>'STS Equipment List Input'!F31/'STS Equipment List Input'!E31</f>
        <v>5731.3708318370336</v>
      </c>
      <c r="I25" s="137">
        <f t="shared" si="0"/>
        <v>11462.741663674067</v>
      </c>
    </row>
    <row r="26" spans="1:9" ht="14.5" x14ac:dyDescent="0.25">
      <c r="A26" s="348" t="str">
        <f>'STS Equipment List Input'!A32</f>
        <v>Process Water Tank</v>
      </c>
      <c r="B26" s="135" t="s">
        <v>183</v>
      </c>
      <c r="C26" s="563" t="str">
        <f>'STS Equipment List Input'!B32</f>
        <v>3,000 gal</v>
      </c>
      <c r="D26" s="563"/>
      <c r="E26" s="563"/>
      <c r="F26" s="136">
        <f>'STS Equipment List Input'!E32</f>
        <v>1</v>
      </c>
      <c r="G26" s="136" t="s">
        <v>184</v>
      </c>
      <c r="H26" s="137">
        <f>'STS Equipment List Input'!F32/'STS Equipment List Input'!E32</f>
        <v>9325.6916353448887</v>
      </c>
      <c r="I26" s="137">
        <f t="shared" si="0"/>
        <v>9325.6916353448887</v>
      </c>
    </row>
    <row r="27" spans="1:9" ht="14.5" x14ac:dyDescent="0.25">
      <c r="A27" s="348" t="str">
        <f>'STS Equipment List Input'!A33</f>
        <v>Process Water Return Pump</v>
      </c>
      <c r="B27" s="135" t="s">
        <v>183</v>
      </c>
      <c r="C27" s="563" t="str">
        <f>'STS Equipment List Input'!B33</f>
        <v>39.67 gpm</v>
      </c>
      <c r="D27" s="563"/>
      <c r="E27" s="563"/>
      <c r="F27" s="136">
        <f>'STS Equipment List Input'!E33</f>
        <v>2</v>
      </c>
      <c r="G27" s="136" t="s">
        <v>184</v>
      </c>
      <c r="H27" s="137">
        <f>'STS Equipment List Input'!F33/'STS Equipment List Input'!E33</f>
        <v>12514.73629725253</v>
      </c>
      <c r="I27" s="137">
        <f t="shared" si="0"/>
        <v>25029.47259450506</v>
      </c>
    </row>
    <row r="28" spans="1:9" ht="15.75" customHeight="1" x14ac:dyDescent="0.25">
      <c r="A28" s="348" t="str">
        <f>'STS Equipment List Input'!A34</f>
        <v>Air Compressor</v>
      </c>
      <c r="B28" s="135" t="s">
        <v>185</v>
      </c>
      <c r="C28" s="563" t="str">
        <f>'STS Equipment List Input'!B34</f>
        <v>For diaphragm pumps, includes air receiver</v>
      </c>
      <c r="D28" s="563"/>
      <c r="E28" s="563"/>
      <c r="F28" s="136">
        <f>'STS Equipment List Input'!E34</f>
        <v>2</v>
      </c>
      <c r="G28" s="136" t="s">
        <v>184</v>
      </c>
      <c r="H28" s="137">
        <f>'STS Equipment List Input'!F34/'STS Equipment List Input'!E34</f>
        <v>15000</v>
      </c>
      <c r="I28" s="137">
        <f t="shared" si="0"/>
        <v>30000</v>
      </c>
    </row>
    <row r="29" spans="1:9" ht="14.5" x14ac:dyDescent="0.25">
      <c r="A29" s="348" t="str">
        <f>'STS Equipment List Input'!A35</f>
        <v>Electrical Equipment</v>
      </c>
      <c r="B29" s="135" t="s">
        <v>185</v>
      </c>
      <c r="C29" s="563"/>
      <c r="D29" s="563"/>
      <c r="E29" s="563"/>
      <c r="F29" s="136">
        <f>'STS Equipment List Input'!E35</f>
        <v>1</v>
      </c>
      <c r="G29" s="136" t="s">
        <v>186</v>
      </c>
      <c r="H29" s="137">
        <f>'STS Equipment List Input'!F35/'STS Equipment List Input'!E35</f>
        <v>100000</v>
      </c>
      <c r="I29" s="137">
        <f t="shared" si="0"/>
        <v>100000</v>
      </c>
    </row>
    <row r="30" spans="1:9" ht="14.5" x14ac:dyDescent="0.25">
      <c r="A30" s="348" t="str">
        <f>'STS Equipment List Input'!A36</f>
        <v>Valves and Piping</v>
      </c>
      <c r="B30" s="135" t="s">
        <v>185</v>
      </c>
      <c r="C30" s="563"/>
      <c r="D30" s="563"/>
      <c r="E30" s="563"/>
      <c r="F30" s="136">
        <f>'STS Equipment List Input'!E36</f>
        <v>1</v>
      </c>
      <c r="G30" s="136" t="s">
        <v>186</v>
      </c>
      <c r="H30" s="137">
        <f>'STS Equipment List Input'!F36/'STS Equipment List Input'!E36</f>
        <v>156000</v>
      </c>
      <c r="I30" s="137">
        <f t="shared" si="0"/>
        <v>156000</v>
      </c>
    </row>
    <row r="31" spans="1:9" ht="14.5" x14ac:dyDescent="0.25">
      <c r="A31" s="348" t="str">
        <f>'STS Equipment List Input'!A37</f>
        <v>Instrumentation</v>
      </c>
      <c r="B31" s="135" t="s">
        <v>185</v>
      </c>
      <c r="C31" s="563"/>
      <c r="D31" s="563"/>
      <c r="E31" s="563"/>
      <c r="F31" s="136">
        <f>'STS Equipment List Input'!E37</f>
        <v>1</v>
      </c>
      <c r="G31" s="136" t="s">
        <v>186</v>
      </c>
      <c r="H31" s="137">
        <f>'STS Equipment List Input'!F37/'STS Equipment List Input'!E37</f>
        <v>50000</v>
      </c>
      <c r="I31" s="137">
        <f t="shared" si="0"/>
        <v>50000</v>
      </c>
    </row>
    <row r="32" spans="1:9" ht="14.5" x14ac:dyDescent="0.25">
      <c r="A32" s="348" t="str">
        <f>'STS Equipment List Input'!A38</f>
        <v>Control System</v>
      </c>
      <c r="B32" s="135" t="s">
        <v>185</v>
      </c>
      <c r="C32" s="563"/>
      <c r="D32" s="563"/>
      <c r="E32" s="563"/>
      <c r="F32" s="136">
        <f>'STS Equipment List Input'!E38</f>
        <v>1</v>
      </c>
      <c r="G32" s="136" t="s">
        <v>186</v>
      </c>
      <c r="H32" s="137">
        <f>'STS Equipment List Input'!F38/'STS Equipment List Input'!E38</f>
        <v>50000</v>
      </c>
      <c r="I32" s="137">
        <f t="shared" si="0"/>
        <v>50000</v>
      </c>
    </row>
    <row r="33" spans="1:9" ht="14.5" x14ac:dyDescent="0.25">
      <c r="A33" s="348" t="s">
        <v>187</v>
      </c>
      <c r="B33" s="135" t="s">
        <v>185</v>
      </c>
      <c r="C33" s="573"/>
      <c r="D33" s="574"/>
      <c r="E33" s="575"/>
      <c r="F33" s="136">
        <v>1</v>
      </c>
      <c r="G33" s="136" t="s">
        <v>186</v>
      </c>
      <c r="H33" s="137">
        <v>100000</v>
      </c>
      <c r="I33" s="137">
        <f>F33*H33</f>
        <v>100000</v>
      </c>
    </row>
    <row r="34" spans="1:9" ht="13" x14ac:dyDescent="0.3">
      <c r="A34" s="572" t="s">
        <v>188</v>
      </c>
      <c r="B34" s="572"/>
      <c r="C34" s="572"/>
      <c r="D34" s="572"/>
      <c r="E34" s="572"/>
      <c r="F34" s="572"/>
      <c r="G34" s="572"/>
      <c r="H34" s="572"/>
      <c r="I34" s="242">
        <f>SUM(I11:I33)</f>
        <v>5630525.4072203645</v>
      </c>
    </row>
    <row r="35" spans="1:9" ht="13" x14ac:dyDescent="0.3">
      <c r="A35" s="570" t="s">
        <v>189</v>
      </c>
      <c r="B35" s="570"/>
      <c r="C35" s="570"/>
      <c r="D35" s="570"/>
      <c r="E35" s="570"/>
      <c r="F35" s="570"/>
      <c r="G35" s="570"/>
      <c r="H35" s="570"/>
      <c r="I35" s="570"/>
    </row>
    <row r="36" spans="1:9" x14ac:dyDescent="0.25">
      <c r="A36" s="138" t="s">
        <v>190</v>
      </c>
      <c r="B36" s="139"/>
      <c r="C36" s="138" t="s">
        <v>191</v>
      </c>
      <c r="D36" s="139"/>
      <c r="E36" s="140"/>
      <c r="F36" s="141">
        <v>1</v>
      </c>
      <c r="G36" s="142" t="s">
        <v>186</v>
      </c>
      <c r="H36" s="143">
        <v>50000</v>
      </c>
      <c r="I36" s="144">
        <f>+F36*H36</f>
        <v>50000</v>
      </c>
    </row>
    <row r="37" spans="1:9" ht="14.5" x14ac:dyDescent="0.25">
      <c r="A37" s="145"/>
      <c r="B37" s="146" t="s">
        <v>192</v>
      </c>
      <c r="C37" s="145" t="s">
        <v>193</v>
      </c>
      <c r="D37" s="7">
        <v>6</v>
      </c>
      <c r="E37" s="147" t="s">
        <v>194</v>
      </c>
      <c r="F37" s="148"/>
      <c r="G37" s="24"/>
      <c r="H37" s="149"/>
      <c r="I37" s="150"/>
    </row>
    <row r="38" spans="1:9" ht="14.5" x14ac:dyDescent="0.25">
      <c r="A38" s="145"/>
      <c r="B38" s="146" t="s">
        <v>192</v>
      </c>
      <c r="C38" s="145" t="s">
        <v>195</v>
      </c>
      <c r="D38" s="7">
        <v>35</v>
      </c>
      <c r="E38" s="147" t="s">
        <v>196</v>
      </c>
      <c r="F38" s="148"/>
      <c r="G38" s="24"/>
      <c r="H38" s="149"/>
      <c r="I38" s="150"/>
    </row>
    <row r="39" spans="1:9" x14ac:dyDescent="0.25">
      <c r="A39" s="151"/>
      <c r="B39" s="7"/>
      <c r="C39" s="151" t="s">
        <v>197</v>
      </c>
      <c r="D39" s="7"/>
      <c r="E39" s="147"/>
      <c r="F39" s="148">
        <f>+D37*D38*8</f>
        <v>1680</v>
      </c>
      <c r="G39" s="24" t="s">
        <v>198</v>
      </c>
      <c r="H39" s="152">
        <f>'STS O&amp;M Input'!$C$31</f>
        <v>23.84</v>
      </c>
      <c r="I39" s="150">
        <f>+F39*H39</f>
        <v>40051.199999999997</v>
      </c>
    </row>
    <row r="40" spans="1:9" x14ac:dyDescent="0.25">
      <c r="A40" s="138" t="s">
        <v>199</v>
      </c>
      <c r="B40" s="139"/>
      <c r="C40" s="138" t="s">
        <v>191</v>
      </c>
      <c r="D40" s="139"/>
      <c r="E40" s="140"/>
      <c r="F40" s="141">
        <v>1</v>
      </c>
      <c r="G40" s="142" t="s">
        <v>186</v>
      </c>
      <c r="H40" s="143">
        <v>75000</v>
      </c>
      <c r="I40" s="144">
        <f>+F40*H40</f>
        <v>75000</v>
      </c>
    </row>
    <row r="41" spans="1:9" ht="14.5" x14ac:dyDescent="0.25">
      <c r="A41" s="145"/>
      <c r="B41" s="146" t="s">
        <v>192</v>
      </c>
      <c r="C41" s="145" t="s">
        <v>193</v>
      </c>
      <c r="D41" s="7">
        <v>8</v>
      </c>
      <c r="E41" s="147" t="s">
        <v>194</v>
      </c>
      <c r="F41" s="148"/>
      <c r="G41" s="24"/>
      <c r="H41" s="149"/>
      <c r="I41" s="150"/>
    </row>
    <row r="42" spans="1:9" ht="14.5" x14ac:dyDescent="0.25">
      <c r="A42" s="145"/>
      <c r="B42" s="146" t="s">
        <v>192</v>
      </c>
      <c r="C42" s="145" t="s">
        <v>195</v>
      </c>
      <c r="D42" s="7">
        <v>28</v>
      </c>
      <c r="E42" s="147" t="s">
        <v>196</v>
      </c>
      <c r="F42" s="148"/>
      <c r="G42" s="24"/>
      <c r="H42" s="149"/>
      <c r="I42" s="150"/>
    </row>
    <row r="43" spans="1:9" x14ac:dyDescent="0.25">
      <c r="A43" s="151"/>
      <c r="B43" s="153"/>
      <c r="C43" s="151" t="s">
        <v>200</v>
      </c>
      <c r="D43" s="153"/>
      <c r="E43" s="154"/>
      <c r="F43" s="155">
        <f>+D41*D42*8</f>
        <v>1792</v>
      </c>
      <c r="G43" s="156" t="s">
        <v>198</v>
      </c>
      <c r="H43" s="152">
        <f>'STS O&amp;M Input'!$C$35</f>
        <v>48.660000000000004</v>
      </c>
      <c r="I43" s="157">
        <f>+F43*H43</f>
        <v>87198.720000000001</v>
      </c>
    </row>
    <row r="44" spans="1:9" x14ac:dyDescent="0.25">
      <c r="A44" s="145" t="s">
        <v>201</v>
      </c>
      <c r="B44" s="7"/>
      <c r="C44" s="145" t="s">
        <v>191</v>
      </c>
      <c r="D44" s="7"/>
      <c r="E44" s="147"/>
      <c r="F44" s="148">
        <v>1</v>
      </c>
      <c r="G44" s="24" t="s">
        <v>186</v>
      </c>
      <c r="H44" s="158">
        <v>30000</v>
      </c>
      <c r="I44" s="150">
        <f>+F44*H44</f>
        <v>30000</v>
      </c>
    </row>
    <row r="45" spans="1:9" ht="14.5" x14ac:dyDescent="0.25">
      <c r="A45" s="145"/>
      <c r="B45" s="146" t="s">
        <v>192</v>
      </c>
      <c r="C45" s="145" t="s">
        <v>193</v>
      </c>
      <c r="D45" s="7">
        <v>6</v>
      </c>
      <c r="E45" s="147" t="s">
        <v>194</v>
      </c>
      <c r="F45" s="148"/>
      <c r="G45" s="24"/>
      <c r="H45" s="149"/>
      <c r="I45" s="150"/>
    </row>
    <row r="46" spans="1:9" ht="14.5" x14ac:dyDescent="0.25">
      <c r="A46" s="145"/>
      <c r="B46" s="146" t="s">
        <v>192</v>
      </c>
      <c r="C46" s="145" t="s">
        <v>195</v>
      </c>
      <c r="D46" s="7">
        <v>32</v>
      </c>
      <c r="E46" s="147" t="s">
        <v>196</v>
      </c>
      <c r="F46" s="148"/>
      <c r="G46" s="24"/>
      <c r="H46" s="149"/>
      <c r="I46" s="150"/>
    </row>
    <row r="47" spans="1:9" x14ac:dyDescent="0.25">
      <c r="A47" s="145"/>
      <c r="B47" s="7"/>
      <c r="C47" s="151" t="s">
        <v>202</v>
      </c>
      <c r="D47" s="7"/>
      <c r="E47" s="147"/>
      <c r="F47" s="148">
        <f>+D45*D46*8</f>
        <v>1536</v>
      </c>
      <c r="G47" s="159" t="s">
        <v>198</v>
      </c>
      <c r="H47" s="152">
        <f>'STS O&amp;M Input'!$C$32</f>
        <v>45.449999999999996</v>
      </c>
      <c r="I47" s="150">
        <f>+F47*H47</f>
        <v>69811.199999999997</v>
      </c>
    </row>
    <row r="48" spans="1:9" x14ac:dyDescent="0.25">
      <c r="A48" s="138" t="s">
        <v>203</v>
      </c>
      <c r="B48" s="139"/>
      <c r="C48" s="138" t="s">
        <v>191</v>
      </c>
      <c r="D48" s="139"/>
      <c r="E48" s="140"/>
      <c r="F48" s="141">
        <v>1</v>
      </c>
      <c r="G48" s="142" t="s">
        <v>186</v>
      </c>
      <c r="H48" s="143">
        <v>200000</v>
      </c>
      <c r="I48" s="144">
        <f>+F48*H48</f>
        <v>200000</v>
      </c>
    </row>
    <row r="49" spans="1:9" ht="14.5" x14ac:dyDescent="0.25">
      <c r="A49" s="145"/>
      <c r="B49" s="146" t="s">
        <v>192</v>
      </c>
      <c r="C49" s="145" t="s">
        <v>193</v>
      </c>
      <c r="D49" s="7">
        <v>4</v>
      </c>
      <c r="E49" s="147" t="s">
        <v>194</v>
      </c>
      <c r="F49" s="148"/>
      <c r="G49" s="24"/>
      <c r="H49" s="149"/>
      <c r="I49" s="150"/>
    </row>
    <row r="50" spans="1:9" ht="14.5" x14ac:dyDescent="0.25">
      <c r="A50" s="145"/>
      <c r="B50" s="146" t="s">
        <v>192</v>
      </c>
      <c r="C50" s="145" t="s">
        <v>195</v>
      </c>
      <c r="D50" s="7">
        <v>45</v>
      </c>
      <c r="E50" s="147" t="s">
        <v>196</v>
      </c>
      <c r="F50" s="148"/>
      <c r="G50" s="24"/>
      <c r="H50" s="149"/>
      <c r="I50" s="150"/>
    </row>
    <row r="51" spans="1:9" x14ac:dyDescent="0.25">
      <c r="A51" s="151"/>
      <c r="B51" s="153"/>
      <c r="C51" s="151" t="s">
        <v>204</v>
      </c>
      <c r="D51" s="153"/>
      <c r="E51" s="154"/>
      <c r="F51" s="155">
        <f>+D49*D50*8</f>
        <v>1440</v>
      </c>
      <c r="G51" s="159" t="s">
        <v>198</v>
      </c>
      <c r="H51" s="152">
        <f>'STS O&amp;M Input'!$C$34</f>
        <v>54.054000000000002</v>
      </c>
      <c r="I51" s="157">
        <f>+F51*H51</f>
        <v>77837.760000000009</v>
      </c>
    </row>
    <row r="52" spans="1:9" x14ac:dyDescent="0.25">
      <c r="A52" s="145" t="s">
        <v>205</v>
      </c>
      <c r="B52" s="7"/>
      <c r="C52" s="145" t="s">
        <v>191</v>
      </c>
      <c r="D52" s="7"/>
      <c r="E52" s="147"/>
      <c r="F52" s="148">
        <v>1</v>
      </c>
      <c r="G52" s="24" t="s">
        <v>186</v>
      </c>
      <c r="H52" s="158">
        <v>5000</v>
      </c>
      <c r="I52" s="150">
        <f>+F52*H52</f>
        <v>5000</v>
      </c>
    </row>
    <row r="53" spans="1:9" ht="14.5" x14ac:dyDescent="0.25">
      <c r="A53" s="145"/>
      <c r="B53" s="146" t="s">
        <v>192</v>
      </c>
      <c r="C53" s="145" t="s">
        <v>193</v>
      </c>
      <c r="D53" s="7">
        <v>4</v>
      </c>
      <c r="E53" s="147" t="s">
        <v>194</v>
      </c>
      <c r="F53" s="148"/>
      <c r="G53" s="24"/>
      <c r="H53" s="149"/>
      <c r="I53" s="150"/>
    </row>
    <row r="54" spans="1:9" ht="14.5" x14ac:dyDescent="0.25">
      <c r="A54" s="145"/>
      <c r="B54" s="146" t="s">
        <v>192</v>
      </c>
      <c r="C54" s="145" t="s">
        <v>195</v>
      </c>
      <c r="D54" s="7">
        <v>20</v>
      </c>
      <c r="E54" s="147" t="s">
        <v>196</v>
      </c>
      <c r="F54" s="148"/>
      <c r="G54" s="24"/>
      <c r="H54" s="149"/>
      <c r="I54" s="150"/>
    </row>
    <row r="55" spans="1:9" x14ac:dyDescent="0.25">
      <c r="A55" s="151"/>
      <c r="B55" s="153"/>
      <c r="C55" s="151" t="s">
        <v>204</v>
      </c>
      <c r="D55" s="153"/>
      <c r="E55" s="154"/>
      <c r="F55" s="155">
        <f>+D53*D54*8</f>
        <v>640</v>
      </c>
      <c r="G55" s="159" t="s">
        <v>198</v>
      </c>
      <c r="H55" s="152">
        <f>'STS O&amp;M Input'!$C$34</f>
        <v>54.054000000000002</v>
      </c>
      <c r="I55" s="157">
        <f>+F55*H55</f>
        <v>34594.559999999998</v>
      </c>
    </row>
    <row r="56" spans="1:9" ht="14.5" x14ac:dyDescent="0.25">
      <c r="A56" s="160" t="s">
        <v>206</v>
      </c>
      <c r="B56" s="146" t="s">
        <v>192</v>
      </c>
      <c r="C56" s="151" t="s">
        <v>207</v>
      </c>
      <c r="D56" s="7"/>
      <c r="E56" s="7" t="s">
        <v>0</v>
      </c>
      <c r="F56" s="148">
        <f>+(D41*D42)+(D71*D72)</f>
        <v>284</v>
      </c>
      <c r="G56" s="24" t="s">
        <v>196</v>
      </c>
      <c r="H56" s="152">
        <v>50</v>
      </c>
      <c r="I56" s="150">
        <f>+F56*H56</f>
        <v>14200</v>
      </c>
    </row>
    <row r="57" spans="1:9" ht="14.5" x14ac:dyDescent="0.25">
      <c r="A57" s="160" t="s">
        <v>208</v>
      </c>
      <c r="B57" s="161" t="s">
        <v>185</v>
      </c>
      <c r="C57" s="160"/>
      <c r="D57" s="162"/>
      <c r="E57" s="162"/>
      <c r="F57" s="20">
        <v>1</v>
      </c>
      <c r="G57" s="163" t="s">
        <v>186</v>
      </c>
      <c r="H57" s="164">
        <v>50000</v>
      </c>
      <c r="I57" s="165">
        <f>+F57*H57</f>
        <v>50000</v>
      </c>
    </row>
    <row r="58" spans="1:9" ht="13" x14ac:dyDescent="0.3">
      <c r="A58" s="569" t="s">
        <v>209</v>
      </c>
      <c r="B58" s="569"/>
      <c r="C58" s="569"/>
      <c r="D58" s="569"/>
      <c r="E58" s="569"/>
      <c r="F58" s="569"/>
      <c r="G58" s="569"/>
      <c r="H58" s="569"/>
      <c r="I58" s="243">
        <f>SUM(I36:I57)</f>
        <v>733693.44000000018</v>
      </c>
    </row>
    <row r="59" spans="1:9" ht="13" x14ac:dyDescent="0.3">
      <c r="A59" s="570" t="s">
        <v>210</v>
      </c>
      <c r="B59" s="570"/>
      <c r="C59" s="570"/>
      <c r="D59" s="570"/>
      <c r="E59" s="570"/>
      <c r="F59" s="570"/>
      <c r="G59" s="570"/>
      <c r="H59" s="570"/>
      <c r="I59" s="570"/>
    </row>
    <row r="60" spans="1:9" ht="13.5" customHeight="1" x14ac:dyDescent="0.25">
      <c r="A60" s="160" t="s">
        <v>211</v>
      </c>
      <c r="B60" s="168" t="s">
        <v>185</v>
      </c>
      <c r="C60" s="169" t="s">
        <v>212</v>
      </c>
      <c r="D60" s="375">
        <f>2*D61</f>
        <v>20800</v>
      </c>
      <c r="E60" s="162" t="s">
        <v>213</v>
      </c>
      <c r="F60" s="170">
        <f>D60/43560</f>
        <v>0.47750229568411384</v>
      </c>
      <c r="G60" s="163" t="s">
        <v>214</v>
      </c>
      <c r="H60" s="92">
        <v>100000</v>
      </c>
      <c r="I60" s="171">
        <f>F60*H60</f>
        <v>47750.229568411385</v>
      </c>
    </row>
    <row r="61" spans="1:9" ht="14.5" x14ac:dyDescent="0.25">
      <c r="A61" s="166" t="s">
        <v>215</v>
      </c>
      <c r="B61" s="172" t="s">
        <v>185</v>
      </c>
      <c r="C61" s="173" t="s">
        <v>216</v>
      </c>
      <c r="D61" s="376">
        <f>D69*1.1+70*70</f>
        <v>10400</v>
      </c>
      <c r="E61" s="7" t="s">
        <v>213</v>
      </c>
      <c r="F61" s="148"/>
      <c r="G61" s="24"/>
      <c r="H61" s="174"/>
      <c r="I61" s="175"/>
    </row>
    <row r="62" spans="1:9" hidden="1" x14ac:dyDescent="0.25">
      <c r="A62" s="166"/>
      <c r="B62" s="7"/>
      <c r="C62" s="173" t="s">
        <v>217</v>
      </c>
      <c r="D62" s="376">
        <v>1</v>
      </c>
      <c r="E62" s="7" t="s">
        <v>218</v>
      </c>
      <c r="F62" s="148"/>
      <c r="G62" s="24"/>
      <c r="H62" s="174"/>
      <c r="I62" s="175"/>
    </row>
    <row r="63" spans="1:9" hidden="1" x14ac:dyDescent="0.25">
      <c r="A63" s="166"/>
      <c r="B63" s="7"/>
      <c r="C63" s="173" t="s">
        <v>219</v>
      </c>
      <c r="D63" s="376">
        <v>1</v>
      </c>
      <c r="E63" s="7" t="s">
        <v>218</v>
      </c>
      <c r="F63" s="148"/>
      <c r="G63" s="24"/>
      <c r="H63" s="174"/>
      <c r="I63" s="175"/>
    </row>
    <row r="64" spans="1:9" hidden="1" x14ac:dyDescent="0.25">
      <c r="A64" s="166"/>
      <c r="B64" s="7"/>
      <c r="C64" s="173" t="s">
        <v>220</v>
      </c>
      <c r="D64" s="376">
        <v>3</v>
      </c>
      <c r="E64" s="7" t="s">
        <v>218</v>
      </c>
      <c r="F64" s="148"/>
      <c r="G64" s="24"/>
      <c r="H64" s="174"/>
      <c r="I64" s="175"/>
    </row>
    <row r="65" spans="1:9" hidden="1" x14ac:dyDescent="0.25">
      <c r="A65" s="166"/>
      <c r="B65" s="7"/>
      <c r="C65" s="173" t="s">
        <v>221</v>
      </c>
      <c r="D65" s="376">
        <v>3</v>
      </c>
      <c r="E65" s="7" t="s">
        <v>218</v>
      </c>
      <c r="F65" s="148"/>
      <c r="G65" s="24"/>
      <c r="H65" s="174"/>
      <c r="I65" s="175"/>
    </row>
    <row r="66" spans="1:9" hidden="1" x14ac:dyDescent="0.25">
      <c r="A66" s="166"/>
      <c r="B66" s="7"/>
      <c r="C66" s="173" t="s">
        <v>222</v>
      </c>
      <c r="D66" s="376">
        <v>1</v>
      </c>
      <c r="E66" s="7" t="s">
        <v>218</v>
      </c>
      <c r="F66" s="148"/>
      <c r="G66" s="24"/>
      <c r="H66" s="174"/>
      <c r="I66" s="175"/>
    </row>
    <row r="67" spans="1:9" hidden="1" x14ac:dyDescent="0.25">
      <c r="A67" s="166"/>
      <c r="B67" s="7"/>
      <c r="C67" s="173" t="s">
        <v>223</v>
      </c>
      <c r="D67" s="376">
        <v>10</v>
      </c>
      <c r="E67" s="7" t="s">
        <v>224</v>
      </c>
      <c r="F67" s="148"/>
      <c r="G67" s="24"/>
      <c r="H67" s="174"/>
      <c r="I67" s="175"/>
    </row>
    <row r="68" spans="1:9" x14ac:dyDescent="0.25">
      <c r="A68" s="166"/>
      <c r="B68" s="154"/>
      <c r="C68" s="173" t="s">
        <v>225</v>
      </c>
      <c r="D68" s="376"/>
      <c r="E68" s="7"/>
      <c r="F68" s="148">
        <f>+(((D61*D62)+(SQRT(D61)*4*D63*D64)+(SQRT(D61)*D65*D66))+((D61*D62)+(SQRT(D61)*4*D63*D64)+(SQRT(D61)*D65*D66))*D67/100)/27</f>
        <v>486.02505331428222</v>
      </c>
      <c r="G68" s="24" t="s">
        <v>226</v>
      </c>
      <c r="H68" s="176">
        <v>600</v>
      </c>
      <c r="I68" s="175">
        <f>F68*H68</f>
        <v>291615.0319885693</v>
      </c>
    </row>
    <row r="69" spans="1:9" ht="14.5" x14ac:dyDescent="0.25">
      <c r="A69" s="160" t="s">
        <v>227</v>
      </c>
      <c r="B69" s="168" t="s">
        <v>185</v>
      </c>
      <c r="C69" s="169" t="s">
        <v>228</v>
      </c>
      <c r="D69" s="375">
        <v>5000</v>
      </c>
      <c r="E69" s="162" t="s">
        <v>213</v>
      </c>
      <c r="F69" s="20">
        <v>5000</v>
      </c>
      <c r="G69" s="163" t="s">
        <v>213</v>
      </c>
      <c r="H69" s="92">
        <v>100</v>
      </c>
      <c r="I69" s="171">
        <f>F69*H69</f>
        <v>500000</v>
      </c>
    </row>
    <row r="70" spans="1:9" ht="14.5" x14ac:dyDescent="0.25">
      <c r="A70" s="166" t="s">
        <v>229</v>
      </c>
      <c r="B70" s="172" t="s">
        <v>185</v>
      </c>
      <c r="C70" s="173" t="s">
        <v>191</v>
      </c>
      <c r="D70" s="7"/>
      <c r="E70" s="7"/>
      <c r="F70" s="148">
        <v>1</v>
      </c>
      <c r="G70" s="24" t="s">
        <v>186</v>
      </c>
      <c r="H70" s="176">
        <v>40000</v>
      </c>
      <c r="I70" s="175">
        <f>F70*H70</f>
        <v>40000</v>
      </c>
    </row>
    <row r="71" spans="1:9" ht="14.5" x14ac:dyDescent="0.25">
      <c r="A71" s="145"/>
      <c r="B71" s="146" t="s">
        <v>192</v>
      </c>
      <c r="C71" s="173" t="s">
        <v>193</v>
      </c>
      <c r="D71" s="7">
        <v>4</v>
      </c>
      <c r="E71" s="7" t="s">
        <v>194</v>
      </c>
      <c r="F71" s="148"/>
      <c r="G71" s="24"/>
      <c r="H71" s="176"/>
      <c r="I71" s="175"/>
    </row>
    <row r="72" spans="1:9" ht="14.5" x14ac:dyDescent="0.25">
      <c r="A72" s="145"/>
      <c r="B72" s="146" t="s">
        <v>192</v>
      </c>
      <c r="C72" s="173" t="s">
        <v>195</v>
      </c>
      <c r="D72" s="7">
        <v>15</v>
      </c>
      <c r="E72" s="7" t="s">
        <v>196</v>
      </c>
      <c r="F72" s="148"/>
      <c r="G72" s="24"/>
      <c r="H72" s="176"/>
      <c r="I72" s="175"/>
    </row>
    <row r="73" spans="1:9" x14ac:dyDescent="0.25">
      <c r="A73" s="151" t="s">
        <v>230</v>
      </c>
      <c r="B73" s="154"/>
      <c r="C73" s="177" t="s">
        <v>231</v>
      </c>
      <c r="D73" s="7"/>
      <c r="E73" s="7"/>
      <c r="F73" s="155">
        <v>480</v>
      </c>
      <c r="G73" s="156" t="s">
        <v>198</v>
      </c>
      <c r="H73" s="152">
        <f>'STS O&amp;M Input'!$C$33</f>
        <v>55.13</v>
      </c>
      <c r="I73" s="178">
        <f>F73*H73</f>
        <v>26462.400000000001</v>
      </c>
    </row>
    <row r="74" spans="1:9" ht="14.5" x14ac:dyDescent="0.25">
      <c r="A74" s="160" t="s">
        <v>232</v>
      </c>
      <c r="B74" s="168" t="s">
        <v>185</v>
      </c>
      <c r="C74" s="169"/>
      <c r="D74" s="169"/>
      <c r="E74" s="169"/>
      <c r="F74" s="20">
        <v>1</v>
      </c>
      <c r="G74" s="179" t="s">
        <v>186</v>
      </c>
      <c r="H74" s="92">
        <v>75000</v>
      </c>
      <c r="I74" s="171">
        <f>F74*H74</f>
        <v>75000</v>
      </c>
    </row>
    <row r="75" spans="1:9" ht="14.5" x14ac:dyDescent="0.25">
      <c r="A75" s="160" t="s">
        <v>233</v>
      </c>
      <c r="B75" s="168" t="s">
        <v>185</v>
      </c>
      <c r="C75" s="169"/>
      <c r="D75" s="169"/>
      <c r="E75" s="169"/>
      <c r="F75" s="20">
        <v>1</v>
      </c>
      <c r="G75" s="179" t="s">
        <v>186</v>
      </c>
      <c r="H75" s="92">
        <f>35000+35000+45000</f>
        <v>115000</v>
      </c>
      <c r="I75" s="171">
        <v>115000</v>
      </c>
    </row>
    <row r="76" spans="1:9" ht="14.5" x14ac:dyDescent="0.25">
      <c r="A76" s="160" t="s">
        <v>234</v>
      </c>
      <c r="B76" s="168" t="s">
        <v>235</v>
      </c>
      <c r="C76" s="169"/>
      <c r="D76" s="169"/>
      <c r="E76" s="169"/>
      <c r="F76" s="20">
        <v>1</v>
      </c>
      <c r="G76" s="179" t="s">
        <v>186</v>
      </c>
      <c r="H76" s="92">
        <v>25000</v>
      </c>
      <c r="I76" s="171">
        <f>F76*H76</f>
        <v>25000</v>
      </c>
    </row>
    <row r="77" spans="1:9" ht="14.5" x14ac:dyDescent="0.25">
      <c r="A77" s="160" t="s">
        <v>236</v>
      </c>
      <c r="B77" s="168" t="s">
        <v>185</v>
      </c>
      <c r="C77" s="169"/>
      <c r="D77" s="169"/>
      <c r="E77" s="169"/>
      <c r="F77" s="20">
        <v>1</v>
      </c>
      <c r="G77" s="179" t="s">
        <v>186</v>
      </c>
      <c r="H77" s="92">
        <v>100000</v>
      </c>
      <c r="I77" s="171">
        <f>F77*H77</f>
        <v>100000</v>
      </c>
    </row>
    <row r="78" spans="1:9" ht="13" x14ac:dyDescent="0.3">
      <c r="A78" s="569" t="s">
        <v>237</v>
      </c>
      <c r="B78" s="569"/>
      <c r="C78" s="569"/>
      <c r="D78" s="569"/>
      <c r="E78" s="569"/>
      <c r="F78" s="569"/>
      <c r="G78" s="569"/>
      <c r="H78" s="569"/>
      <c r="I78" s="243">
        <f>SUM(I60:I77)</f>
        <v>1220827.6615569806</v>
      </c>
    </row>
    <row r="79" spans="1:9" ht="13" x14ac:dyDescent="0.3">
      <c r="A79" s="570" t="s">
        <v>238</v>
      </c>
      <c r="B79" s="570"/>
      <c r="C79" s="570"/>
      <c r="D79" s="570"/>
      <c r="E79" s="570"/>
      <c r="F79" s="570"/>
      <c r="G79" s="570"/>
      <c r="H79" s="570"/>
      <c r="I79" s="570"/>
    </row>
    <row r="80" spans="1:9" ht="13" x14ac:dyDescent="0.3">
      <c r="A80" s="520" t="s">
        <v>239</v>
      </c>
      <c r="B80" s="521"/>
      <c r="C80" s="521"/>
      <c r="D80" s="521"/>
      <c r="E80" s="521"/>
      <c r="F80" s="521"/>
      <c r="G80" s="521"/>
      <c r="H80" s="522"/>
      <c r="I80" s="243">
        <f>I78+I58+I34</f>
        <v>7585046.5087773455</v>
      </c>
    </row>
    <row r="81" spans="1:9" hidden="1" x14ac:dyDescent="0.25">
      <c r="A81" s="160" t="s">
        <v>240</v>
      </c>
      <c r="B81" s="180"/>
      <c r="C81" s="169"/>
      <c r="D81" s="169"/>
      <c r="E81" s="169"/>
      <c r="F81" s="170">
        <v>22.5</v>
      </c>
      <c r="G81" s="179" t="s">
        <v>224</v>
      </c>
      <c r="H81" s="137">
        <f>I80</f>
        <v>7585046.5087773455</v>
      </c>
      <c r="I81" s="171">
        <f>H81*F81%</f>
        <v>1706635.4644749027</v>
      </c>
    </row>
    <row r="82" spans="1:9" ht="13" hidden="1" x14ac:dyDescent="0.3">
      <c r="A82" s="571" t="s">
        <v>238</v>
      </c>
      <c r="B82" s="571"/>
      <c r="C82" s="571"/>
      <c r="D82" s="571"/>
      <c r="E82" s="571"/>
      <c r="F82" s="571"/>
      <c r="G82" s="571"/>
      <c r="H82" s="571"/>
      <c r="I82" s="167">
        <f>SUM(I80:I81)</f>
        <v>9291681.973252248</v>
      </c>
    </row>
    <row r="83" spans="1:9" ht="13" x14ac:dyDescent="0.3">
      <c r="A83" s="6" t="s">
        <v>69</v>
      </c>
      <c r="B83" s="456"/>
      <c r="C83" s="456"/>
      <c r="D83" s="456"/>
      <c r="E83" s="456"/>
      <c r="F83" s="456"/>
      <c r="G83" s="456"/>
      <c r="H83" s="456"/>
      <c r="I83" s="181"/>
    </row>
    <row r="84" spans="1:9" x14ac:dyDescent="0.25">
      <c r="A84" s="110" t="s">
        <v>241</v>
      </c>
      <c r="B84" s="110"/>
      <c r="C84" s="110"/>
      <c r="D84" s="110"/>
      <c r="E84" s="110"/>
      <c r="F84" s="127"/>
      <c r="G84" s="133"/>
      <c r="H84" s="182"/>
      <c r="I84" s="183"/>
    </row>
    <row r="85" spans="1:9" x14ac:dyDescent="0.25">
      <c r="A85" s="110" t="s">
        <v>242</v>
      </c>
      <c r="B85" s="110"/>
      <c r="C85" s="110"/>
      <c r="D85" s="110"/>
      <c r="E85" s="110"/>
      <c r="F85" s="127"/>
      <c r="G85" s="133"/>
      <c r="H85" s="182"/>
      <c r="I85" s="183"/>
    </row>
    <row r="86" spans="1:9" ht="25" customHeight="1" x14ac:dyDescent="0.25">
      <c r="A86" s="551" t="s">
        <v>243</v>
      </c>
      <c r="B86" s="551"/>
      <c r="C86" s="551"/>
      <c r="D86" s="551"/>
      <c r="E86" s="551"/>
      <c r="F86" s="551"/>
      <c r="G86" s="551"/>
      <c r="H86" s="551"/>
      <c r="I86" s="551"/>
    </row>
    <row r="87" spans="1:9" x14ac:dyDescent="0.25">
      <c r="A87" s="119" t="s">
        <v>244</v>
      </c>
    </row>
    <row r="88" spans="1:9" x14ac:dyDescent="0.25">
      <c r="A88" s="94" t="s">
        <v>86</v>
      </c>
    </row>
  </sheetData>
  <mergeCells count="34">
    <mergeCell ref="A86:I86"/>
    <mergeCell ref="C18:E18"/>
    <mergeCell ref="C19:E19"/>
    <mergeCell ref="C20:E20"/>
    <mergeCell ref="C21:E21"/>
    <mergeCell ref="A78:H78"/>
    <mergeCell ref="A79:I79"/>
    <mergeCell ref="A82:H82"/>
    <mergeCell ref="C31:E31"/>
    <mergeCell ref="C32:E32"/>
    <mergeCell ref="A34:H34"/>
    <mergeCell ref="A35:I35"/>
    <mergeCell ref="A58:H58"/>
    <mergeCell ref="A59:I59"/>
    <mergeCell ref="C33:E33"/>
    <mergeCell ref="A80:H80"/>
    <mergeCell ref="C9:E9"/>
    <mergeCell ref="A10:I10"/>
    <mergeCell ref="C11:E11"/>
    <mergeCell ref="C12:E12"/>
    <mergeCell ref="C13:E13"/>
    <mergeCell ref="C14:E14"/>
    <mergeCell ref="C15:E15"/>
    <mergeCell ref="C16:E16"/>
    <mergeCell ref="C17:E17"/>
    <mergeCell ref="C30:E30"/>
    <mergeCell ref="C22:E22"/>
    <mergeCell ref="C23:E23"/>
    <mergeCell ref="C24:E24"/>
    <mergeCell ref="C25:E25"/>
    <mergeCell ref="C26:E26"/>
    <mergeCell ref="C27:E27"/>
    <mergeCell ref="C28:E28"/>
    <mergeCell ref="C29:E29"/>
  </mergeCells>
  <pageMargins left="0.7" right="0.7" top="0.75" bottom="0.75" header="0.3" footer="0.3"/>
  <pageSetup paperSize="3" scale="92"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96E5-78DE-4086-BAE8-AFA2E6ED2D59}">
  <sheetPr>
    <tabColor rgb="FF00B050"/>
  </sheetPr>
  <dimension ref="A4:Q43"/>
  <sheetViews>
    <sheetView topLeftCell="A19" workbookViewId="0">
      <selection activeCell="F43" sqref="F43"/>
    </sheetView>
  </sheetViews>
  <sheetFormatPr defaultRowHeight="14.5" x14ac:dyDescent="0.35"/>
  <cols>
    <col min="1" max="1" width="33.54296875" customWidth="1"/>
    <col min="2" max="2" width="47.26953125" customWidth="1"/>
    <col min="6" max="6" width="13" customWidth="1"/>
    <col min="7" max="7" width="46.1796875" customWidth="1"/>
    <col min="10" max="10" width="12.54296875" customWidth="1"/>
    <col min="13" max="13" width="12" customWidth="1"/>
    <col min="15" max="15" width="12.453125" customWidth="1"/>
    <col min="16" max="16" width="38.81640625" customWidth="1"/>
  </cols>
  <sheetData>
    <row r="4" spans="1:17" x14ac:dyDescent="0.35">
      <c r="A4" s="455" t="s">
        <v>1</v>
      </c>
      <c r="B4" s="125">
        <f>'2019 CCP Summary'!B4</f>
        <v>43536</v>
      </c>
    </row>
    <row r="5" spans="1:17" x14ac:dyDescent="0.35">
      <c r="A5" s="456" t="s">
        <v>2</v>
      </c>
      <c r="B5" s="6" t="s">
        <v>3</v>
      </c>
    </row>
    <row r="6" spans="1:17" x14ac:dyDescent="0.35">
      <c r="A6" s="456" t="s">
        <v>4</v>
      </c>
      <c r="B6" s="6" t="s">
        <v>245</v>
      </c>
    </row>
    <row r="7" spans="1:17" x14ac:dyDescent="0.35">
      <c r="A7" s="457" t="s">
        <v>6</v>
      </c>
      <c r="B7" s="6" t="s">
        <v>7</v>
      </c>
    </row>
    <row r="9" spans="1:17" x14ac:dyDescent="0.35">
      <c r="A9" s="82" t="s">
        <v>0</v>
      </c>
      <c r="B9" s="83"/>
      <c r="C9" s="84"/>
      <c r="D9" s="85"/>
      <c r="E9" s="86"/>
      <c r="F9" s="87"/>
      <c r="G9" s="88"/>
      <c r="H9" s="88"/>
      <c r="I9" s="88"/>
      <c r="J9" s="88"/>
      <c r="K9" s="88"/>
      <c r="L9" s="88"/>
      <c r="M9" s="89">
        <v>43525</v>
      </c>
      <c r="N9" s="88">
        <v>2019</v>
      </c>
      <c r="O9" s="88"/>
      <c r="P9" s="88"/>
      <c r="Q9" s="88"/>
    </row>
    <row r="10" spans="1:17" x14ac:dyDescent="0.35">
      <c r="A10" s="576"/>
      <c r="B10" s="576"/>
      <c r="C10" s="576"/>
      <c r="D10" s="576"/>
      <c r="E10" s="576"/>
      <c r="F10" s="576"/>
      <c r="G10" s="88"/>
      <c r="H10" s="88"/>
      <c r="I10" s="88"/>
      <c r="J10" s="88"/>
      <c r="K10" s="88"/>
      <c r="L10" s="88"/>
      <c r="M10" s="90" t="s">
        <v>246</v>
      </c>
      <c r="N10" s="381">
        <v>2.4299999999999999E-2</v>
      </c>
      <c r="O10" s="88"/>
      <c r="P10" s="88"/>
      <c r="Q10" s="88"/>
    </row>
    <row r="11" spans="1:17" ht="26.5" x14ac:dyDescent="0.35">
      <c r="A11" s="460" t="s">
        <v>247</v>
      </c>
      <c r="B11" s="460" t="s">
        <v>177</v>
      </c>
      <c r="C11" s="460" t="s">
        <v>248</v>
      </c>
      <c r="D11" s="460" t="s">
        <v>249</v>
      </c>
      <c r="E11" s="460" t="s">
        <v>250</v>
      </c>
      <c r="F11" s="380" t="s">
        <v>13</v>
      </c>
      <c r="G11" s="460" t="s">
        <v>251</v>
      </c>
      <c r="H11" s="460" t="s">
        <v>252</v>
      </c>
      <c r="I11" s="460" t="s">
        <v>253</v>
      </c>
      <c r="J11" s="460" t="s">
        <v>254</v>
      </c>
      <c r="K11" s="460" t="s">
        <v>255</v>
      </c>
      <c r="L11" s="460" t="s">
        <v>256</v>
      </c>
      <c r="M11" s="460" t="s">
        <v>257</v>
      </c>
      <c r="N11" s="460" t="s">
        <v>258</v>
      </c>
      <c r="O11" s="460" t="s">
        <v>259</v>
      </c>
      <c r="P11" s="460" t="s">
        <v>260</v>
      </c>
      <c r="Q11" s="88"/>
    </row>
    <row r="12" spans="1:17" ht="26" hidden="1" x14ac:dyDescent="0.35">
      <c r="A12" s="249" t="s">
        <v>261</v>
      </c>
      <c r="B12" s="249" t="s">
        <v>262</v>
      </c>
      <c r="C12" s="250">
        <f>27*8</f>
        <v>216</v>
      </c>
      <c r="D12" s="250"/>
      <c r="E12" s="251">
        <v>8</v>
      </c>
      <c r="F12" s="252">
        <v>0</v>
      </c>
      <c r="G12" s="270" t="s">
        <v>263</v>
      </c>
      <c r="H12" s="271">
        <v>2012</v>
      </c>
      <c r="I12" s="272">
        <v>45</v>
      </c>
      <c r="J12" s="273">
        <f>31400+1250</f>
        <v>32650</v>
      </c>
      <c r="K12" s="272">
        <v>45</v>
      </c>
      <c r="L12" s="271" t="s">
        <v>264</v>
      </c>
      <c r="M12" s="274">
        <f>J12*(K12/I12)^0.7</f>
        <v>32650</v>
      </c>
      <c r="N12" s="271">
        <f>$N$9-H12</f>
        <v>7</v>
      </c>
      <c r="O12" s="274">
        <f>M12*(1.03^N12)</f>
        <v>40155.381706122003</v>
      </c>
      <c r="P12" s="274"/>
      <c r="Q12" s="88"/>
    </row>
    <row r="13" spans="1:17" ht="25" hidden="1" x14ac:dyDescent="0.35">
      <c r="A13" s="249" t="s">
        <v>265</v>
      </c>
      <c r="B13" s="249"/>
      <c r="C13" s="250">
        <v>2</v>
      </c>
      <c r="D13" s="250"/>
      <c r="E13" s="251">
        <v>1</v>
      </c>
      <c r="F13" s="252">
        <v>0</v>
      </c>
      <c r="G13" s="270" t="s">
        <v>266</v>
      </c>
      <c r="H13" s="271">
        <v>2012</v>
      </c>
      <c r="I13" s="272">
        <v>45</v>
      </c>
      <c r="J13" s="273">
        <v>27500</v>
      </c>
      <c r="K13" s="272">
        <v>45</v>
      </c>
      <c r="L13" s="271" t="s">
        <v>264</v>
      </c>
      <c r="M13" s="274">
        <f>J13*(K13/I13)^0.7</f>
        <v>27500</v>
      </c>
      <c r="N13" s="271">
        <f>$N$9-H13</f>
        <v>7</v>
      </c>
      <c r="O13" s="274">
        <f>M13*(1.03^N13)</f>
        <v>33821.531299183924</v>
      </c>
      <c r="P13" s="274"/>
      <c r="Q13" s="88"/>
    </row>
    <row r="14" spans="1:17" hidden="1" x14ac:dyDescent="0.35">
      <c r="A14" s="249" t="s">
        <v>267</v>
      </c>
      <c r="B14" s="249"/>
      <c r="C14" s="250"/>
      <c r="D14" s="250"/>
      <c r="E14" s="251">
        <v>1</v>
      </c>
      <c r="F14" s="252">
        <f>O14*E14</f>
        <v>0</v>
      </c>
      <c r="G14" s="270" t="s">
        <v>268</v>
      </c>
      <c r="H14" s="271">
        <v>2007</v>
      </c>
      <c r="I14" s="272">
        <v>4013117</v>
      </c>
      <c r="J14" s="273">
        <v>1524000</v>
      </c>
      <c r="K14" s="272">
        <f>'STS Calculation Summary'!W115</f>
        <v>0</v>
      </c>
      <c r="L14" s="271" t="s">
        <v>269</v>
      </c>
      <c r="M14" s="274">
        <f>J14*(K14/I14)^0.7</f>
        <v>0</v>
      </c>
      <c r="N14" s="271">
        <f>$N$9-H14</f>
        <v>12</v>
      </c>
      <c r="O14" s="274">
        <f>M14*(1.03^N14)</f>
        <v>0</v>
      </c>
      <c r="P14" s="274"/>
      <c r="Q14" s="88"/>
    </row>
    <row r="15" spans="1:17" hidden="1" x14ac:dyDescent="0.35">
      <c r="A15" s="249" t="s">
        <v>270</v>
      </c>
      <c r="B15" s="249"/>
      <c r="C15" s="250"/>
      <c r="D15" s="250"/>
      <c r="E15" s="251">
        <v>1</v>
      </c>
      <c r="F15" s="252">
        <f>O15*E15</f>
        <v>846707.49333478732</v>
      </c>
      <c r="G15" s="270" t="s">
        <v>268</v>
      </c>
      <c r="H15" s="271">
        <v>2007</v>
      </c>
      <c r="I15" s="272">
        <f>1250+5141</f>
        <v>6391</v>
      </c>
      <c r="J15" s="273">
        <v>1388217</v>
      </c>
      <c r="K15" s="272">
        <v>1900</v>
      </c>
      <c r="L15" s="271" t="s">
        <v>264</v>
      </c>
      <c r="M15" s="274">
        <f t="shared" ref="M15:M19" si="0">J15*(K15/I15)^0.7</f>
        <v>593863.60023364576</v>
      </c>
      <c r="N15" s="271">
        <f>$N$9-H15</f>
        <v>12</v>
      </c>
      <c r="O15" s="274">
        <f>M15*(1.03^N15)</f>
        <v>846707.49333478732</v>
      </c>
      <c r="P15" s="274"/>
      <c r="Q15" s="88"/>
    </row>
    <row r="16" spans="1:17" x14ac:dyDescent="0.35">
      <c r="A16" s="278"/>
      <c r="B16" s="278"/>
      <c r="C16" s="278"/>
      <c r="D16" s="278"/>
      <c r="E16" s="278"/>
      <c r="F16" s="278"/>
      <c r="G16" s="278"/>
      <c r="H16" s="278"/>
      <c r="I16" s="278"/>
      <c r="J16" s="278"/>
      <c r="K16" s="278"/>
      <c r="L16" s="278"/>
      <c r="M16" s="278"/>
      <c r="N16" s="278"/>
      <c r="O16" s="278"/>
      <c r="P16" s="278"/>
      <c r="Q16" s="88"/>
    </row>
    <row r="17" spans="1:17" ht="25" x14ac:dyDescent="0.35">
      <c r="A17" s="253" t="s">
        <v>271</v>
      </c>
      <c r="B17" s="253" t="s">
        <v>272</v>
      </c>
      <c r="C17" s="254">
        <f>50*5</f>
        <v>250</v>
      </c>
      <c r="D17" s="254">
        <f>2*(5*20)+3*(26*6)+6*6+10*8</f>
        <v>784</v>
      </c>
      <c r="E17" s="255">
        <v>1</v>
      </c>
      <c r="F17" s="256">
        <f>O17*E17</f>
        <v>1876145</v>
      </c>
      <c r="G17" s="302" t="s">
        <v>273</v>
      </c>
      <c r="H17" s="303">
        <v>2018</v>
      </c>
      <c r="I17" s="304">
        <v>1700</v>
      </c>
      <c r="J17" s="305">
        <f>826500+995000</f>
        <v>1821500</v>
      </c>
      <c r="K17" s="304">
        <v>1700</v>
      </c>
      <c r="L17" s="303" t="s">
        <v>264</v>
      </c>
      <c r="M17" s="306">
        <f t="shared" si="0"/>
        <v>1821500</v>
      </c>
      <c r="N17" s="303">
        <f t="shared" ref="N17:N33" si="1">$N$9-H17</f>
        <v>1</v>
      </c>
      <c r="O17" s="306">
        <f t="shared" ref="O17:O28" si="2">M17*(1.03^N17)</f>
        <v>1876145</v>
      </c>
      <c r="P17" s="306" t="s">
        <v>274</v>
      </c>
      <c r="Q17" s="88"/>
    </row>
    <row r="18" spans="1:17" ht="37.5" x14ac:dyDescent="0.35">
      <c r="A18" s="257" t="s">
        <v>275</v>
      </c>
      <c r="B18" s="253" t="s">
        <v>276</v>
      </c>
      <c r="C18" s="258">
        <v>0</v>
      </c>
      <c r="D18" s="259">
        <f>PI()*(('STS Design Calcs'!C49/2)^2)*4</f>
        <v>615.75216010359941</v>
      </c>
      <c r="E18" s="255">
        <v>4</v>
      </c>
      <c r="F18" s="256">
        <f>O18*E18</f>
        <v>753960</v>
      </c>
      <c r="G18" s="302" t="s">
        <v>277</v>
      </c>
      <c r="H18" s="303">
        <v>2018</v>
      </c>
      <c r="I18" s="304">
        <f>32000</f>
        <v>32000</v>
      </c>
      <c r="J18" s="305">
        <f>366000/2</f>
        <v>183000</v>
      </c>
      <c r="K18" s="304">
        <f>I18</f>
        <v>32000</v>
      </c>
      <c r="L18" s="303" t="s">
        <v>278</v>
      </c>
      <c r="M18" s="306">
        <f t="shared" si="0"/>
        <v>183000</v>
      </c>
      <c r="N18" s="303">
        <f t="shared" si="1"/>
        <v>1</v>
      </c>
      <c r="O18" s="306">
        <f t="shared" si="2"/>
        <v>188490</v>
      </c>
      <c r="P18" s="307" t="s">
        <v>279</v>
      </c>
      <c r="Q18" s="88"/>
    </row>
    <row r="19" spans="1:17" ht="39.5" x14ac:dyDescent="0.35">
      <c r="A19" s="257" t="s">
        <v>280</v>
      </c>
      <c r="B19" s="253" t="s">
        <v>281</v>
      </c>
      <c r="C19" s="258">
        <v>0</v>
      </c>
      <c r="D19" s="259">
        <f>PI()*(('STS Design Calcs'!C72/2)^2)</f>
        <v>95.033177771091246</v>
      </c>
      <c r="E19" s="255">
        <v>1</v>
      </c>
      <c r="F19" s="256">
        <f>O19*E19+7000</f>
        <v>20334.452099999999</v>
      </c>
      <c r="G19" s="302" t="s">
        <v>282</v>
      </c>
      <c r="H19" s="303">
        <v>2017</v>
      </c>
      <c r="I19" s="304">
        <v>5000</v>
      </c>
      <c r="J19" s="305">
        <v>12569</v>
      </c>
      <c r="K19" s="304">
        <f>'STS Design Calcs'!C62</f>
        <v>5000</v>
      </c>
      <c r="L19" s="303" t="s">
        <v>278</v>
      </c>
      <c r="M19" s="306">
        <f t="shared" si="0"/>
        <v>12569</v>
      </c>
      <c r="N19" s="303">
        <f t="shared" si="1"/>
        <v>2</v>
      </c>
      <c r="O19" s="306">
        <f t="shared" si="2"/>
        <v>13334.452099999999</v>
      </c>
      <c r="P19" s="306"/>
      <c r="Q19" s="88"/>
    </row>
    <row r="20" spans="1:17" ht="25" x14ac:dyDescent="0.35">
      <c r="A20" s="260" t="s">
        <v>283</v>
      </c>
      <c r="B20" s="261" t="s">
        <v>284</v>
      </c>
      <c r="C20" s="262">
        <v>0</v>
      </c>
      <c r="D20" s="263">
        <f>PI()*(('STS Design Calcs'!C260/2)^2)*2</f>
        <v>76.969020012949926</v>
      </c>
      <c r="E20" s="264">
        <v>2</v>
      </c>
      <c r="F20" s="265">
        <f>O20*E20</f>
        <v>216151.46978837819</v>
      </c>
      <c r="G20" s="302" t="s">
        <v>277</v>
      </c>
      <c r="H20" s="303">
        <v>2018</v>
      </c>
      <c r="I20" s="304">
        <v>500</v>
      </c>
      <c r="J20" s="305">
        <v>79000</v>
      </c>
      <c r="K20" s="304">
        <f>'STS Design Calcs'!C250/2</f>
        <v>750</v>
      </c>
      <c r="L20" s="303" t="s">
        <v>278</v>
      </c>
      <c r="M20" s="306">
        <f>J20*(K20/I20)^0.7</f>
        <v>104927.8979555234</v>
      </c>
      <c r="N20" s="303">
        <f t="shared" si="1"/>
        <v>1</v>
      </c>
      <c r="O20" s="306">
        <f>M20*(1.03^N20)</f>
        <v>108075.7348941891</v>
      </c>
      <c r="P20" s="306"/>
      <c r="Q20" s="91"/>
    </row>
    <row r="21" spans="1:17" x14ac:dyDescent="0.35">
      <c r="A21" s="257" t="s">
        <v>285</v>
      </c>
      <c r="B21" s="253" t="s">
        <v>286</v>
      </c>
      <c r="C21" s="258">
        <v>2</v>
      </c>
      <c r="D21" s="259">
        <f>PI()*(('STS Design Calcs'!C85/2)^2)</f>
        <v>3739.2806559352512</v>
      </c>
      <c r="E21" s="255">
        <v>1</v>
      </c>
      <c r="F21" s="256">
        <f t="shared" ref="F21:F27" si="3">O21*E21</f>
        <v>331660</v>
      </c>
      <c r="G21" s="302" t="s">
        <v>287</v>
      </c>
      <c r="H21" s="303">
        <v>2018</v>
      </c>
      <c r="I21" s="304">
        <v>70</v>
      </c>
      <c r="J21" s="305">
        <v>322000</v>
      </c>
      <c r="K21" s="304">
        <v>70</v>
      </c>
      <c r="L21" s="303" t="s">
        <v>218</v>
      </c>
      <c r="M21" s="306">
        <f t="shared" ref="M21:M33" si="4">J21*(K21/I21)^0.7</f>
        <v>322000</v>
      </c>
      <c r="N21" s="303">
        <f t="shared" si="1"/>
        <v>1</v>
      </c>
      <c r="O21" s="306">
        <f t="shared" si="2"/>
        <v>331660</v>
      </c>
      <c r="P21" s="306"/>
      <c r="Q21" s="88"/>
    </row>
    <row r="22" spans="1:17" x14ac:dyDescent="0.35">
      <c r="A22" s="253" t="s">
        <v>288</v>
      </c>
      <c r="B22" s="253" t="str">
        <f>'STS Design Calcs'!C93&amp;" "&amp;'STS Design Calcs'!D93</f>
        <v>42 gpm</v>
      </c>
      <c r="C22" s="258">
        <v>0</v>
      </c>
      <c r="D22" s="254">
        <f>4*4</f>
        <v>16</v>
      </c>
      <c r="E22" s="255">
        <v>2</v>
      </c>
      <c r="F22" s="256">
        <f t="shared" si="3"/>
        <v>10940.684409763906</v>
      </c>
      <c r="G22" s="302" t="s">
        <v>289</v>
      </c>
      <c r="H22" s="303">
        <v>2016</v>
      </c>
      <c r="I22" s="304">
        <v>300</v>
      </c>
      <c r="J22" s="305">
        <v>19825</v>
      </c>
      <c r="K22" s="304">
        <f>'STS Design Calcs'!C93</f>
        <v>42</v>
      </c>
      <c r="L22" s="303" t="s">
        <v>264</v>
      </c>
      <c r="M22" s="306">
        <f t="shared" si="4"/>
        <v>5006.138042605292</v>
      </c>
      <c r="N22" s="303">
        <f t="shared" si="1"/>
        <v>3</v>
      </c>
      <c r="O22" s="306">
        <f t="shared" si="2"/>
        <v>5470.342204881953</v>
      </c>
      <c r="P22" s="306"/>
      <c r="Q22" s="88"/>
    </row>
    <row r="23" spans="1:17" x14ac:dyDescent="0.35">
      <c r="A23" s="253" t="s">
        <v>290</v>
      </c>
      <c r="B23" s="253" t="str">
        <f>'STS Design Calcs'!C96&amp;" "&amp;'STS Design Calcs'!D96&amp;" "&amp;'STS Design Calcs'!C98&amp;" gpm"</f>
        <v>3 Recycles 249 gpm</v>
      </c>
      <c r="C23" s="258">
        <v>0</v>
      </c>
      <c r="D23" s="254">
        <f>4*4</f>
        <v>16</v>
      </c>
      <c r="E23" s="255">
        <v>2</v>
      </c>
      <c r="F23" s="256">
        <f t="shared" si="3"/>
        <v>38028.529337269261</v>
      </c>
      <c r="G23" s="302" t="s">
        <v>289</v>
      </c>
      <c r="H23" s="303">
        <v>2016</v>
      </c>
      <c r="I23" s="304">
        <v>300</v>
      </c>
      <c r="J23" s="305">
        <v>19825</v>
      </c>
      <c r="K23" s="304">
        <f>'STS Design Calcs'!C98</f>
        <v>249</v>
      </c>
      <c r="L23" s="303" t="s">
        <v>264</v>
      </c>
      <c r="M23" s="306">
        <f t="shared" si="4"/>
        <v>17400.745720234452</v>
      </c>
      <c r="N23" s="303">
        <f t="shared" si="1"/>
        <v>3</v>
      </c>
      <c r="O23" s="306">
        <f t="shared" si="2"/>
        <v>19014.264668634631</v>
      </c>
      <c r="P23" s="306"/>
      <c r="Q23" s="88"/>
    </row>
    <row r="24" spans="1:17" x14ac:dyDescent="0.35">
      <c r="A24" s="253" t="s">
        <v>291</v>
      </c>
      <c r="B24" s="253" t="str">
        <f>'STS Design Calcs'!C263&amp;" mg/L - "&amp;'STS Design Calcs'!C273&amp;" "&amp;'STS Design Calcs'!D273</f>
        <v>10 mg/L - 0.67 gph</v>
      </c>
      <c r="C24" s="258">
        <v>0.3</v>
      </c>
      <c r="D24" s="254">
        <f>4*4</f>
        <v>16</v>
      </c>
      <c r="E24" s="255">
        <v>1</v>
      </c>
      <c r="F24" s="256">
        <f t="shared" si="3"/>
        <v>15997.982225339998</v>
      </c>
      <c r="G24" s="302" t="s">
        <v>292</v>
      </c>
      <c r="H24" s="303">
        <v>2014</v>
      </c>
      <c r="I24" s="304">
        <v>1</v>
      </c>
      <c r="J24" s="305">
        <v>13800</v>
      </c>
      <c r="K24" s="304">
        <v>1</v>
      </c>
      <c r="L24" s="303" t="s">
        <v>264</v>
      </c>
      <c r="M24" s="306">
        <f t="shared" si="4"/>
        <v>13800</v>
      </c>
      <c r="N24" s="303">
        <f t="shared" si="1"/>
        <v>5</v>
      </c>
      <c r="O24" s="306">
        <f t="shared" si="2"/>
        <v>15997.982225339998</v>
      </c>
      <c r="P24" s="306"/>
      <c r="Q24" s="88"/>
    </row>
    <row r="25" spans="1:17" x14ac:dyDescent="0.35">
      <c r="A25" s="253" t="s">
        <v>293</v>
      </c>
      <c r="B25" s="253" t="s">
        <v>294</v>
      </c>
      <c r="C25" s="258">
        <v>10</v>
      </c>
      <c r="D25" s="259">
        <f>PI()*((12/2)^2)</f>
        <v>113.09733552923255</v>
      </c>
      <c r="E25" s="255">
        <v>1</v>
      </c>
      <c r="F25" s="256">
        <f t="shared" si="3"/>
        <v>1014550</v>
      </c>
      <c r="G25" s="302" t="s">
        <v>295</v>
      </c>
      <c r="H25" s="303">
        <v>2018</v>
      </c>
      <c r="I25" s="304">
        <v>1000</v>
      </c>
      <c r="J25" s="305">
        <v>985000</v>
      </c>
      <c r="K25" s="304">
        <v>1000</v>
      </c>
      <c r="L25" s="303" t="s">
        <v>296</v>
      </c>
      <c r="M25" s="306">
        <f t="shared" si="4"/>
        <v>985000</v>
      </c>
      <c r="N25" s="303">
        <f t="shared" si="1"/>
        <v>1</v>
      </c>
      <c r="O25" s="306">
        <f t="shared" si="2"/>
        <v>1014550</v>
      </c>
      <c r="P25" s="306"/>
      <c r="Q25" s="88"/>
    </row>
    <row r="26" spans="1:17" x14ac:dyDescent="0.35">
      <c r="A26" s="253" t="s">
        <v>297</v>
      </c>
      <c r="B26" s="253" t="str">
        <f>'STS Design Calcs'!C288&amp;" "&amp;'STS Design Calcs'!D288&amp;" - "&amp;'STS Design Calcs'!C296&amp;" "&amp;'STS Design Calcs'!D296&amp;", "&amp;'STS Design Calcs'!O295&amp;" concentration"</f>
        <v>6.65 mg/L - 1.46 gph, 0.35 concentration</v>
      </c>
      <c r="C26" s="258">
        <v>0.3</v>
      </c>
      <c r="D26" s="254">
        <f>4*3</f>
        <v>12</v>
      </c>
      <c r="E26" s="255">
        <v>2</v>
      </c>
      <c r="F26" s="256">
        <f t="shared" si="3"/>
        <v>32533.559399999998</v>
      </c>
      <c r="G26" s="302" t="s">
        <v>298</v>
      </c>
      <c r="H26" s="303">
        <v>2017</v>
      </c>
      <c r="I26" s="304">
        <v>1</v>
      </c>
      <c r="J26" s="305">
        <v>15333</v>
      </c>
      <c r="K26" s="304">
        <v>1</v>
      </c>
      <c r="L26" s="303"/>
      <c r="M26" s="306">
        <f t="shared" si="4"/>
        <v>15333</v>
      </c>
      <c r="N26" s="303">
        <f t="shared" si="1"/>
        <v>2</v>
      </c>
      <c r="O26" s="306">
        <f t="shared" si="2"/>
        <v>16266.779699999999</v>
      </c>
      <c r="P26" s="306"/>
      <c r="Q26" s="88"/>
    </row>
    <row r="27" spans="1:17" x14ac:dyDescent="0.35">
      <c r="A27" s="257" t="s">
        <v>299</v>
      </c>
      <c r="B27" s="253" t="s">
        <v>300</v>
      </c>
      <c r="C27" s="258">
        <v>0</v>
      </c>
      <c r="D27" s="259">
        <f>PI()*(('STS Design Calcs'!C117/2)^2)</f>
        <v>201.06192982974676</v>
      </c>
      <c r="E27" s="255">
        <v>1</v>
      </c>
      <c r="F27" s="256">
        <f t="shared" si="3"/>
        <v>188490</v>
      </c>
      <c r="G27" s="302" t="s">
        <v>301</v>
      </c>
      <c r="H27" s="303">
        <v>2018</v>
      </c>
      <c r="I27" s="304">
        <f>32000</f>
        <v>32000</v>
      </c>
      <c r="J27" s="305">
        <f>366000/2</f>
        <v>183000</v>
      </c>
      <c r="K27" s="304">
        <f>I27</f>
        <v>32000</v>
      </c>
      <c r="L27" s="303" t="s">
        <v>278</v>
      </c>
      <c r="M27" s="306">
        <f t="shared" si="4"/>
        <v>183000</v>
      </c>
      <c r="N27" s="303">
        <f t="shared" si="1"/>
        <v>1</v>
      </c>
      <c r="O27" s="306">
        <f t="shared" si="2"/>
        <v>188490</v>
      </c>
      <c r="P27" s="306" t="s">
        <v>302</v>
      </c>
      <c r="Q27" s="88"/>
    </row>
    <row r="28" spans="1:17" x14ac:dyDescent="0.35">
      <c r="A28" s="253" t="s">
        <v>303</v>
      </c>
      <c r="B28" s="253" t="s">
        <v>304</v>
      </c>
      <c r="C28" s="258">
        <v>0</v>
      </c>
      <c r="D28" s="259">
        <f>PI()*(('STS Design Calcs'!C201/2)^2)</f>
        <v>113.09733552923255</v>
      </c>
      <c r="E28" s="255">
        <v>1</v>
      </c>
      <c r="F28" s="256">
        <f t="shared" ref="F28:F34" si="5">O28*E28</f>
        <v>38093.122971499863</v>
      </c>
      <c r="G28" s="302" t="s">
        <v>305</v>
      </c>
      <c r="H28" s="303">
        <v>2018</v>
      </c>
      <c r="I28" s="304">
        <v>20000</v>
      </c>
      <c r="J28" s="305">
        <v>50000</v>
      </c>
      <c r="K28" s="304">
        <f>'STS Design Calcs'!C191</f>
        <v>13000</v>
      </c>
      <c r="L28" s="303" t="s">
        <v>278</v>
      </c>
      <c r="M28" s="306">
        <f>J28*(K28/I28)^0.7</f>
        <v>36983.614535436762</v>
      </c>
      <c r="N28" s="303">
        <f t="shared" si="1"/>
        <v>1</v>
      </c>
      <c r="O28" s="306">
        <f t="shared" si="2"/>
        <v>38093.122971499863</v>
      </c>
      <c r="P28" s="306"/>
      <c r="Q28" s="88"/>
    </row>
    <row r="29" spans="1:17" x14ac:dyDescent="0.35">
      <c r="A29" s="253" t="s">
        <v>306</v>
      </c>
      <c r="B29" s="253" t="str">
        <f>'STS Design Calcs'!L178&amp;" - "&amp;'STS Design Calcs'!C179&amp;" ft3"&amp;" including platform and conveyor"</f>
        <v>2 - 100 ft3 including platform and conveyor</v>
      </c>
      <c r="C29" s="258">
        <v>15</v>
      </c>
      <c r="D29" s="254">
        <f>34*7*2</f>
        <v>476</v>
      </c>
      <c r="E29" s="255">
        <v>2</v>
      </c>
      <c r="F29" s="256">
        <f t="shared" si="5"/>
        <v>550416.57504879322</v>
      </c>
      <c r="G29" s="302" t="s">
        <v>277</v>
      </c>
      <c r="H29" s="303">
        <v>2018</v>
      </c>
      <c r="I29" s="304">
        <v>200</v>
      </c>
      <c r="J29" s="305">
        <v>350000</v>
      </c>
      <c r="K29" s="304">
        <f>'STS Design Calcs'!C187</f>
        <v>136</v>
      </c>
      <c r="L29" s="303" t="s">
        <v>307</v>
      </c>
      <c r="M29" s="306">
        <f t="shared" si="4"/>
        <v>267192.51215960836</v>
      </c>
      <c r="N29" s="303">
        <f t="shared" si="1"/>
        <v>1</v>
      </c>
      <c r="O29" s="306">
        <f t="shared" ref="O29:O33" si="6">M29*(1.03^N29)</f>
        <v>275208.28752439661</v>
      </c>
      <c r="P29" s="306" t="s">
        <v>308</v>
      </c>
      <c r="Q29" s="88"/>
    </row>
    <row r="30" spans="1:17" x14ac:dyDescent="0.35">
      <c r="A30" s="253" t="s">
        <v>309</v>
      </c>
      <c r="B30" s="266" t="s">
        <v>310</v>
      </c>
      <c r="C30" s="254">
        <v>0</v>
      </c>
      <c r="D30" s="259">
        <f>PI()*(('STS Design Calcs'!C218/2)^2)</f>
        <v>63.617251235193308</v>
      </c>
      <c r="E30" s="255">
        <v>1</v>
      </c>
      <c r="F30" s="256">
        <f t="shared" si="5"/>
        <v>11406.126045796127</v>
      </c>
      <c r="G30" s="302" t="s">
        <v>311</v>
      </c>
      <c r="H30" s="303">
        <v>2017</v>
      </c>
      <c r="I30" s="304">
        <v>5000</v>
      </c>
      <c r="J30" s="305">
        <v>12569</v>
      </c>
      <c r="K30" s="304">
        <f>'STS Design Calcs'!C208</f>
        <v>4000</v>
      </c>
      <c r="L30" s="303" t="s">
        <v>278</v>
      </c>
      <c r="M30" s="306">
        <f t="shared" si="4"/>
        <v>10751.367749831395</v>
      </c>
      <c r="N30" s="303">
        <f t="shared" si="1"/>
        <v>2</v>
      </c>
      <c r="O30" s="306">
        <f t="shared" si="6"/>
        <v>11406.126045796127</v>
      </c>
      <c r="P30" s="306"/>
      <c r="Q30" s="88"/>
    </row>
    <row r="31" spans="1:17" x14ac:dyDescent="0.35">
      <c r="A31" s="253" t="s">
        <v>312</v>
      </c>
      <c r="B31" s="266" t="str">
        <f>'STS Design Calcs'!C204&amp;" "&amp;'STS Design Calcs'!D204</f>
        <v>13 gpm</v>
      </c>
      <c r="C31" s="254">
        <v>0.5</v>
      </c>
      <c r="D31" s="254">
        <f>4*4</f>
        <v>16</v>
      </c>
      <c r="E31" s="255">
        <v>2</v>
      </c>
      <c r="F31" s="256">
        <f t="shared" si="5"/>
        <v>11462.741663674067</v>
      </c>
      <c r="G31" s="302" t="s">
        <v>289</v>
      </c>
      <c r="H31" s="303">
        <v>2016</v>
      </c>
      <c r="I31" s="304">
        <v>20</v>
      </c>
      <c r="J31" s="305">
        <v>7091</v>
      </c>
      <c r="K31" s="304">
        <f>'STS Design Calcs'!C204</f>
        <v>13</v>
      </c>
      <c r="L31" s="303" t="s">
        <v>264</v>
      </c>
      <c r="M31" s="306">
        <f t="shared" si="4"/>
        <v>5245.0162134156417</v>
      </c>
      <c r="N31" s="303">
        <f t="shared" si="1"/>
        <v>3</v>
      </c>
      <c r="O31" s="306">
        <f t="shared" si="6"/>
        <v>5731.3708318370336</v>
      </c>
      <c r="P31" s="306"/>
      <c r="Q31" s="88"/>
    </row>
    <row r="32" spans="1:17" x14ac:dyDescent="0.35">
      <c r="A32" s="253" t="s">
        <v>313</v>
      </c>
      <c r="B32" s="266" t="s">
        <v>314</v>
      </c>
      <c r="C32" s="258">
        <v>0</v>
      </c>
      <c r="D32" s="259">
        <f>PI()*(('STS Design Calcs'!C372/2)^2)</f>
        <v>28.274333882308138</v>
      </c>
      <c r="E32" s="255">
        <v>1</v>
      </c>
      <c r="F32" s="256">
        <f t="shared" si="5"/>
        <v>9325.6916353448887</v>
      </c>
      <c r="G32" s="302" t="s">
        <v>315</v>
      </c>
      <c r="H32" s="303">
        <v>2017</v>
      </c>
      <c r="I32" s="304">
        <v>5000</v>
      </c>
      <c r="J32" s="305">
        <v>12569</v>
      </c>
      <c r="K32" s="304">
        <f>'STS Design Calcs'!C362</f>
        <v>3000</v>
      </c>
      <c r="L32" s="303" t="s">
        <v>278</v>
      </c>
      <c r="M32" s="306">
        <f t="shared" si="4"/>
        <v>8790.3587853189638</v>
      </c>
      <c r="N32" s="303">
        <f t="shared" si="1"/>
        <v>2</v>
      </c>
      <c r="O32" s="306">
        <f t="shared" si="6"/>
        <v>9325.6916353448887</v>
      </c>
      <c r="P32" s="306"/>
      <c r="Q32" s="88"/>
    </row>
    <row r="33" spans="1:17" x14ac:dyDescent="0.35">
      <c r="A33" s="253" t="s">
        <v>316</v>
      </c>
      <c r="B33" s="253" t="str">
        <f>'STS Design Calcs'!C358&amp;" "&amp;'STS Design Calcs'!D358</f>
        <v>39.67 gpm</v>
      </c>
      <c r="C33" s="258">
        <v>1</v>
      </c>
      <c r="D33" s="254">
        <f>4*4</f>
        <v>16</v>
      </c>
      <c r="E33" s="255">
        <v>2</v>
      </c>
      <c r="F33" s="256">
        <f t="shared" si="5"/>
        <v>25029.47259450506</v>
      </c>
      <c r="G33" s="302" t="s">
        <v>289</v>
      </c>
      <c r="H33" s="303">
        <v>2016</v>
      </c>
      <c r="I33" s="304">
        <v>20</v>
      </c>
      <c r="J33" s="305">
        <v>7091</v>
      </c>
      <c r="K33" s="304">
        <f>'STS Design Calcs'!C358</f>
        <v>39.67</v>
      </c>
      <c r="L33" s="303" t="s">
        <v>264</v>
      </c>
      <c r="M33" s="306">
        <f t="shared" si="4"/>
        <v>11452.756541434896</v>
      </c>
      <c r="N33" s="303">
        <f t="shared" si="1"/>
        <v>3</v>
      </c>
      <c r="O33" s="306">
        <f t="shared" si="6"/>
        <v>12514.73629725253</v>
      </c>
      <c r="P33" s="306"/>
      <c r="Q33" s="88"/>
    </row>
    <row r="34" spans="1:17" x14ac:dyDescent="0.35">
      <c r="A34" s="253" t="s">
        <v>317</v>
      </c>
      <c r="B34" s="253" t="s">
        <v>318</v>
      </c>
      <c r="C34" s="254">
        <v>15</v>
      </c>
      <c r="D34" s="254">
        <f>4*4</f>
        <v>16</v>
      </c>
      <c r="E34" s="255">
        <v>2</v>
      </c>
      <c r="F34" s="256">
        <f t="shared" si="5"/>
        <v>30000</v>
      </c>
      <c r="G34" s="308" t="s">
        <v>319</v>
      </c>
      <c r="H34" s="377" t="s">
        <v>320</v>
      </c>
      <c r="I34" s="377" t="s">
        <v>320</v>
      </c>
      <c r="J34" s="377" t="s">
        <v>320</v>
      </c>
      <c r="K34" s="377" t="s">
        <v>320</v>
      </c>
      <c r="L34" s="377" t="s">
        <v>320</v>
      </c>
      <c r="M34" s="377" t="s">
        <v>320</v>
      </c>
      <c r="N34" s="377" t="s">
        <v>320</v>
      </c>
      <c r="O34" s="306">
        <v>15000</v>
      </c>
      <c r="P34" s="306"/>
      <c r="Q34" s="88"/>
    </row>
    <row r="35" spans="1:17" x14ac:dyDescent="0.35">
      <c r="A35" s="253" t="s">
        <v>321</v>
      </c>
      <c r="B35" s="253"/>
      <c r="C35" s="254">
        <v>0</v>
      </c>
      <c r="D35" s="254" t="s">
        <v>320</v>
      </c>
      <c r="E35" s="255">
        <v>1</v>
      </c>
      <c r="F35" s="256">
        <f>O35*E35</f>
        <v>100000</v>
      </c>
      <c r="G35" s="308" t="s">
        <v>319</v>
      </c>
      <c r="H35" s="377" t="s">
        <v>320</v>
      </c>
      <c r="I35" s="377" t="s">
        <v>320</v>
      </c>
      <c r="J35" s="377" t="s">
        <v>320</v>
      </c>
      <c r="K35" s="377" t="s">
        <v>320</v>
      </c>
      <c r="L35" s="377" t="s">
        <v>320</v>
      </c>
      <c r="M35" s="377" t="s">
        <v>320</v>
      </c>
      <c r="N35" s="377" t="s">
        <v>320</v>
      </c>
      <c r="O35" s="306">
        <v>100000</v>
      </c>
      <c r="P35" s="306"/>
      <c r="Q35" s="88"/>
    </row>
    <row r="36" spans="1:17" x14ac:dyDescent="0.35">
      <c r="A36" s="253" t="s">
        <v>322</v>
      </c>
      <c r="B36" s="253"/>
      <c r="C36" s="254">
        <v>0</v>
      </c>
      <c r="D36" s="254" t="s">
        <v>320</v>
      </c>
      <c r="E36" s="255">
        <v>1</v>
      </c>
      <c r="F36" s="256">
        <f>O36*E36</f>
        <v>156000</v>
      </c>
      <c r="G36" s="308" t="s">
        <v>319</v>
      </c>
      <c r="H36" s="377" t="s">
        <v>320</v>
      </c>
      <c r="I36" s="377" t="s">
        <v>320</v>
      </c>
      <c r="J36" s="377" t="s">
        <v>320</v>
      </c>
      <c r="K36" s="377" t="s">
        <v>320</v>
      </c>
      <c r="L36" s="377" t="s">
        <v>320</v>
      </c>
      <c r="M36" s="377" t="s">
        <v>320</v>
      </c>
      <c r="N36" s="377" t="s">
        <v>320</v>
      </c>
      <c r="O36" s="306">
        <v>156000</v>
      </c>
      <c r="P36" s="306"/>
      <c r="Q36" s="88"/>
    </row>
    <row r="37" spans="1:17" x14ac:dyDescent="0.35">
      <c r="A37" s="253" t="s">
        <v>323</v>
      </c>
      <c r="B37" s="253"/>
      <c r="C37" s="254">
        <v>0</v>
      </c>
      <c r="D37" s="254" t="s">
        <v>320</v>
      </c>
      <c r="E37" s="255">
        <v>1</v>
      </c>
      <c r="F37" s="256">
        <f>O37*E37</f>
        <v>50000</v>
      </c>
      <c r="G37" s="308" t="s">
        <v>319</v>
      </c>
      <c r="H37" s="377" t="s">
        <v>320</v>
      </c>
      <c r="I37" s="377" t="s">
        <v>320</v>
      </c>
      <c r="J37" s="377" t="s">
        <v>320</v>
      </c>
      <c r="K37" s="377" t="s">
        <v>320</v>
      </c>
      <c r="L37" s="377" t="s">
        <v>320</v>
      </c>
      <c r="M37" s="377" t="s">
        <v>320</v>
      </c>
      <c r="N37" s="377" t="s">
        <v>320</v>
      </c>
      <c r="O37" s="306">
        <v>50000</v>
      </c>
      <c r="P37" s="306"/>
      <c r="Q37" s="88"/>
    </row>
    <row r="38" spans="1:17" x14ac:dyDescent="0.35">
      <c r="A38" s="253" t="s">
        <v>324</v>
      </c>
      <c r="B38" s="253"/>
      <c r="C38" s="254">
        <v>5</v>
      </c>
      <c r="D38" s="254" t="s">
        <v>320</v>
      </c>
      <c r="E38" s="255">
        <v>1</v>
      </c>
      <c r="F38" s="256">
        <f>O38*E38</f>
        <v>50000</v>
      </c>
      <c r="G38" s="308" t="s">
        <v>319</v>
      </c>
      <c r="H38" s="377" t="s">
        <v>320</v>
      </c>
      <c r="I38" s="377" t="s">
        <v>320</v>
      </c>
      <c r="J38" s="377" t="s">
        <v>320</v>
      </c>
      <c r="K38" s="377" t="s">
        <v>320</v>
      </c>
      <c r="L38" s="377" t="s">
        <v>320</v>
      </c>
      <c r="M38" s="377" t="s">
        <v>320</v>
      </c>
      <c r="N38" s="377" t="s">
        <v>320</v>
      </c>
      <c r="O38" s="306">
        <v>50000</v>
      </c>
      <c r="P38" s="306"/>
      <c r="Q38" s="88"/>
    </row>
    <row r="39" spans="1:17" x14ac:dyDescent="0.35">
      <c r="A39" s="253" t="s">
        <v>325</v>
      </c>
      <c r="B39" s="253"/>
      <c r="C39" s="254">
        <v>0</v>
      </c>
      <c r="D39" s="254" t="s">
        <v>320</v>
      </c>
      <c r="E39" s="255">
        <v>1</v>
      </c>
      <c r="F39" s="256">
        <v>100000</v>
      </c>
      <c r="G39" s="308" t="s">
        <v>319</v>
      </c>
      <c r="H39" s="377" t="s">
        <v>320</v>
      </c>
      <c r="I39" s="377" t="s">
        <v>320</v>
      </c>
      <c r="J39" s="377" t="s">
        <v>320</v>
      </c>
      <c r="K39" s="377" t="s">
        <v>320</v>
      </c>
      <c r="L39" s="377" t="s">
        <v>320</v>
      </c>
      <c r="M39" s="377" t="s">
        <v>320</v>
      </c>
      <c r="N39" s="377" t="s">
        <v>320</v>
      </c>
      <c r="O39" s="306">
        <v>100000</v>
      </c>
      <c r="P39" s="306"/>
      <c r="Q39" s="88"/>
    </row>
    <row r="40" spans="1:17" x14ac:dyDescent="0.35">
      <c r="A40" s="267" t="s">
        <v>326</v>
      </c>
      <c r="B40" s="268" t="s">
        <v>327</v>
      </c>
      <c r="C40" s="269">
        <f>ROUNDUP(SUM(C14:C39),-2)</f>
        <v>300</v>
      </c>
      <c r="D40" s="378">
        <f>(SUM(D17:D39)-D21)</f>
        <v>2674.902543893354</v>
      </c>
      <c r="E40" s="255">
        <v>1</v>
      </c>
      <c r="F40" s="256">
        <f>SUM(F17:F39)</f>
        <v>5630525.4072203645</v>
      </c>
      <c r="G40" s="88"/>
      <c r="H40" s="88"/>
      <c r="I40" s="88"/>
      <c r="J40" s="88"/>
      <c r="K40" s="88"/>
      <c r="L40" s="88"/>
      <c r="M40" s="88"/>
      <c r="N40" s="88"/>
      <c r="O40" s="88"/>
      <c r="P40" s="88"/>
      <c r="Q40" s="88"/>
    </row>
    <row r="41" spans="1:17" x14ac:dyDescent="0.35">
      <c r="A41" s="301" t="s">
        <v>328</v>
      </c>
      <c r="B41" s="83"/>
      <c r="C41" s="379">
        <f>C40*0.7457</f>
        <v>223.71</v>
      </c>
      <c r="D41" s="85" t="s">
        <v>329</v>
      </c>
      <c r="E41" s="86"/>
      <c r="F41" s="87"/>
      <c r="G41" s="88"/>
      <c r="H41" s="88"/>
      <c r="I41" s="88"/>
      <c r="J41" s="88"/>
      <c r="K41" s="88"/>
      <c r="L41" s="88"/>
      <c r="M41" s="88"/>
      <c r="N41" s="88"/>
      <c r="O41" s="88"/>
      <c r="P41" s="88"/>
      <c r="Q41" s="88"/>
    </row>
    <row r="42" spans="1:17" x14ac:dyDescent="0.35">
      <c r="A42" s="85" t="s">
        <v>330</v>
      </c>
      <c r="B42" s="83"/>
      <c r="C42" s="84"/>
      <c r="D42" s="85"/>
      <c r="E42" s="86"/>
      <c r="F42" s="87"/>
      <c r="G42" s="88"/>
      <c r="H42" s="88"/>
      <c r="I42" s="88"/>
      <c r="J42" s="88"/>
      <c r="K42" s="88"/>
      <c r="L42" s="88"/>
      <c r="M42" s="88"/>
      <c r="N42" s="88"/>
      <c r="O42" s="88"/>
      <c r="P42" s="88"/>
      <c r="Q42" s="88"/>
    </row>
    <row r="43" spans="1:17" x14ac:dyDescent="0.35">
      <c r="A43" s="94" t="s">
        <v>331</v>
      </c>
    </row>
  </sheetData>
  <mergeCells count="1">
    <mergeCell ref="A10:F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324B-0DC8-4EB1-B714-373BA7EEE084}">
  <sheetPr>
    <tabColor rgb="FF00B050"/>
  </sheetPr>
  <dimension ref="A2:AL135"/>
  <sheetViews>
    <sheetView zoomScaleNormal="100" workbookViewId="0">
      <pane xSplit="1" ySplit="10" topLeftCell="B122" activePane="bottomRight" state="frozen"/>
      <selection pane="topRight" activeCell="B52" sqref="B52"/>
      <selection pane="bottomLeft" activeCell="B52" sqref="B52"/>
      <selection pane="bottomRight" activeCell="A124" sqref="A124"/>
    </sheetView>
  </sheetViews>
  <sheetFormatPr defaultRowHeight="14.5" x14ac:dyDescent="0.35"/>
  <cols>
    <col min="1" max="1" width="27.81640625" customWidth="1"/>
    <col min="2" max="2" width="10.7265625" customWidth="1"/>
    <col min="3" max="3" width="10.54296875" customWidth="1"/>
    <col min="4" max="4" width="10.81640625" customWidth="1"/>
    <col min="5" max="5" width="10.81640625" hidden="1" customWidth="1"/>
    <col min="6" max="6" width="11.453125" hidden="1" customWidth="1"/>
    <col min="7" max="7" width="10.26953125" hidden="1" customWidth="1"/>
    <col min="8" max="8" width="14" hidden="1" customWidth="1"/>
    <col min="9" max="10" width="11.26953125" hidden="1" customWidth="1"/>
    <col min="11" max="11" width="12.7265625" hidden="1" customWidth="1"/>
    <col min="12" max="12" width="12.453125" hidden="1" customWidth="1"/>
    <col min="17" max="17" width="12.1796875" customWidth="1"/>
    <col min="21" max="21" width="12" customWidth="1"/>
    <col min="22" max="22" width="8.81640625" bestFit="1" customWidth="1"/>
    <col min="23" max="23" width="10" customWidth="1"/>
    <col min="24" max="24" width="15.453125" customWidth="1"/>
    <col min="25" max="25" width="13.54296875" customWidth="1"/>
    <col min="26" max="26" width="13.26953125" customWidth="1"/>
    <col min="27" max="27" width="14.26953125" customWidth="1"/>
    <col min="28" max="28" width="13.7265625" customWidth="1"/>
    <col min="29" max="29" width="13.1796875" customWidth="1"/>
    <col min="30" max="35" width="12" customWidth="1"/>
    <col min="36" max="36" width="11.81640625" customWidth="1"/>
    <col min="37" max="37" width="11.26953125" customWidth="1"/>
    <col min="38" max="38" width="10.7265625" customWidth="1"/>
  </cols>
  <sheetData>
    <row r="2" spans="1:38" x14ac:dyDescent="0.35">
      <c r="J2" s="335"/>
      <c r="K2" s="335"/>
      <c r="L2" s="335"/>
      <c r="T2" s="335"/>
      <c r="U2" s="335"/>
    </row>
    <row r="3" spans="1:38" ht="18" x14ac:dyDescent="0.4">
      <c r="A3" s="3"/>
      <c r="B3" s="3"/>
      <c r="C3" s="3"/>
      <c r="D3" s="286"/>
      <c r="E3" s="286"/>
      <c r="G3" s="21"/>
      <c r="H3" s="22"/>
    </row>
    <row r="4" spans="1:38" x14ac:dyDescent="0.35">
      <c r="A4" s="455" t="s">
        <v>1</v>
      </c>
      <c r="B4" s="463">
        <f>'2019 CCP Summary'!B4</f>
        <v>43536</v>
      </c>
      <c r="C4" s="4"/>
      <c r="D4" s="4"/>
      <c r="E4" s="4"/>
      <c r="F4" s="4"/>
      <c r="G4" s="5"/>
      <c r="H4" s="24"/>
      <c r="L4" s="290"/>
    </row>
    <row r="5" spans="1:38" x14ac:dyDescent="0.35">
      <c r="A5" s="456" t="s">
        <v>2</v>
      </c>
      <c r="B5" s="6" t="s">
        <v>3</v>
      </c>
      <c r="C5" s="7"/>
      <c r="G5" s="5"/>
      <c r="H5" s="24"/>
    </row>
    <row r="6" spans="1:38" x14ac:dyDescent="0.35">
      <c r="A6" s="456" t="s">
        <v>4</v>
      </c>
      <c r="B6" s="7" t="s">
        <v>332</v>
      </c>
      <c r="C6" s="8"/>
      <c r="G6" s="456"/>
      <c r="H6" s="24"/>
    </row>
    <row r="7" spans="1:38" x14ac:dyDescent="0.35">
      <c r="A7" s="457" t="s">
        <v>6</v>
      </c>
      <c r="B7" s="7" t="s">
        <v>7</v>
      </c>
      <c r="C7" s="8"/>
      <c r="D7" s="457"/>
      <c r="E7" s="457"/>
      <c r="F7" s="457"/>
      <c r="G7" s="457"/>
      <c r="H7" s="452"/>
    </row>
    <row r="9" spans="1:38" s="94" customFormat="1" ht="22.5" customHeight="1" x14ac:dyDescent="0.4">
      <c r="A9" s="578" t="s">
        <v>52</v>
      </c>
      <c r="B9" s="579" t="s">
        <v>333</v>
      </c>
      <c r="C9" s="579"/>
      <c r="D9" s="579"/>
      <c r="E9" s="579"/>
      <c r="F9" s="579"/>
      <c r="G9" s="579"/>
      <c r="H9" s="579"/>
      <c r="I9" s="579"/>
      <c r="J9" s="579"/>
      <c r="K9" s="579"/>
      <c r="L9" s="579"/>
      <c r="M9" s="579" t="s">
        <v>334</v>
      </c>
      <c r="N9" s="579"/>
      <c r="O9" s="579"/>
      <c r="P9" s="579"/>
      <c r="Q9" s="579"/>
      <c r="R9" s="579"/>
      <c r="S9" s="579"/>
      <c r="T9" s="579" t="s">
        <v>335</v>
      </c>
      <c r="U9" s="579"/>
      <c r="V9" s="579"/>
      <c r="W9" s="579"/>
      <c r="X9" s="577"/>
      <c r="Y9" s="577"/>
      <c r="Z9" s="577"/>
      <c r="AA9" s="577"/>
      <c r="AB9" s="577"/>
      <c r="AC9" s="577"/>
      <c r="AD9" s="577"/>
      <c r="AE9" s="577"/>
      <c r="AF9" s="577"/>
      <c r="AG9" s="577"/>
      <c r="AH9" s="577"/>
      <c r="AI9" s="580"/>
      <c r="AJ9" s="577" t="s">
        <v>336</v>
      </c>
      <c r="AK9" s="577"/>
      <c r="AL9" s="577"/>
    </row>
    <row r="10" spans="1:38" s="94" customFormat="1" ht="91" x14ac:dyDescent="0.3">
      <c r="A10" s="578"/>
      <c r="B10" s="460" t="s">
        <v>337</v>
      </c>
      <c r="C10" s="460" t="s">
        <v>338</v>
      </c>
      <c r="D10" s="460" t="s">
        <v>339</v>
      </c>
      <c r="E10" s="460" t="s">
        <v>340</v>
      </c>
      <c r="F10" s="460" t="s">
        <v>341</v>
      </c>
      <c r="G10" s="460" t="s">
        <v>342</v>
      </c>
      <c r="H10" s="460" t="s">
        <v>343</v>
      </c>
      <c r="I10" s="460" t="s">
        <v>344</v>
      </c>
      <c r="J10" s="460" t="s">
        <v>345</v>
      </c>
      <c r="K10" s="460" t="s">
        <v>346</v>
      </c>
      <c r="L10" s="460" t="s">
        <v>347</v>
      </c>
      <c r="M10" s="460" t="s">
        <v>348</v>
      </c>
      <c r="N10" s="460" t="s">
        <v>349</v>
      </c>
      <c r="O10" s="460" t="s">
        <v>350</v>
      </c>
      <c r="P10" s="460" t="s">
        <v>351</v>
      </c>
      <c r="Q10" s="460" t="s">
        <v>352</v>
      </c>
      <c r="R10" s="460" t="s">
        <v>353</v>
      </c>
      <c r="S10" s="460" t="s">
        <v>354</v>
      </c>
      <c r="T10" s="460" t="s">
        <v>355</v>
      </c>
      <c r="U10" s="460" t="s">
        <v>356</v>
      </c>
      <c r="V10" s="460" t="s">
        <v>357</v>
      </c>
      <c r="W10" s="460" t="s">
        <v>358</v>
      </c>
      <c r="X10" s="460" t="s">
        <v>359</v>
      </c>
      <c r="Y10" s="460" t="s">
        <v>360</v>
      </c>
      <c r="Z10" s="460" t="s">
        <v>361</v>
      </c>
      <c r="AA10" s="460" t="s">
        <v>362</v>
      </c>
      <c r="AB10" s="460" t="s">
        <v>363</v>
      </c>
      <c r="AC10" s="460" t="s">
        <v>364</v>
      </c>
      <c r="AD10" s="460" t="s">
        <v>365</v>
      </c>
      <c r="AE10" s="460" t="s">
        <v>366</v>
      </c>
      <c r="AF10" s="460" t="s">
        <v>367</v>
      </c>
      <c r="AG10" s="460" t="s">
        <v>368</v>
      </c>
      <c r="AH10" s="460" t="s">
        <v>369</v>
      </c>
      <c r="AI10" s="349" t="s">
        <v>370</v>
      </c>
      <c r="AJ10" s="460" t="s">
        <v>371</v>
      </c>
      <c r="AK10" s="460" t="s">
        <v>372</v>
      </c>
      <c r="AL10" s="320" t="s">
        <v>373</v>
      </c>
    </row>
    <row r="11" spans="1:38" s="94" customFormat="1" ht="12.5" x14ac:dyDescent="0.25">
      <c r="A11" s="113">
        <v>1</v>
      </c>
      <c r="B11" s="309">
        <v>0</v>
      </c>
      <c r="C11" s="309">
        <v>0</v>
      </c>
      <c r="D11" s="309">
        <v>0</v>
      </c>
      <c r="E11" s="309">
        <v>0</v>
      </c>
      <c r="F11" s="309">
        <v>0</v>
      </c>
      <c r="G11" s="309">
        <v>0</v>
      </c>
      <c r="H11" s="309">
        <v>0</v>
      </c>
      <c r="I11" s="309">
        <v>0</v>
      </c>
      <c r="J11" s="309">
        <v>0</v>
      </c>
      <c r="K11" s="309">
        <v>0</v>
      </c>
      <c r="L11" s="309">
        <v>0</v>
      </c>
      <c r="M11" s="309">
        <v>0</v>
      </c>
      <c r="N11" s="309">
        <v>0</v>
      </c>
      <c r="O11" s="309">
        <v>0</v>
      </c>
      <c r="P11" s="309">
        <v>0</v>
      </c>
      <c r="Q11" s="309">
        <v>0</v>
      </c>
      <c r="R11" s="309">
        <v>0</v>
      </c>
      <c r="S11" s="309">
        <v>0</v>
      </c>
      <c r="T11" s="309">
        <v>0</v>
      </c>
      <c r="U11" s="309">
        <v>0</v>
      </c>
      <c r="V11" s="114">
        <v>0</v>
      </c>
      <c r="W11" s="113">
        <v>0</v>
      </c>
      <c r="X11" s="114">
        <v>0</v>
      </c>
      <c r="Y11" s="114">
        <v>0</v>
      </c>
      <c r="Z11" s="309">
        <v>0</v>
      </c>
      <c r="AA11" s="309">
        <v>0</v>
      </c>
      <c r="AB11" s="309">
        <v>0</v>
      </c>
      <c r="AC11" s="309">
        <v>0</v>
      </c>
      <c r="AD11" s="114">
        <v>0</v>
      </c>
      <c r="AE11" s="309">
        <v>0</v>
      </c>
      <c r="AF11" s="309">
        <v>0</v>
      </c>
      <c r="AG11" s="309">
        <v>0</v>
      </c>
      <c r="AH11" s="114">
        <v>0</v>
      </c>
      <c r="AI11" s="319">
        <v>0</v>
      </c>
      <c r="AJ11" s="321">
        <f>'STS Design Calcs'!$C$381*H11</f>
        <v>0</v>
      </c>
      <c r="AK11" s="321">
        <f>'STS Design Calcs'!$C$390*D11</f>
        <v>0</v>
      </c>
      <c r="AL11" s="322">
        <f t="shared" ref="AL11:AL42" si="0">SUM(AJ11,AK11)</f>
        <v>0</v>
      </c>
    </row>
    <row r="12" spans="1:38" s="94" customFormat="1" ht="12.5" x14ac:dyDescent="0.25">
      <c r="A12" s="113">
        <v>2</v>
      </c>
      <c r="B12" s="309">
        <v>0</v>
      </c>
      <c r="C12" s="309">
        <v>0</v>
      </c>
      <c r="D12" s="309">
        <v>0</v>
      </c>
      <c r="E12" s="309">
        <v>0</v>
      </c>
      <c r="F12" s="309">
        <v>0</v>
      </c>
      <c r="G12" s="309">
        <v>0</v>
      </c>
      <c r="H12" s="309">
        <v>0</v>
      </c>
      <c r="I12" s="309">
        <v>0</v>
      </c>
      <c r="J12" s="309">
        <v>0</v>
      </c>
      <c r="K12" s="309">
        <v>0</v>
      </c>
      <c r="L12" s="309">
        <v>0</v>
      </c>
      <c r="M12" s="309">
        <v>0</v>
      </c>
      <c r="N12" s="309">
        <v>0</v>
      </c>
      <c r="O12" s="309">
        <v>0</v>
      </c>
      <c r="P12" s="114">
        <v>0</v>
      </c>
      <c r="Q12" s="309">
        <v>0</v>
      </c>
      <c r="R12" s="309">
        <v>0</v>
      </c>
      <c r="S12" s="309">
        <v>0</v>
      </c>
      <c r="T12" s="309">
        <v>0</v>
      </c>
      <c r="U12" s="114">
        <v>0</v>
      </c>
      <c r="V12" s="114">
        <v>0</v>
      </c>
      <c r="W12" s="113">
        <v>0</v>
      </c>
      <c r="X12" s="114">
        <v>0</v>
      </c>
      <c r="Y12" s="114">
        <v>0</v>
      </c>
      <c r="Z12" s="309">
        <v>0</v>
      </c>
      <c r="AA12" s="309">
        <v>0</v>
      </c>
      <c r="AB12" s="309">
        <v>0</v>
      </c>
      <c r="AC12" s="309">
        <v>0</v>
      </c>
      <c r="AD12" s="114">
        <v>0</v>
      </c>
      <c r="AE12" s="309">
        <v>0</v>
      </c>
      <c r="AF12" s="309">
        <v>0</v>
      </c>
      <c r="AG12" s="309">
        <v>0</v>
      </c>
      <c r="AH12" s="114">
        <v>0</v>
      </c>
      <c r="AI12" s="319">
        <v>0</v>
      </c>
      <c r="AJ12" s="321">
        <f>'STS Design Calcs'!$C$381*H12</f>
        <v>0</v>
      </c>
      <c r="AK12" s="321">
        <f>'STS Design Calcs'!$C$390*D12</f>
        <v>0</v>
      </c>
      <c r="AL12" s="322">
        <f t="shared" si="0"/>
        <v>0</v>
      </c>
    </row>
    <row r="13" spans="1:38" s="94" customFormat="1" ht="12.5" x14ac:dyDescent="0.25">
      <c r="A13" s="113">
        <v>3</v>
      </c>
      <c r="B13" s="309">
        <v>0</v>
      </c>
      <c r="C13" s="309">
        <v>0</v>
      </c>
      <c r="D13" s="309">
        <v>0</v>
      </c>
      <c r="E13" s="309">
        <v>0</v>
      </c>
      <c r="F13" s="309">
        <v>0</v>
      </c>
      <c r="G13" s="309">
        <v>0</v>
      </c>
      <c r="H13" s="309">
        <v>0</v>
      </c>
      <c r="I13" s="309">
        <v>0</v>
      </c>
      <c r="J13" s="309">
        <v>0</v>
      </c>
      <c r="K13" s="309">
        <v>0</v>
      </c>
      <c r="L13" s="309">
        <v>0</v>
      </c>
      <c r="M13" s="309">
        <v>0</v>
      </c>
      <c r="N13" s="309">
        <v>0</v>
      </c>
      <c r="O13" s="309">
        <v>0</v>
      </c>
      <c r="P13" s="114">
        <v>0</v>
      </c>
      <c r="Q13" s="309">
        <v>0</v>
      </c>
      <c r="R13" s="309">
        <v>0</v>
      </c>
      <c r="S13" s="309">
        <v>0</v>
      </c>
      <c r="T13" s="309">
        <v>0</v>
      </c>
      <c r="U13" s="114">
        <v>0</v>
      </c>
      <c r="V13" s="114">
        <v>0</v>
      </c>
      <c r="W13" s="113">
        <v>0</v>
      </c>
      <c r="X13" s="114">
        <v>0</v>
      </c>
      <c r="Y13" s="114">
        <v>0</v>
      </c>
      <c r="Z13" s="309">
        <v>0</v>
      </c>
      <c r="AA13" s="309">
        <v>0</v>
      </c>
      <c r="AB13" s="309">
        <v>0</v>
      </c>
      <c r="AC13" s="309">
        <v>0</v>
      </c>
      <c r="AD13" s="114">
        <v>0</v>
      </c>
      <c r="AE13" s="309">
        <v>0</v>
      </c>
      <c r="AF13" s="309">
        <v>0</v>
      </c>
      <c r="AG13" s="309">
        <v>0</v>
      </c>
      <c r="AH13" s="114">
        <v>0</v>
      </c>
      <c r="AI13" s="319">
        <v>0</v>
      </c>
      <c r="AJ13" s="321">
        <f>'STS Design Calcs'!$C$381*H13</f>
        <v>0</v>
      </c>
      <c r="AK13" s="321">
        <f>'STS Design Calcs'!$C$390*D13</f>
        <v>0</v>
      </c>
      <c r="AL13" s="322">
        <f t="shared" si="0"/>
        <v>0</v>
      </c>
    </row>
    <row r="14" spans="1:38" s="94" customFormat="1" ht="12.5" x14ac:dyDescent="0.25">
      <c r="A14" s="113">
        <v>4</v>
      </c>
      <c r="B14" s="309">
        <v>0</v>
      </c>
      <c r="C14" s="309">
        <v>0</v>
      </c>
      <c r="D14" s="309">
        <v>0</v>
      </c>
      <c r="E14" s="309">
        <v>0</v>
      </c>
      <c r="F14" s="309">
        <v>0</v>
      </c>
      <c r="G14" s="309">
        <v>0</v>
      </c>
      <c r="H14" s="309">
        <v>0</v>
      </c>
      <c r="I14" s="309">
        <v>0</v>
      </c>
      <c r="J14" s="309">
        <v>0</v>
      </c>
      <c r="K14" s="309">
        <v>0</v>
      </c>
      <c r="L14" s="309">
        <v>0</v>
      </c>
      <c r="M14" s="309">
        <v>0</v>
      </c>
      <c r="N14" s="309">
        <v>0</v>
      </c>
      <c r="O14" s="309">
        <v>0</v>
      </c>
      <c r="P14" s="114">
        <v>0</v>
      </c>
      <c r="Q14" s="309">
        <v>0</v>
      </c>
      <c r="R14" s="309">
        <v>0</v>
      </c>
      <c r="S14" s="309">
        <v>0</v>
      </c>
      <c r="T14" s="309">
        <v>0</v>
      </c>
      <c r="U14" s="114">
        <v>0</v>
      </c>
      <c r="V14" s="114">
        <v>0</v>
      </c>
      <c r="W14" s="113">
        <v>0</v>
      </c>
      <c r="X14" s="114">
        <v>0</v>
      </c>
      <c r="Y14" s="114">
        <v>0</v>
      </c>
      <c r="Z14" s="309">
        <v>0</v>
      </c>
      <c r="AA14" s="309">
        <v>0</v>
      </c>
      <c r="AB14" s="309">
        <v>0</v>
      </c>
      <c r="AC14" s="309">
        <v>0</v>
      </c>
      <c r="AD14" s="114">
        <v>0</v>
      </c>
      <c r="AE14" s="309">
        <v>0</v>
      </c>
      <c r="AF14" s="309">
        <v>0</v>
      </c>
      <c r="AG14" s="309">
        <v>0</v>
      </c>
      <c r="AH14" s="114">
        <v>0</v>
      </c>
      <c r="AI14" s="319">
        <v>0</v>
      </c>
      <c r="AJ14" s="321">
        <f>'STS Design Calcs'!$C$381*H14</f>
        <v>0</v>
      </c>
      <c r="AK14" s="321">
        <f>'STS Design Calcs'!$C$390*D14</f>
        <v>0</v>
      </c>
      <c r="AL14" s="322">
        <f t="shared" si="0"/>
        <v>0</v>
      </c>
    </row>
    <row r="15" spans="1:38" s="94" customFormat="1" ht="12.5" x14ac:dyDescent="0.25">
      <c r="A15" s="113">
        <v>5</v>
      </c>
      <c r="B15" s="309">
        <v>0</v>
      </c>
      <c r="C15" s="309">
        <v>0</v>
      </c>
      <c r="D15" s="309">
        <v>0</v>
      </c>
      <c r="E15" s="309">
        <v>0</v>
      </c>
      <c r="F15" s="309">
        <v>0</v>
      </c>
      <c r="G15" s="309">
        <v>0</v>
      </c>
      <c r="H15" s="309">
        <v>0</v>
      </c>
      <c r="I15" s="309">
        <v>0</v>
      </c>
      <c r="J15" s="309">
        <v>0</v>
      </c>
      <c r="K15" s="309">
        <v>0</v>
      </c>
      <c r="L15" s="309">
        <v>0</v>
      </c>
      <c r="M15" s="309">
        <v>0</v>
      </c>
      <c r="N15" s="309">
        <v>0</v>
      </c>
      <c r="O15" s="309">
        <v>0</v>
      </c>
      <c r="P15" s="114">
        <v>0</v>
      </c>
      <c r="Q15" s="309">
        <v>0</v>
      </c>
      <c r="R15" s="309">
        <v>0</v>
      </c>
      <c r="S15" s="309">
        <v>0</v>
      </c>
      <c r="T15" s="309">
        <v>0</v>
      </c>
      <c r="U15" s="114">
        <v>0</v>
      </c>
      <c r="V15" s="114">
        <v>0</v>
      </c>
      <c r="W15" s="113">
        <v>0</v>
      </c>
      <c r="X15" s="114">
        <v>0</v>
      </c>
      <c r="Y15" s="114">
        <v>0</v>
      </c>
      <c r="Z15" s="309">
        <v>0</v>
      </c>
      <c r="AA15" s="309">
        <v>0</v>
      </c>
      <c r="AB15" s="309">
        <v>0</v>
      </c>
      <c r="AC15" s="309">
        <v>0</v>
      </c>
      <c r="AD15" s="114">
        <v>0</v>
      </c>
      <c r="AE15" s="309">
        <v>0</v>
      </c>
      <c r="AF15" s="309">
        <v>0</v>
      </c>
      <c r="AG15" s="309">
        <v>0</v>
      </c>
      <c r="AH15" s="114">
        <v>0</v>
      </c>
      <c r="AI15" s="319">
        <v>0</v>
      </c>
      <c r="AJ15" s="321">
        <f>'STS Design Calcs'!$C$381*H15</f>
        <v>0</v>
      </c>
      <c r="AK15" s="321">
        <f>'STS Design Calcs'!$C$390*D15</f>
        <v>0</v>
      </c>
      <c r="AL15" s="322">
        <f t="shared" si="0"/>
        <v>0</v>
      </c>
    </row>
    <row r="16" spans="1:38" s="94" customFormat="1" ht="12.5" x14ac:dyDescent="0.25">
      <c r="A16" s="113">
        <v>6</v>
      </c>
      <c r="B16" s="343">
        <v>618.10494344562346</v>
      </c>
      <c r="C16" s="343">
        <v>783.55501249999998</v>
      </c>
      <c r="D16" s="309">
        <f>K16+B16+E16</f>
        <v>1057.4182792207619</v>
      </c>
      <c r="E16" s="309">
        <f>3*U16/'STS Design Calcs'!$I$97/'STS Design Calcs'!$L$97/'STS Design Calcs'!$O$97/'STS Design Calcs'!$R$97</f>
        <v>123.50834769768119</v>
      </c>
      <c r="F16" s="309">
        <f>D16*(1-$A$120)</f>
        <v>592.15423636362675</v>
      </c>
      <c r="G16" s="309">
        <f>D16*$A$120</f>
        <v>465.26404285713522</v>
      </c>
      <c r="H16" s="309">
        <f>C16+D16-G16</f>
        <v>1375.7092488636267</v>
      </c>
      <c r="I16" s="309">
        <f>H16*$A$121</f>
        <v>1059.2961216249926</v>
      </c>
      <c r="J16" s="309">
        <f t="shared" ref="J16:J47" si="1">H16-I16</f>
        <v>316.41312723863416</v>
      </c>
      <c r="K16" s="309">
        <v>315.80498807745721</v>
      </c>
      <c r="L16" s="309">
        <f t="shared" ref="L16" si="2">+B16+C16</f>
        <v>1401.6599559456236</v>
      </c>
      <c r="M16" s="114">
        <v>6590</v>
      </c>
      <c r="N16" s="114">
        <v>1100</v>
      </c>
      <c r="O16" s="114">
        <f t="shared" ref="O16:O47" si="3">(K16*R16+M16*B16)/(K16+B16)</f>
        <v>6295.2444613332436</v>
      </c>
      <c r="P16" s="114">
        <v>1600</v>
      </c>
      <c r="Q16" s="114">
        <f t="shared" ref="Q16:Q47" si="4">(P16*F16+N16*C16)/(C16+F16)</f>
        <v>1315.217800146638</v>
      </c>
      <c r="R16" s="114">
        <f t="shared" ref="R16:R47" si="5">Q16*$A$122</f>
        <v>5718.3382615071223</v>
      </c>
      <c r="S16" s="309">
        <f t="shared" ref="S16:S47" si="6">((H16-I16)*1600+I16*10)/((H16-I16)+I16)</f>
        <v>375.7</v>
      </c>
      <c r="T16" s="114">
        <f>O16*'STS Design Calcs'!$C$147*(J16+B16)*3.785*1440/454000</f>
        <v>147726.49994785944</v>
      </c>
      <c r="U16" s="114">
        <v>147092.51370724879</v>
      </c>
      <c r="V16" s="114">
        <f>T16/0.5</f>
        <v>295452.99989571888</v>
      </c>
      <c r="W16" s="114">
        <f>V16/100/27*365</f>
        <v>39940.868504421254</v>
      </c>
      <c r="X16" s="114">
        <f>O16*'STS Design Calcs'!$C$224*('STS Calculation Summary'!D16-J16)*3.785*1440/454000</f>
        <v>29395.662507127967</v>
      </c>
      <c r="Y16" s="114">
        <f>X16*365/2000</f>
        <v>5364.7084075508537</v>
      </c>
      <c r="Z16" s="114">
        <f>'STS Design Calcs'!$C$269*('STS Calculation Summary'!D16-'STS Calculation Summary'!J16)/365</f>
        <v>89.038238103249299</v>
      </c>
      <c r="AA16" s="323">
        <f t="shared" ref="AA16" si="7">Z16*365/2000</f>
        <v>16.249478453842997</v>
      </c>
      <c r="AB16" s="310">
        <f>L16*1440*'STS Design Calcs'!$C$284</f>
        <v>111.89956025898054</v>
      </c>
      <c r="AC16" s="310">
        <f t="shared" ref="AC16" si="8">AB16*365/2000</f>
        <v>20.421669747263948</v>
      </c>
      <c r="AD16" s="114">
        <f>H16*'STS Design Calcs'!$C$343</f>
        <v>18100.730667012587</v>
      </c>
      <c r="AE16" s="114">
        <f>H16*'STS Design Calcs'!$C$352</f>
        <v>6033.5768890041963</v>
      </c>
      <c r="AF16" s="309">
        <f>H16*'STS Design Calcs'!$C$309</f>
        <v>5836.9378130356736</v>
      </c>
      <c r="AG16" s="309">
        <f>H16*'STS Design Calcs'!$C$317</f>
        <v>5836.9378130356736</v>
      </c>
      <c r="AH16" s="114">
        <f>H16*'STS Design Calcs'!$C$326</f>
        <v>972.82296883927893</v>
      </c>
      <c r="AI16" s="319">
        <f>H16*'STS Design Calcs'!$C$334</f>
        <v>972.82296883927893</v>
      </c>
      <c r="AJ16" s="321">
        <f>'STS Design Calcs'!$C$381*H16</f>
        <v>1684985.5404464686</v>
      </c>
      <c r="AK16" s="321">
        <f>'STS Design Calcs'!$C$390*D16</f>
        <v>323737.61948226782</v>
      </c>
      <c r="AL16" s="322">
        <f t="shared" si="0"/>
        <v>2008723.1599287365</v>
      </c>
    </row>
    <row r="17" spans="1:38" s="94" customFormat="1" ht="12.5" x14ac:dyDescent="0.25">
      <c r="A17" s="113">
        <v>7</v>
      </c>
      <c r="B17" s="343">
        <v>546.00494344562344</v>
      </c>
      <c r="C17" s="343">
        <v>744.37726187499993</v>
      </c>
      <c r="D17" s="309">
        <f t="shared" ref="D17:D47" si="9">K17+B17+E17</f>
        <v>952.44413861975977</v>
      </c>
      <c r="E17" s="309">
        <f>3*U17/'STS Design Calcs'!$I$97/'STS Design Calcs'!$L$97/'STS Design Calcs'!$O$97/'STS Design Calcs'!$R$97</f>
        <v>112.96074545581939</v>
      </c>
      <c r="F17" s="309">
        <f t="shared" ref="F17:F80" si="10">D17*(1-$A$120)</f>
        <v>533.36871762706551</v>
      </c>
      <c r="G17" s="309">
        <f t="shared" ref="G17:G80" si="11">D17*$A$120</f>
        <v>419.07542099269432</v>
      </c>
      <c r="H17" s="309">
        <f t="shared" ref="H17:H80" si="12">C17+D17-G17</f>
        <v>1277.7459795020654</v>
      </c>
      <c r="I17" s="309">
        <f t="shared" ref="I17:I80" si="13">H17*$A$121</f>
        <v>983.8644042165904</v>
      </c>
      <c r="J17" s="309">
        <f t="shared" si="1"/>
        <v>293.88157528547504</v>
      </c>
      <c r="K17" s="309">
        <v>293.47844971831694</v>
      </c>
      <c r="L17" s="309">
        <f t="shared" ref="L17:L80" si="14">+B17+C17</f>
        <v>1290.3822053206234</v>
      </c>
      <c r="M17" s="114">
        <v>6796.5</v>
      </c>
      <c r="N17" s="114">
        <v>1100</v>
      </c>
      <c r="O17" s="114">
        <f t="shared" si="3"/>
        <v>6409.6964490097389</v>
      </c>
      <c r="P17" s="114">
        <v>1600</v>
      </c>
      <c r="Q17" s="114">
        <f t="shared" si="4"/>
        <v>1308.7146921937169</v>
      </c>
      <c r="R17" s="114">
        <f t="shared" si="5"/>
        <v>5690.0638791031179</v>
      </c>
      <c r="S17" s="309">
        <f t="shared" si="6"/>
        <v>375.7</v>
      </c>
      <c r="T17" s="114">
        <f>O17*'STS Design Calcs'!$C$147*(J17+B17)*3.785*1440/454000</f>
        <v>135181.16284342555</v>
      </c>
      <c r="U17" s="114">
        <v>134530.82572209902</v>
      </c>
      <c r="V17" s="114">
        <f t="shared" ref="V17:V80" si="15">T17/0.5</f>
        <v>270362.32568685111</v>
      </c>
      <c r="W17" s="114">
        <f t="shared" ref="W17:W80" si="16">V17/100/27*365</f>
        <v>36548.981065074317</v>
      </c>
      <c r="X17" s="114">
        <f>O17*'STS Design Calcs'!$C$224*('STS Calculation Summary'!D17-J17)*3.785*1440/454000</f>
        <v>26600.140300229006</v>
      </c>
      <c r="Y17" s="114">
        <f t="shared" ref="Y17:Y80" si="17">X17*365/2000</f>
        <v>4854.5256047917937</v>
      </c>
      <c r="Z17" s="114">
        <f>'STS Design Calcs'!$C$269*('STS Calculation Summary'!D17-'STS Calculation Summary'!J17)/365</f>
        <v>79.132041340325941</v>
      </c>
      <c r="AA17" s="323">
        <f t="shared" ref="AA17:AA80" si="18">Z17*365/2000</f>
        <v>14.441597544609483</v>
      </c>
      <c r="AB17" s="310">
        <f>L17*1440*'STS Design Calcs'!$C$284</f>
        <v>103.01585682668453</v>
      </c>
      <c r="AC17" s="310">
        <f t="shared" ref="AC17:AC80" si="19">AB17*365/2000</f>
        <v>18.800393870869925</v>
      </c>
      <c r="AD17" s="114">
        <f>H17*'STS Design Calcs'!$C$343</f>
        <v>16811.790612681816</v>
      </c>
      <c r="AE17" s="114">
        <f>H17*'STS Design Calcs'!$C$352</f>
        <v>5603.930204227273</v>
      </c>
      <c r="AF17" s="309">
        <f>H17*'STS Design Calcs'!$C$309</f>
        <v>5421.2936558873353</v>
      </c>
      <c r="AG17" s="309">
        <f>H17*'STS Design Calcs'!$C$317</f>
        <v>5421.2936558873353</v>
      </c>
      <c r="AH17" s="114">
        <f>H17*'STS Design Calcs'!$C$326</f>
        <v>903.54894264788913</v>
      </c>
      <c r="AI17" s="319">
        <f>H17*'STS Design Calcs'!$C$334</f>
        <v>903.54894264788913</v>
      </c>
      <c r="AJ17" s="321">
        <f>'STS Design Calcs'!$C$381*H17</f>
        <v>1564998.9280823786</v>
      </c>
      <c r="AK17" s="321">
        <f>'STS Design Calcs'!$C$390*D17</f>
        <v>291598.89155105693</v>
      </c>
      <c r="AL17" s="322">
        <f t="shared" si="0"/>
        <v>1856597.8196334355</v>
      </c>
    </row>
    <row r="18" spans="1:38" s="94" customFormat="1" ht="12.5" x14ac:dyDescent="0.25">
      <c r="A18" s="113">
        <v>8</v>
      </c>
      <c r="B18" s="343">
        <v>539.50494344562344</v>
      </c>
      <c r="C18" s="343">
        <v>707.15839878124984</v>
      </c>
      <c r="D18" s="309">
        <f t="shared" si="9"/>
        <v>935.61595869919756</v>
      </c>
      <c r="E18" s="309">
        <f>3*U18/'STS Design Calcs'!$I$97/'STS Design Calcs'!$L$97/'STS Design Calcs'!$O$97/'STS Design Calcs'!$R$97</f>
        <v>113.17804235283171</v>
      </c>
      <c r="F18" s="309">
        <f t="shared" si="10"/>
        <v>523.94493687155068</v>
      </c>
      <c r="G18" s="309">
        <f t="shared" si="11"/>
        <v>411.67102182764694</v>
      </c>
      <c r="H18" s="309">
        <f t="shared" si="12"/>
        <v>1231.1033356528005</v>
      </c>
      <c r="I18" s="309">
        <f t="shared" si="13"/>
        <v>947.94956845265642</v>
      </c>
      <c r="J18" s="309">
        <f t="shared" si="1"/>
        <v>283.1537672001441</v>
      </c>
      <c r="K18" s="309">
        <v>282.93297290074247</v>
      </c>
      <c r="L18" s="309">
        <f t="shared" si="14"/>
        <v>1246.6633422268733</v>
      </c>
      <c r="M18" s="114">
        <v>7003</v>
      </c>
      <c r="N18" s="114">
        <v>1100</v>
      </c>
      <c r="O18" s="114">
        <f t="shared" si="3"/>
        <v>6557.4299273910556</v>
      </c>
      <c r="P18" s="114">
        <v>1600</v>
      </c>
      <c r="Q18" s="114">
        <f t="shared" si="4"/>
        <v>1312.794865263575</v>
      </c>
      <c r="R18" s="114">
        <f t="shared" si="5"/>
        <v>5707.8037620155446</v>
      </c>
      <c r="S18" s="309">
        <f t="shared" si="6"/>
        <v>375.7</v>
      </c>
      <c r="T18" s="114">
        <f>O18*'STS Design Calcs'!$C$147*(J18+B18)*3.785*1440/454000</f>
        <v>135460.1224876871</v>
      </c>
      <c r="U18" s="114">
        <v>134789.61589618961</v>
      </c>
      <c r="V18" s="114">
        <f t="shared" si="15"/>
        <v>270920.2449753742</v>
      </c>
      <c r="W18" s="114">
        <f t="shared" si="16"/>
        <v>36624.403487411691</v>
      </c>
      <c r="X18" s="114">
        <f>O18*'STS Design Calcs'!$C$224*('STS Calculation Summary'!D18-J18)*3.785*1440/454000</f>
        <v>26961.151350470649</v>
      </c>
      <c r="Y18" s="114">
        <f t="shared" si="17"/>
        <v>4920.4101214608936</v>
      </c>
      <c r="Z18" s="114">
        <f>'STS Design Calcs'!$C$269*('STS Calculation Summary'!D18-'STS Calculation Summary'!J18)/365</f>
        <v>78.399028407108474</v>
      </c>
      <c r="AA18" s="323">
        <f t="shared" si="18"/>
        <v>14.307822684297296</v>
      </c>
      <c r="AB18" s="310">
        <f>L18*1440*'STS Design Calcs'!$C$284</f>
        <v>99.525622598003309</v>
      </c>
      <c r="AC18" s="310">
        <f t="shared" si="19"/>
        <v>18.163426124135604</v>
      </c>
      <c r="AD18" s="114">
        <f>H18*'STS Design Calcs'!$C$343</f>
        <v>16198.09557893081</v>
      </c>
      <c r="AE18" s="114">
        <f>H18*'STS Design Calcs'!$C$352</f>
        <v>5399.3651929769367</v>
      </c>
      <c r="AF18" s="309">
        <f>H18*'STS Design Calcs'!$C$309</f>
        <v>5223.3955812697395</v>
      </c>
      <c r="AG18" s="309">
        <f>H18*'STS Design Calcs'!$C$317</f>
        <v>5223.3955812697395</v>
      </c>
      <c r="AH18" s="114">
        <f>H18*'STS Design Calcs'!$C$326</f>
        <v>870.56593021162325</v>
      </c>
      <c r="AI18" s="319">
        <f>H18*'STS Design Calcs'!$C$334</f>
        <v>870.56593021162325</v>
      </c>
      <c r="AJ18" s="321">
        <f>'STS Design Calcs'!$C$381*H18</f>
        <v>1507870.4465234117</v>
      </c>
      <c r="AK18" s="321">
        <f>'STS Design Calcs'!$C$390*D18</f>
        <v>286446.80082711292</v>
      </c>
      <c r="AL18" s="322">
        <f t="shared" si="0"/>
        <v>1794317.2473505246</v>
      </c>
    </row>
    <row r="19" spans="1:38" s="94" customFormat="1" ht="12.5" x14ac:dyDescent="0.25">
      <c r="A19" s="113">
        <v>9</v>
      </c>
      <c r="B19" s="343">
        <v>532.70494344562348</v>
      </c>
      <c r="C19" s="343">
        <v>671.80047884218743</v>
      </c>
      <c r="D19" s="309">
        <f t="shared" si="9"/>
        <v>918.45110245678495</v>
      </c>
      <c r="E19" s="309">
        <f>3*U19/'STS Design Calcs'!$I$97/'STS Design Calcs'!$L$97/'STS Design Calcs'!$O$97/'STS Design Calcs'!$R$97</f>
        <v>113.33778812371206</v>
      </c>
      <c r="F19" s="309">
        <f t="shared" si="10"/>
        <v>514.3326173757996</v>
      </c>
      <c r="G19" s="309">
        <f t="shared" si="11"/>
        <v>404.11848508098541</v>
      </c>
      <c r="H19" s="309">
        <f t="shared" si="12"/>
        <v>1186.1330962179868</v>
      </c>
      <c r="I19" s="309">
        <f t="shared" si="13"/>
        <v>913.32248408784983</v>
      </c>
      <c r="J19" s="309">
        <f t="shared" si="1"/>
        <v>272.81061213013697</v>
      </c>
      <c r="K19" s="309">
        <v>272.40837088744945</v>
      </c>
      <c r="L19" s="309">
        <f t="shared" si="14"/>
        <v>1204.5054222878109</v>
      </c>
      <c r="M19" s="114">
        <v>7209.5</v>
      </c>
      <c r="N19" s="114">
        <v>1100</v>
      </c>
      <c r="O19" s="114">
        <f t="shared" si="3"/>
        <v>6707.3118416348852</v>
      </c>
      <c r="P19" s="114">
        <v>1600</v>
      </c>
      <c r="Q19" s="114">
        <f t="shared" si="4"/>
        <v>1316.8106677976364</v>
      </c>
      <c r="R19" s="114">
        <f t="shared" si="5"/>
        <v>5725.2637730332026</v>
      </c>
      <c r="S19" s="309">
        <f t="shared" si="6"/>
        <v>375.70000000000005</v>
      </c>
      <c r="T19" s="114">
        <f>O19*'STS Design Calcs'!$C$147*(J19+B19)*3.785*1440/454000</f>
        <v>135668.97223830852</v>
      </c>
      <c r="U19" s="114">
        <v>134979.86544151112</v>
      </c>
      <c r="V19" s="114">
        <f t="shared" si="15"/>
        <v>271337.94447661703</v>
      </c>
      <c r="W19" s="114">
        <f t="shared" si="16"/>
        <v>36680.870271838969</v>
      </c>
      <c r="X19" s="114">
        <f>O19*'STS Design Calcs'!$C$224*('STS Calculation Summary'!D19-J19)*3.785*1440/454000</f>
        <v>27289.06667996314</v>
      </c>
      <c r="Y19" s="114">
        <f t="shared" si="17"/>
        <v>4980.2546690932722</v>
      </c>
      <c r="Z19" s="114">
        <f>'STS Design Calcs'!$C$269*('STS Calculation Summary'!D19-'STS Calculation Summary'!J19)/365</f>
        <v>77.579341456709912</v>
      </c>
      <c r="AA19" s="323">
        <f t="shared" si="18"/>
        <v>14.158229815849559</v>
      </c>
      <c r="AB19" s="310">
        <f>L19*1440*'STS Design Calcs'!$C$284</f>
        <v>96.160004080756195</v>
      </c>
      <c r="AC19" s="310">
        <f t="shared" si="19"/>
        <v>17.549200744738005</v>
      </c>
      <c r="AD19" s="114">
        <f>H19*'STS Design Calcs'!$C$343</f>
        <v>15606.405007167181</v>
      </c>
      <c r="AE19" s="114">
        <f>H19*'STS Design Calcs'!$C$352</f>
        <v>5202.1350023890609</v>
      </c>
      <c r="AF19" s="309">
        <f>H19*'STS Design Calcs'!$C$309</f>
        <v>5032.5932796677444</v>
      </c>
      <c r="AG19" s="309">
        <f>H19*'STS Design Calcs'!$C$317</f>
        <v>5032.5932796677444</v>
      </c>
      <c r="AH19" s="114">
        <f>H19*'STS Design Calcs'!$C$326</f>
        <v>838.76554661129069</v>
      </c>
      <c r="AI19" s="319">
        <f>H19*'STS Design Calcs'!$C$334</f>
        <v>838.76554661129069</v>
      </c>
      <c r="AJ19" s="321">
        <f>'STS Design Calcs'!$C$381*H19</f>
        <v>1452790.3463782188</v>
      </c>
      <c r="AK19" s="321">
        <f>'STS Design Calcs'!$C$390*D19</f>
        <v>281191.63377744833</v>
      </c>
      <c r="AL19" s="322">
        <f t="shared" si="0"/>
        <v>1733981.9801556673</v>
      </c>
    </row>
    <row r="20" spans="1:38" s="94" customFormat="1" ht="12.5" x14ac:dyDescent="0.25">
      <c r="A20" s="113">
        <v>10</v>
      </c>
      <c r="B20" s="343">
        <v>525.60494344562346</v>
      </c>
      <c r="C20" s="343">
        <v>638.21045490007805</v>
      </c>
      <c r="D20" s="309">
        <f t="shared" si="9"/>
        <v>901.77542695265333</v>
      </c>
      <c r="E20" s="309">
        <f>3*U20/'STS Design Calcs'!$I$97/'STS Design Calcs'!$L$97/'STS Design Calcs'!$O$97/'STS Design Calcs'!$R$97</f>
        <v>113.43327004944373</v>
      </c>
      <c r="F20" s="309">
        <f t="shared" si="10"/>
        <v>504.99423909348593</v>
      </c>
      <c r="G20" s="309">
        <f t="shared" si="11"/>
        <v>396.78118785916746</v>
      </c>
      <c r="H20" s="309">
        <f t="shared" si="12"/>
        <v>1143.204693993564</v>
      </c>
      <c r="I20" s="309">
        <f t="shared" si="13"/>
        <v>880.26761437504433</v>
      </c>
      <c r="J20" s="309">
        <f t="shared" si="1"/>
        <v>262.93707961851965</v>
      </c>
      <c r="K20" s="309">
        <v>262.73721345758611</v>
      </c>
      <c r="L20" s="309">
        <f t="shared" si="14"/>
        <v>1163.8153983457014</v>
      </c>
      <c r="M20" s="114">
        <v>7416</v>
      </c>
      <c r="N20" s="114">
        <v>1100</v>
      </c>
      <c r="O20" s="114">
        <f t="shared" si="3"/>
        <v>6858.393508587802</v>
      </c>
      <c r="P20" s="114">
        <v>1600</v>
      </c>
      <c r="Q20" s="114">
        <f t="shared" si="4"/>
        <v>1320.8678121016922</v>
      </c>
      <c r="R20" s="114">
        <f t="shared" si="5"/>
        <v>5742.9035308769235</v>
      </c>
      <c r="S20" s="309">
        <f t="shared" si="6"/>
        <v>375.69999999999987</v>
      </c>
      <c r="T20" s="114">
        <f>O20*'STS Design Calcs'!$C$147*(J20+B20)*3.785*1440/454000</f>
        <v>135801.74403497585</v>
      </c>
      <c r="U20" s="114">
        <v>135093.5798319251</v>
      </c>
      <c r="V20" s="114">
        <f t="shared" si="15"/>
        <v>271603.48806995171</v>
      </c>
      <c r="W20" s="114">
        <f t="shared" si="16"/>
        <v>36716.767831678655</v>
      </c>
      <c r="X20" s="114">
        <f>O20*'STS Design Calcs'!$C$224*('STS Calculation Summary'!D20-J20)*3.785*1440/454000</f>
        <v>27609.770878820385</v>
      </c>
      <c r="Y20" s="114">
        <f t="shared" si="17"/>
        <v>5038.7831853847201</v>
      </c>
      <c r="Z20" s="114">
        <f>'STS Design Calcs'!$C$269*('STS Calculation Summary'!D20-'STS Calculation Summary'!J20)/365</f>
        <v>76.762004592371298</v>
      </c>
      <c r="AA20" s="323">
        <f t="shared" si="18"/>
        <v>14.009065838107761</v>
      </c>
      <c r="AB20" s="310">
        <f>L20*1440*'STS Design Calcs'!$C$284</f>
        <v>92.911572985371393</v>
      </c>
      <c r="AC20" s="310">
        <f t="shared" si="19"/>
        <v>16.956362069830281</v>
      </c>
      <c r="AD20" s="114">
        <f>H20*'STS Design Calcs'!$C$343</f>
        <v>15041.579665423413</v>
      </c>
      <c r="AE20" s="114">
        <f>H20*'STS Design Calcs'!$C$352</f>
        <v>5013.8598884744715</v>
      </c>
      <c r="AF20" s="309">
        <f>H20*'STS Design Calcs'!$C$309</f>
        <v>4850.4542016584073</v>
      </c>
      <c r="AG20" s="309">
        <f>H20*'STS Design Calcs'!$C$317</f>
        <v>4850.4542016584073</v>
      </c>
      <c r="AH20" s="114">
        <f>H20*'STS Design Calcs'!$C$326</f>
        <v>808.40903360973459</v>
      </c>
      <c r="AI20" s="319">
        <f>H20*'STS Design Calcs'!$C$334</f>
        <v>808.40903360973459</v>
      </c>
      <c r="AJ20" s="321">
        <f>'STS Design Calcs'!$C$381*H20</f>
        <v>1400211.1134608185</v>
      </c>
      <c r="AK20" s="321">
        <f>'STS Design Calcs'!$C$390*D20</f>
        <v>276086.23358052276</v>
      </c>
      <c r="AL20" s="322">
        <f t="shared" si="0"/>
        <v>1676297.3470413412</v>
      </c>
    </row>
    <row r="21" spans="1:38" s="94" customFormat="1" ht="12.5" x14ac:dyDescent="0.25">
      <c r="A21" s="113">
        <v>11</v>
      </c>
      <c r="B21" s="343">
        <v>520.90494344562342</v>
      </c>
      <c r="C21" s="343">
        <v>606.29993215507409</v>
      </c>
      <c r="D21" s="309">
        <f t="shared" si="9"/>
        <v>877.37124133496411</v>
      </c>
      <c r="E21" s="309">
        <f>3*U21/'STS Design Calcs'!$I$97/'STS Design Calcs'!$L$97/'STS Design Calcs'!$O$97/'STS Design Calcs'!$R$97</f>
        <v>104.2232354499515</v>
      </c>
      <c r="F21" s="309">
        <f t="shared" si="10"/>
        <v>491.32789514757997</v>
      </c>
      <c r="G21" s="309">
        <f t="shared" si="11"/>
        <v>386.0433461873842</v>
      </c>
      <c r="H21" s="309">
        <f t="shared" si="12"/>
        <v>1097.6278273026539</v>
      </c>
      <c r="I21" s="309">
        <f t="shared" si="13"/>
        <v>845.17342702304359</v>
      </c>
      <c r="J21" s="309">
        <f t="shared" si="1"/>
        <v>252.45440027961035</v>
      </c>
      <c r="K21" s="309">
        <v>252.24306243938918</v>
      </c>
      <c r="L21" s="309">
        <f t="shared" si="14"/>
        <v>1127.2048756006975</v>
      </c>
      <c r="M21" s="114">
        <v>6749.2</v>
      </c>
      <c r="N21" s="114">
        <v>1100</v>
      </c>
      <c r="O21" s="114">
        <f t="shared" si="3"/>
        <v>6425.0696691654039</v>
      </c>
      <c r="P21" s="114">
        <v>1600</v>
      </c>
      <c r="Q21" s="114">
        <f t="shared" si="4"/>
        <v>1323.8135199045494</v>
      </c>
      <c r="R21" s="114">
        <f t="shared" si="5"/>
        <v>5755.7109561067373</v>
      </c>
      <c r="S21" s="309">
        <f t="shared" si="6"/>
        <v>375.69999999999993</v>
      </c>
      <c r="T21" s="114">
        <f>O21*'STS Design Calcs'!$C$147*(J21+B21)*3.785*1440/454000</f>
        <v>124772.04215217302</v>
      </c>
      <c r="U21" s="114">
        <v>124124.87070559064</v>
      </c>
      <c r="V21" s="114">
        <f t="shared" si="15"/>
        <v>249544.08430434603</v>
      </c>
      <c r="W21" s="114">
        <f t="shared" si="16"/>
        <v>33734.663248550489</v>
      </c>
      <c r="X21" s="114">
        <f>O21*'STS Design Calcs'!$C$224*('STS Calculation Summary'!D21-J21)*3.785*1440/454000</f>
        <v>25301.687964452522</v>
      </c>
      <c r="Y21" s="114">
        <f t="shared" si="17"/>
        <v>4617.5580535125855</v>
      </c>
      <c r="Z21" s="114">
        <f>'STS Design Calcs'!$C$269*('STS Calculation Summary'!D21-'STS Calculation Summary'!J21)/365</f>
        <v>75.089214076016304</v>
      </c>
      <c r="AA21" s="323">
        <f t="shared" si="18"/>
        <v>13.703781568872975</v>
      </c>
      <c r="AB21" s="310">
        <f>L21*1440*'STS Design Calcs'!$C$284</f>
        <v>89.988823156755856</v>
      </c>
      <c r="AC21" s="310">
        <f t="shared" si="19"/>
        <v>16.422960226107946</v>
      </c>
      <c r="AD21" s="114">
        <f>H21*'STS Design Calcs'!$C$343</f>
        <v>14441.907467755227</v>
      </c>
      <c r="AE21" s="114">
        <f>H21*'STS Design Calcs'!$C$352</f>
        <v>4813.9691559184093</v>
      </c>
      <c r="AF21" s="309">
        <f>H21*'STS Design Calcs'!$C$309</f>
        <v>4657.078067269832</v>
      </c>
      <c r="AG21" s="309">
        <f>H21*'STS Design Calcs'!$C$317</f>
        <v>4657.078067269832</v>
      </c>
      <c r="AH21" s="114">
        <f>H21*'STS Design Calcs'!$C$326</f>
        <v>776.17967787830537</v>
      </c>
      <c r="AI21" s="319">
        <f>H21*'STS Design Calcs'!$C$334</f>
        <v>776.17967787830537</v>
      </c>
      <c r="AJ21" s="321">
        <f>'STS Design Calcs'!$C$381*H21</f>
        <v>1344388.008821175</v>
      </c>
      <c r="AK21" s="321">
        <f>'STS Design Calcs'!$C$390*D21</f>
        <v>268614.68413549499</v>
      </c>
      <c r="AL21" s="322">
        <f t="shared" si="0"/>
        <v>1613002.69295667</v>
      </c>
    </row>
    <row r="22" spans="1:38" s="94" customFormat="1" ht="12.5" x14ac:dyDescent="0.25">
      <c r="A22" s="113">
        <v>12</v>
      </c>
      <c r="B22" s="343">
        <v>520.90494344562342</v>
      </c>
      <c r="C22" s="343">
        <v>575.98493554732033</v>
      </c>
      <c r="D22" s="309">
        <f t="shared" si="9"/>
        <v>859.8200122238884</v>
      </c>
      <c r="E22" s="309">
        <f>3*U22/'STS Design Calcs'!$I$97/'STS Design Calcs'!$L$97/'STS Design Calcs'!$O$97/'STS Design Calcs'!$R$97</f>
        <v>95.914346749892658</v>
      </c>
      <c r="F22" s="309">
        <f t="shared" si="10"/>
        <v>481.49920684537756</v>
      </c>
      <c r="G22" s="309">
        <f t="shared" si="11"/>
        <v>378.3208053785109</v>
      </c>
      <c r="H22" s="309">
        <f t="shared" si="12"/>
        <v>1057.484142392698</v>
      </c>
      <c r="I22" s="309">
        <f t="shared" si="13"/>
        <v>814.26278964237747</v>
      </c>
      <c r="J22" s="309">
        <f t="shared" si="1"/>
        <v>243.22135275032053</v>
      </c>
      <c r="K22" s="309">
        <v>243.00072202837237</v>
      </c>
      <c r="L22" s="309">
        <f t="shared" si="14"/>
        <v>1096.8898789929437</v>
      </c>
      <c r="M22" s="114">
        <v>6082.4</v>
      </c>
      <c r="N22" s="114">
        <v>1100</v>
      </c>
      <c r="O22" s="114">
        <f t="shared" si="3"/>
        <v>5983.8027333802411</v>
      </c>
      <c r="P22" s="114">
        <v>1600</v>
      </c>
      <c r="Q22" s="114">
        <f t="shared" si="4"/>
        <v>1327.6626133399609</v>
      </c>
      <c r="R22" s="114">
        <f t="shared" si="5"/>
        <v>5772.4461449563523</v>
      </c>
      <c r="S22" s="309">
        <f t="shared" si="6"/>
        <v>375.70000000000005</v>
      </c>
      <c r="T22" s="114">
        <f>O22*'STS Design Calcs'!$C$147*(J22+B22)*3.785*1440/454000</f>
        <v>114815.49917500457</v>
      </c>
      <c r="U22" s="114">
        <v>114229.38309047815</v>
      </c>
      <c r="V22" s="114">
        <f t="shared" si="15"/>
        <v>229630.99835000915</v>
      </c>
      <c r="W22" s="114">
        <f t="shared" si="16"/>
        <v>31042.709036204942</v>
      </c>
      <c r="X22" s="114">
        <f>O22*'STS Design Calcs'!$C$224*('STS Calculation Summary'!D22-J22)*3.785*1440/454000</f>
        <v>23250.337930293732</v>
      </c>
      <c r="Y22" s="114">
        <f t="shared" si="17"/>
        <v>4243.1866722786062</v>
      </c>
      <c r="Z22" s="114">
        <f>'STS Design Calcs'!$C$269*('STS Calculation Summary'!D22-'STS Calculation Summary'!J22)/365</f>
        <v>74.089711939919169</v>
      </c>
      <c r="AA22" s="323">
        <f t="shared" si="18"/>
        <v>13.521372429035249</v>
      </c>
      <c r="AB22" s="310">
        <f>L22*1440*'STS Design Calcs'!$C$284</f>
        <v>87.568667843571077</v>
      </c>
      <c r="AC22" s="310">
        <f t="shared" si="19"/>
        <v>15.981281881451721</v>
      </c>
      <c r="AD22" s="114">
        <f>H22*'STS Design Calcs'!$C$343</f>
        <v>13913.72171256259</v>
      </c>
      <c r="AE22" s="114">
        <f>H22*'STS Design Calcs'!$C$352</f>
        <v>4637.9072375208634</v>
      </c>
      <c r="AF22" s="309">
        <f>H22*'STS Design Calcs'!$C$309</f>
        <v>4486.7541470090191</v>
      </c>
      <c r="AG22" s="309">
        <f>H22*'STS Design Calcs'!$C$317</f>
        <v>4486.7541470090191</v>
      </c>
      <c r="AH22" s="114">
        <f>H22*'STS Design Calcs'!$C$326</f>
        <v>747.79235783483648</v>
      </c>
      <c r="AI22" s="319">
        <f>H22*'STS Design Calcs'!$C$334</f>
        <v>747.79235783483648</v>
      </c>
      <c r="AJ22" s="321">
        <f>'STS Design Calcs'!$C$381*H22</f>
        <v>1295219.5317833207</v>
      </c>
      <c r="AK22" s="321">
        <f>'STS Design Calcs'!$C$390*D22</f>
        <v>263241.225738696</v>
      </c>
      <c r="AL22" s="322">
        <f t="shared" si="0"/>
        <v>1558460.7575220168</v>
      </c>
    </row>
    <row r="23" spans="1:38" s="94" customFormat="1" ht="12.5" x14ac:dyDescent="0.25">
      <c r="A23" s="113">
        <v>13</v>
      </c>
      <c r="B23" s="343">
        <v>478.53819627334224</v>
      </c>
      <c r="C23" s="343">
        <v>547.18568876995437</v>
      </c>
      <c r="D23" s="309">
        <f t="shared" si="9"/>
        <v>787.36125023163572</v>
      </c>
      <c r="E23" s="309">
        <f>3*U23/'STS Design Calcs'!$I$97/'STS Design Calcs'!$L$97/'STS Design Calcs'!$O$97/'STS Design Calcs'!$R$97</f>
        <v>81.787357567594938</v>
      </c>
      <c r="F23" s="309">
        <f t="shared" si="10"/>
        <v>440.92230012971606</v>
      </c>
      <c r="G23" s="309">
        <f t="shared" si="11"/>
        <v>346.43895010191972</v>
      </c>
      <c r="H23" s="309">
        <f t="shared" si="12"/>
        <v>988.10798889967032</v>
      </c>
      <c r="I23" s="309">
        <f t="shared" si="13"/>
        <v>760.84315145274616</v>
      </c>
      <c r="J23" s="309">
        <f t="shared" si="1"/>
        <v>227.26483744692416</v>
      </c>
      <c r="K23" s="309">
        <v>227.0356963906986</v>
      </c>
      <c r="L23" s="309">
        <f t="shared" si="14"/>
        <v>1025.7238850432966</v>
      </c>
      <c r="M23" s="114">
        <v>5415.6</v>
      </c>
      <c r="N23" s="114">
        <v>1100</v>
      </c>
      <c r="O23" s="114">
        <f t="shared" si="3"/>
        <v>5524.0609961744221</v>
      </c>
      <c r="P23" s="114">
        <v>1600</v>
      </c>
      <c r="Q23" s="114">
        <f t="shared" si="4"/>
        <v>1323.1144293351556</v>
      </c>
      <c r="R23" s="114">
        <f t="shared" si="5"/>
        <v>5752.6714318919821</v>
      </c>
      <c r="S23" s="309">
        <f t="shared" si="6"/>
        <v>375.7</v>
      </c>
      <c r="T23" s="114">
        <f>O23*'STS Design Calcs'!$C$147*(J23+B23)*3.785*1440/454000</f>
        <v>97903.922283406166</v>
      </c>
      <c r="U23" s="114">
        <v>97404.817069842306</v>
      </c>
      <c r="V23" s="114">
        <f t="shared" si="15"/>
        <v>195807.84456681233</v>
      </c>
      <c r="W23" s="114">
        <f t="shared" si="16"/>
        <v>26470.319728476479</v>
      </c>
      <c r="X23" s="114">
        <f>O23*'STS Design Calcs'!$C$224*('STS Calculation Summary'!D23-J23)*3.785*1440/454000</f>
        <v>19497.129758014922</v>
      </c>
      <c r="Y23" s="114">
        <f t="shared" si="17"/>
        <v>3558.2261808377234</v>
      </c>
      <c r="Z23" s="114">
        <f>'STS Design Calcs'!$C$269*('STS Calculation Summary'!D23-'STS Calculation Summary'!J23)/365</f>
        <v>67.300473726670887</v>
      </c>
      <c r="AA23" s="323">
        <f t="shared" si="18"/>
        <v>12.282336455117436</v>
      </c>
      <c r="AB23" s="310">
        <f>L23*1440*'STS Design Calcs'!$C$284</f>
        <v>81.887230348992532</v>
      </c>
      <c r="AC23" s="310">
        <f t="shared" si="19"/>
        <v>14.944419538691138</v>
      </c>
      <c r="AD23" s="114">
        <f>H23*'STS Design Calcs'!$C$343</f>
        <v>13000.913232043969</v>
      </c>
      <c r="AE23" s="114">
        <f>H23*'STS Design Calcs'!$C$352</f>
        <v>4333.6377440146571</v>
      </c>
      <c r="AF23" s="309">
        <f>H23*'STS Design Calcs'!$C$309</f>
        <v>4192.4010386171731</v>
      </c>
      <c r="AG23" s="309">
        <f>H23*'STS Design Calcs'!$C$317</f>
        <v>4192.4010386171731</v>
      </c>
      <c r="AH23" s="114">
        <f>H23*'STS Design Calcs'!$C$326</f>
        <v>698.73350643619551</v>
      </c>
      <c r="AI23" s="319">
        <f>H23*'STS Design Calcs'!$C$334</f>
        <v>698.73350643619551</v>
      </c>
      <c r="AJ23" s="321">
        <f>'STS Design Calcs'!$C$381*H23</f>
        <v>1210246.7691271801</v>
      </c>
      <c r="AK23" s="321">
        <f>'STS Design Calcs'!$C$390*D23</f>
        <v>241057.35812550265</v>
      </c>
      <c r="AL23" s="322">
        <f t="shared" si="0"/>
        <v>1451304.1272526828</v>
      </c>
    </row>
    <row r="24" spans="1:38" s="94" customFormat="1" ht="12.5" x14ac:dyDescent="0.25">
      <c r="A24" s="113">
        <v>14</v>
      </c>
      <c r="B24" s="343">
        <v>474.67144910106106</v>
      </c>
      <c r="C24" s="343">
        <v>519.82640433145662</v>
      </c>
      <c r="D24" s="309">
        <f t="shared" si="9"/>
        <v>766.43894974591285</v>
      </c>
      <c r="E24" s="309">
        <f>3*U24/'STS Design Calcs'!$I$97/'STS Design Calcs'!$L$97/'STS Design Calcs'!$O$97/'STS Design Calcs'!$R$97</f>
        <v>73.708646634914146</v>
      </c>
      <c r="F24" s="309">
        <f t="shared" si="10"/>
        <v>429.20581185771124</v>
      </c>
      <c r="G24" s="309">
        <f t="shared" si="11"/>
        <v>337.23313788820167</v>
      </c>
      <c r="H24" s="309">
        <f t="shared" si="12"/>
        <v>949.0322161891678</v>
      </c>
      <c r="I24" s="309">
        <f t="shared" si="13"/>
        <v>730.75480646565927</v>
      </c>
      <c r="J24" s="309">
        <f t="shared" si="1"/>
        <v>218.27740972350853</v>
      </c>
      <c r="K24" s="309">
        <v>218.0588540099377</v>
      </c>
      <c r="L24" s="309">
        <f t="shared" si="14"/>
        <v>994.49785343251767</v>
      </c>
      <c r="M24" s="114">
        <v>4748.8</v>
      </c>
      <c r="N24" s="114">
        <v>1100</v>
      </c>
      <c r="O24" s="114">
        <f t="shared" si="3"/>
        <v>5068.92503832682</v>
      </c>
      <c r="P24" s="114">
        <v>1600</v>
      </c>
      <c r="Q24" s="114">
        <f t="shared" si="4"/>
        <v>1326.1281569456009</v>
      </c>
      <c r="R24" s="114">
        <f t="shared" si="5"/>
        <v>5765.7745954156571</v>
      </c>
      <c r="S24" s="309">
        <f t="shared" si="6"/>
        <v>375.69999999999993</v>
      </c>
      <c r="T24" s="114">
        <f>O24*'STS Design Calcs'!$C$147*(J24+B24)*3.785*1440/454000</f>
        <v>88201.334801036224</v>
      </c>
      <c r="U24" s="114">
        <v>87783.460127144266</v>
      </c>
      <c r="V24" s="114">
        <f t="shared" si="15"/>
        <v>176402.66960207245</v>
      </c>
      <c r="W24" s="114">
        <f t="shared" si="16"/>
        <v>23847.027557317204</v>
      </c>
      <c r="X24" s="114">
        <f>O24*'STS Design Calcs'!$C$224*('STS Calculation Summary'!D24-J24)*3.785*1440/454000</f>
        <v>17509.504476173592</v>
      </c>
      <c r="Y24" s="114">
        <f t="shared" si="17"/>
        <v>3195.4845669016804</v>
      </c>
      <c r="Z24" s="114">
        <f>'STS Design Calcs'!$C$269*('STS Calculation Summary'!D24-'STS Calculation Summary'!J24)/365</f>
        <v>65.866394570946028</v>
      </c>
      <c r="AA24" s="323">
        <f t="shared" si="18"/>
        <v>12.02061700919765</v>
      </c>
      <c r="AB24" s="310">
        <f>L24*1440*'STS Design Calcs'!$C$284</f>
        <v>79.394343831790252</v>
      </c>
      <c r="AC24" s="310">
        <f t="shared" si="19"/>
        <v>14.489467749301721</v>
      </c>
      <c r="AD24" s="114">
        <f>H24*'STS Design Calcs'!$C$343</f>
        <v>12486.778404483237</v>
      </c>
      <c r="AE24" s="114">
        <f>H24*'STS Design Calcs'!$C$352</f>
        <v>4162.259468161079</v>
      </c>
      <c r="AF24" s="309">
        <f>H24*'STS Design Calcs'!$C$309</f>
        <v>4026.6081172597546</v>
      </c>
      <c r="AG24" s="309">
        <f>H24*'STS Design Calcs'!$C$317</f>
        <v>4026.6081172597546</v>
      </c>
      <c r="AH24" s="114">
        <f>H24*'STS Design Calcs'!$C$326</f>
        <v>671.10135287662581</v>
      </c>
      <c r="AI24" s="319">
        <f>H24*'STS Design Calcs'!$C$334</f>
        <v>671.10135287662581</v>
      </c>
      <c r="AJ24" s="321">
        <f>'STS Design Calcs'!$C$381*H24</f>
        <v>1162386.2840331411</v>
      </c>
      <c r="AK24" s="321">
        <f>'STS Design Calcs'!$C$390*D24</f>
        <v>234651.8174927721</v>
      </c>
      <c r="AL24" s="322">
        <f t="shared" si="0"/>
        <v>1397038.1015259132</v>
      </c>
    </row>
    <row r="25" spans="1:38" s="94" customFormat="1" ht="12.5" x14ac:dyDescent="0.25">
      <c r="A25" s="113">
        <v>15</v>
      </c>
      <c r="B25" s="343">
        <v>470.80470192877993</v>
      </c>
      <c r="C25" s="343">
        <v>417.860455789517</v>
      </c>
      <c r="D25" s="309">
        <f t="shared" si="9"/>
        <v>723.42980997252357</v>
      </c>
      <c r="E25" s="309">
        <f>3*U25/'STS Design Calcs'!$I$97/'STS Design Calcs'!$L$97/'STS Design Calcs'!$O$97/'STS Design Calcs'!$R$97</f>
        <v>63.584704058932886</v>
      </c>
      <c r="F25" s="309">
        <f t="shared" si="10"/>
        <v>405.12069358461326</v>
      </c>
      <c r="G25" s="309">
        <f t="shared" si="11"/>
        <v>318.30911638791036</v>
      </c>
      <c r="H25" s="309">
        <f t="shared" si="12"/>
        <v>822.98114937413038</v>
      </c>
      <c r="I25" s="309">
        <f t="shared" si="13"/>
        <v>633.69548501808038</v>
      </c>
      <c r="J25" s="309">
        <f t="shared" si="1"/>
        <v>189.28566435605001</v>
      </c>
      <c r="K25" s="309">
        <v>189.04040398481084</v>
      </c>
      <c r="L25" s="309">
        <f t="shared" si="14"/>
        <v>888.665157718297</v>
      </c>
      <c r="M25" s="114">
        <v>4082</v>
      </c>
      <c r="N25" s="114">
        <v>1100</v>
      </c>
      <c r="O25" s="114">
        <f t="shared" si="3"/>
        <v>4589.3027504038664</v>
      </c>
      <c r="P25" s="114">
        <v>1600</v>
      </c>
      <c r="Q25" s="114">
        <f t="shared" si="4"/>
        <v>1346.1299957433434</v>
      </c>
      <c r="R25" s="114">
        <f t="shared" si="5"/>
        <v>5852.7391119275808</v>
      </c>
      <c r="S25" s="309">
        <f t="shared" si="6"/>
        <v>375.70000000000005</v>
      </c>
      <c r="T25" s="114">
        <f>O25*'STS Design Calcs'!$C$147*(J25+B25)*3.785*1440/454000</f>
        <v>76069.087732297834</v>
      </c>
      <c r="U25" s="114">
        <v>75726.330468394241</v>
      </c>
      <c r="V25" s="114">
        <f t="shared" si="15"/>
        <v>152138.17546459567</v>
      </c>
      <c r="W25" s="114">
        <f t="shared" si="16"/>
        <v>20566.827423917566</v>
      </c>
      <c r="X25" s="114">
        <f>O25*'STS Design Calcs'!$C$224*('STS Calculation Summary'!D25-J25)*3.785*1440/454000</f>
        <v>15447.372052310693</v>
      </c>
      <c r="Y25" s="114">
        <f t="shared" si="17"/>
        <v>2819.1453995467014</v>
      </c>
      <c r="Z25" s="114">
        <f>'STS Design Calcs'!$C$269*('STS Calculation Summary'!D25-'STS Calculation Summary'!J25)/365</f>
        <v>64.182082258995308</v>
      </c>
      <c r="AA25" s="323">
        <f t="shared" si="18"/>
        <v>11.713230012266644</v>
      </c>
      <c r="AB25" s="310">
        <f>L25*1440*'STS Design Calcs'!$C$284</f>
        <v>70.945338735219437</v>
      </c>
      <c r="AC25" s="310">
        <f t="shared" si="19"/>
        <v>12.947524319177548</v>
      </c>
      <c r="AD25" s="114">
        <f>H25*'STS Design Calcs'!$C$343</f>
        <v>10828.276498943766</v>
      </c>
      <c r="AE25" s="114">
        <f>H25*'STS Design Calcs'!$C$352</f>
        <v>3609.4254996479222</v>
      </c>
      <c r="AF25" s="309">
        <f>H25*'STS Design Calcs'!$C$309</f>
        <v>3491.7914480588101</v>
      </c>
      <c r="AG25" s="309">
        <f>H25*'STS Design Calcs'!$C$317</f>
        <v>3491.7914480588101</v>
      </c>
      <c r="AH25" s="114">
        <f>H25*'STS Design Calcs'!$C$326</f>
        <v>581.96524134313506</v>
      </c>
      <c r="AI25" s="319">
        <f>H25*'STS Design Calcs'!$C$334</f>
        <v>581.96524134313506</v>
      </c>
      <c r="AJ25" s="321">
        <f>'STS Design Calcs'!$C$381*H25</f>
        <v>1007997.3932725147</v>
      </c>
      <c r="AK25" s="321">
        <f>'STS Design Calcs'!$C$390*D25</f>
        <v>221484.20274671543</v>
      </c>
      <c r="AL25" s="322">
        <f t="shared" si="0"/>
        <v>1229481.5960192301</v>
      </c>
    </row>
    <row r="26" spans="1:38" s="94" customFormat="1" ht="12.5" x14ac:dyDescent="0.25">
      <c r="A26" s="113">
        <v>16</v>
      </c>
      <c r="B26" s="343">
        <v>466.93795475649875</v>
      </c>
      <c r="C26" s="343">
        <v>396.96743300004113</v>
      </c>
      <c r="D26" s="309">
        <f t="shared" si="9"/>
        <v>711.39329685353755</v>
      </c>
      <c r="E26" s="309">
        <f>3*U26/'STS Design Calcs'!$I$97/'STS Design Calcs'!$L$97/'STS Design Calcs'!$O$97/'STS Design Calcs'!$R$97</f>
        <v>61.750041400571021</v>
      </c>
      <c r="F26" s="309">
        <f t="shared" si="10"/>
        <v>398.38024623798105</v>
      </c>
      <c r="G26" s="309">
        <f t="shared" si="11"/>
        <v>313.01305061555655</v>
      </c>
      <c r="H26" s="309">
        <f t="shared" si="12"/>
        <v>795.34767923802224</v>
      </c>
      <c r="I26" s="309">
        <f t="shared" si="13"/>
        <v>612.41771301327719</v>
      </c>
      <c r="J26" s="309">
        <f t="shared" si="1"/>
        <v>182.92996622474504</v>
      </c>
      <c r="K26" s="309">
        <v>182.7053006964677</v>
      </c>
      <c r="L26" s="309">
        <f t="shared" si="14"/>
        <v>863.90538775653988</v>
      </c>
      <c r="M26" s="114">
        <v>3999.5</v>
      </c>
      <c r="N26" s="114">
        <v>1100</v>
      </c>
      <c r="O26" s="114">
        <f t="shared" si="3"/>
        <v>4525.9791014411012</v>
      </c>
      <c r="P26" s="114">
        <v>1600</v>
      </c>
      <c r="Q26" s="114">
        <f t="shared" si="4"/>
        <v>1350.4440866789521</v>
      </c>
      <c r="R26" s="114">
        <f t="shared" si="5"/>
        <v>5871.4960290389226</v>
      </c>
      <c r="S26" s="309">
        <f t="shared" si="6"/>
        <v>375.69999999999987</v>
      </c>
      <c r="T26" s="114">
        <f>O26*'STS Design Calcs'!$C$147*(J26+B26)*3.785*1440/454000</f>
        <v>73857.694863756871</v>
      </c>
      <c r="U26" s="114">
        <v>73541.335306092849</v>
      </c>
      <c r="V26" s="114">
        <f t="shared" si="15"/>
        <v>147715.38972751374</v>
      </c>
      <c r="W26" s="114">
        <f t="shared" si="16"/>
        <v>19968.932315015747</v>
      </c>
      <c r="X26" s="114">
        <f>O26*'STS Design Calcs'!$C$224*('STS Calculation Summary'!D26-J26)*3.785*1440/454000</f>
        <v>15072.206211805702</v>
      </c>
      <c r="Y26" s="114">
        <f t="shared" si="17"/>
        <v>2750.6776336545404</v>
      </c>
      <c r="Z26" s="114">
        <f>'STS Design Calcs'!$C$269*('STS Calculation Summary'!D26-'STS Calculation Summary'!J26)/365</f>
        <v>63.499482743808869</v>
      </c>
      <c r="AA26" s="323">
        <f t="shared" si="18"/>
        <v>11.588655600745119</v>
      </c>
      <c r="AB26" s="310">
        <f>L26*1440*'STS Design Calcs'!$C$284</f>
        <v>68.968677164000511</v>
      </c>
      <c r="AC26" s="310">
        <f t="shared" si="19"/>
        <v>12.586783582430092</v>
      </c>
      <c r="AD26" s="114">
        <f>H26*'STS Design Calcs'!$C$343</f>
        <v>10464.692405326748</v>
      </c>
      <c r="AE26" s="114">
        <f>H26*'STS Design Calcs'!$C$352</f>
        <v>3488.2308017755831</v>
      </c>
      <c r="AF26" s="309">
        <f>H26*'STS Design Calcs'!$C$309</f>
        <v>3374.5465819098945</v>
      </c>
      <c r="AG26" s="309">
        <f>H26*'STS Design Calcs'!$C$317</f>
        <v>3374.5465819098945</v>
      </c>
      <c r="AH26" s="114">
        <f>H26*'STS Design Calcs'!$C$326</f>
        <v>562.42443031831579</v>
      </c>
      <c r="AI26" s="319">
        <f>H26*'STS Design Calcs'!$C$334</f>
        <v>562.42443031831579</v>
      </c>
      <c r="AJ26" s="321">
        <f>'STS Design Calcs'!$C$381*H26</f>
        <v>974151.58053980023</v>
      </c>
      <c r="AK26" s="321">
        <f>'STS Design Calcs'!$C$390*D26</f>
        <v>217799.12165763194</v>
      </c>
      <c r="AL26" s="322">
        <f t="shared" si="0"/>
        <v>1191950.7021974321</v>
      </c>
    </row>
    <row r="27" spans="1:38" s="94" customFormat="1" ht="12.5" x14ac:dyDescent="0.25">
      <c r="A27" s="113">
        <v>17</v>
      </c>
      <c r="B27" s="343">
        <v>463.07120758421758</v>
      </c>
      <c r="C27" s="343">
        <v>377.11906135003909</v>
      </c>
      <c r="D27" s="309">
        <f t="shared" si="9"/>
        <v>699.68205673551472</v>
      </c>
      <c r="E27" s="309">
        <f>3*U27/'STS Design Calcs'!$I$97/'STS Design Calcs'!$L$97/'STS Design Calcs'!$O$97/'STS Design Calcs'!$R$97</f>
        <v>59.958619448087425</v>
      </c>
      <c r="F27" s="309">
        <f t="shared" si="10"/>
        <v>391.82195177188828</v>
      </c>
      <c r="G27" s="309">
        <f t="shared" si="11"/>
        <v>307.8601049636265</v>
      </c>
      <c r="H27" s="309">
        <f t="shared" si="12"/>
        <v>768.9410131219272</v>
      </c>
      <c r="I27" s="309">
        <f t="shared" si="13"/>
        <v>592.08458010388392</v>
      </c>
      <c r="J27" s="309">
        <f t="shared" si="1"/>
        <v>176.85643301804328</v>
      </c>
      <c r="K27" s="309">
        <v>176.65222970320974</v>
      </c>
      <c r="L27" s="309">
        <f t="shared" si="14"/>
        <v>840.19026893425666</v>
      </c>
      <c r="M27" s="114">
        <v>3917</v>
      </c>
      <c r="N27" s="114">
        <v>1100</v>
      </c>
      <c r="O27" s="114">
        <f t="shared" si="3"/>
        <v>4461.9174713466955</v>
      </c>
      <c r="P27" s="114">
        <v>1600</v>
      </c>
      <c r="Q27" s="114">
        <f t="shared" si="4"/>
        <v>1354.7802400219734</v>
      </c>
      <c r="R27" s="114">
        <f t="shared" si="5"/>
        <v>5890.3488696607546</v>
      </c>
      <c r="S27" s="309">
        <f t="shared" si="6"/>
        <v>375.70000000000005</v>
      </c>
      <c r="T27" s="114">
        <f>O27*'STS Design Calcs'!$C$147*(J27+B27)*3.785*1440/454000</f>
        <v>71698.572226598146</v>
      </c>
      <c r="U27" s="114">
        <v>71407.837748938604</v>
      </c>
      <c r="V27" s="114">
        <f t="shared" si="15"/>
        <v>143397.14445319629</v>
      </c>
      <c r="W27" s="114">
        <f t="shared" si="16"/>
        <v>19385.169527932092</v>
      </c>
      <c r="X27" s="114">
        <f>O27*'STS Design Calcs'!$C$224*('STS Calculation Summary'!D27-J27)*3.785*1440/454000</f>
        <v>14700.355007926823</v>
      </c>
      <c r="Y27" s="114">
        <f t="shared" si="17"/>
        <v>2682.8147889466454</v>
      </c>
      <c r="Z27" s="114">
        <f>'STS Design Calcs'!$C$269*('STS Calculation Summary'!D27-'STS Calculation Summary'!J27)/365</f>
        <v>62.822063040337433</v>
      </c>
      <c r="AA27" s="323">
        <f t="shared" si="18"/>
        <v>11.465026504861582</v>
      </c>
      <c r="AB27" s="310">
        <f>L27*1440*'STS Design Calcs'!$C$284</f>
        <v>67.075413853989872</v>
      </c>
      <c r="AC27" s="310">
        <f t="shared" si="19"/>
        <v>12.241263028353151</v>
      </c>
      <c r="AD27" s="114">
        <f>H27*'STS Design Calcs'!$C$343</f>
        <v>10117.249839554956</v>
      </c>
      <c r="AE27" s="114">
        <f>H27*'STS Design Calcs'!$C$352</f>
        <v>3372.4166131849856</v>
      </c>
      <c r="AF27" s="309">
        <f>H27*'STS Design Calcs'!$C$309</f>
        <v>3262.506869960177</v>
      </c>
      <c r="AG27" s="309">
        <f>H27*'STS Design Calcs'!$C$317</f>
        <v>3262.506869960177</v>
      </c>
      <c r="AH27" s="114">
        <f>H27*'STS Design Calcs'!$C$326</f>
        <v>543.7511449933628</v>
      </c>
      <c r="AI27" s="319">
        <f>H27*'STS Design Calcs'!$C$334</f>
        <v>543.7511449933628</v>
      </c>
      <c r="AJ27" s="321">
        <f>'STS Design Calcs'!$C$381*H27</f>
        <v>941808.37239914713</v>
      </c>
      <c r="AK27" s="321">
        <f>'STS Design Calcs'!$C$390*D27</f>
        <v>214213.62567037903</v>
      </c>
      <c r="AL27" s="322">
        <f t="shared" si="0"/>
        <v>1156021.9980695262</v>
      </c>
    </row>
    <row r="28" spans="1:38" s="94" customFormat="1" ht="12.5" x14ac:dyDescent="0.25">
      <c r="A28" s="113">
        <v>18</v>
      </c>
      <c r="B28" s="343">
        <v>459.2044604119364</v>
      </c>
      <c r="C28" s="343">
        <v>358.26310828253713</v>
      </c>
      <c r="D28" s="309">
        <f t="shared" si="9"/>
        <v>688.28075267711449</v>
      </c>
      <c r="E28" s="309">
        <f>3*U28/'STS Design Calcs'!$I$97/'STS Design Calcs'!$L$97/'STS Design Calcs'!$O$97/'STS Design Calcs'!$R$97</f>
        <v>58.208940910066886</v>
      </c>
      <c r="F28" s="309">
        <f t="shared" si="10"/>
        <v>385.43722149918415</v>
      </c>
      <c r="G28" s="309">
        <f t="shared" si="11"/>
        <v>302.8435311779304</v>
      </c>
      <c r="H28" s="309">
        <f t="shared" si="12"/>
        <v>743.70032978172139</v>
      </c>
      <c r="I28" s="309">
        <f t="shared" si="13"/>
        <v>572.6492539319255</v>
      </c>
      <c r="J28" s="309">
        <f t="shared" si="1"/>
        <v>171.05107584979589</v>
      </c>
      <c r="K28" s="309">
        <v>170.86735135511128</v>
      </c>
      <c r="L28" s="309">
        <f t="shared" si="14"/>
        <v>817.46756869447358</v>
      </c>
      <c r="M28" s="114">
        <v>3834.5</v>
      </c>
      <c r="N28" s="114">
        <v>1100</v>
      </c>
      <c r="O28" s="114">
        <f t="shared" si="3"/>
        <v>4397.1540155319117</v>
      </c>
      <c r="P28" s="114">
        <v>1600</v>
      </c>
      <c r="Q28" s="114">
        <f t="shared" si="4"/>
        <v>1359.1347657545825</v>
      </c>
      <c r="R28" s="114">
        <f t="shared" si="5"/>
        <v>5909.2815902373159</v>
      </c>
      <c r="S28" s="309">
        <f t="shared" si="6"/>
        <v>375.69999999999993</v>
      </c>
      <c r="T28" s="114">
        <f>O28*'STS Design Calcs'!$C$147*(J28+B28)*3.785*1440/454000</f>
        <v>69589.938363974026</v>
      </c>
      <c r="U28" s="114">
        <v>69324.054594725967</v>
      </c>
      <c r="V28" s="114">
        <f t="shared" si="15"/>
        <v>139179.87672794805</v>
      </c>
      <c r="W28" s="114">
        <f t="shared" si="16"/>
        <v>18815.0574095189</v>
      </c>
      <c r="X28" s="114">
        <f>O28*'STS Design Calcs'!$C$224*('STS Calculation Summary'!D28-J28)*3.785*1440/454000</f>
        <v>14331.925378083721</v>
      </c>
      <c r="Y28" s="114">
        <f t="shared" si="17"/>
        <v>2615.5763815002792</v>
      </c>
      <c r="Z28" s="114">
        <f>'STS Design Calcs'!$C$269*('STS Calculation Summary'!D28-'STS Calculation Summary'!J28)/365</f>
        <v>62.149661167980966</v>
      </c>
      <c r="AA28" s="323">
        <f t="shared" si="18"/>
        <v>11.342313163156527</v>
      </c>
      <c r="AB28" s="310">
        <f>L28*1440*'STS Design Calcs'!$C$284</f>
        <v>65.261378892127127</v>
      </c>
      <c r="AC28" s="310">
        <f t="shared" si="19"/>
        <v>11.910201647813201</v>
      </c>
      <c r="AD28" s="114">
        <f>H28*'STS Design Calcs'!$C$343</f>
        <v>9785.1485533494524</v>
      </c>
      <c r="AE28" s="114">
        <f>H28*'STS Design Calcs'!$C$352</f>
        <v>3261.7161844498178</v>
      </c>
      <c r="AF28" s="309">
        <f>H28*'STS Design Calcs'!$C$309</f>
        <v>3155.4142563595892</v>
      </c>
      <c r="AG28" s="309">
        <f>H28*'STS Design Calcs'!$C$317</f>
        <v>3155.4142563595892</v>
      </c>
      <c r="AH28" s="114">
        <f>H28*'STS Design Calcs'!$C$326</f>
        <v>525.90237605993161</v>
      </c>
      <c r="AI28" s="319">
        <f>H28*'STS Design Calcs'!$C$334</f>
        <v>525.90237605993161</v>
      </c>
      <c r="AJ28" s="321">
        <f>'STS Design Calcs'!$C$381*H28</f>
        <v>910893.27424569218</v>
      </c>
      <c r="AK28" s="321">
        <f>'STS Design Calcs'!$C$390*D28</f>
        <v>210723.01924963508</v>
      </c>
      <c r="AL28" s="322">
        <f t="shared" si="0"/>
        <v>1121616.2934953272</v>
      </c>
    </row>
    <row r="29" spans="1:38" s="94" customFormat="1" ht="12.5" x14ac:dyDescent="0.25">
      <c r="A29" s="113">
        <v>19</v>
      </c>
      <c r="B29" s="343">
        <v>455.33771323965522</v>
      </c>
      <c r="C29" s="343">
        <v>340.34995286841024</v>
      </c>
      <c r="D29" s="309">
        <f t="shared" si="9"/>
        <v>677.17450717172051</v>
      </c>
      <c r="E29" s="309">
        <f>3*U29/'STS Design Calcs'!$I$97/'STS Design Calcs'!$L$97/'STS Design Calcs'!$O$97/'STS Design Calcs'!$R$97</f>
        <v>56.499569986474157</v>
      </c>
      <c r="F29" s="309">
        <f t="shared" si="10"/>
        <v>379.21772401616352</v>
      </c>
      <c r="G29" s="309">
        <f t="shared" si="11"/>
        <v>297.95678315555705</v>
      </c>
      <c r="H29" s="309">
        <f t="shared" si="12"/>
        <v>719.56767688457376</v>
      </c>
      <c r="I29" s="309">
        <f t="shared" si="13"/>
        <v>554.06711120112186</v>
      </c>
      <c r="J29" s="309">
        <f t="shared" si="1"/>
        <v>165.5005656834519</v>
      </c>
      <c r="K29" s="309">
        <v>165.33722394559118</v>
      </c>
      <c r="L29" s="309">
        <f t="shared" si="14"/>
        <v>795.68766610806551</v>
      </c>
      <c r="M29" s="114">
        <v>3752</v>
      </c>
      <c r="N29" s="114">
        <v>1100</v>
      </c>
      <c r="O29" s="114">
        <f t="shared" si="3"/>
        <v>4331.7232747840753</v>
      </c>
      <c r="P29" s="114">
        <v>1600</v>
      </c>
      <c r="Q29" s="114">
        <f t="shared" si="4"/>
        <v>1363.5038622482439</v>
      </c>
      <c r="R29" s="114">
        <f t="shared" si="5"/>
        <v>5928.2776619488877</v>
      </c>
      <c r="S29" s="309">
        <f t="shared" si="6"/>
        <v>375.69999999999987</v>
      </c>
      <c r="T29" s="114">
        <f>O29*'STS Design Calcs'!$C$147*(J29+B29)*3.785*1440/454000</f>
        <v>67530.084931964855</v>
      </c>
      <c r="U29" s="114">
        <v>67288.275874531362</v>
      </c>
      <c r="V29" s="114">
        <f t="shared" si="15"/>
        <v>135060.16986392971</v>
      </c>
      <c r="W29" s="114">
        <f t="shared" si="16"/>
        <v>18258.134074197904</v>
      </c>
      <c r="X29" s="114">
        <f>O29*'STS Design Calcs'!$C$224*('STS Calculation Summary'!D29-J29)*3.785*1440/454000</f>
        <v>13967.009543996659</v>
      </c>
      <c r="Y29" s="114">
        <f t="shared" si="17"/>
        <v>2548.9792417793901</v>
      </c>
      <c r="Z29" s="114">
        <f>'STS Design Calcs'!$C$269*('STS Calculation Summary'!D29-'STS Calculation Summary'!J29)/365</f>
        <v>61.482091064542736</v>
      </c>
      <c r="AA29" s="323">
        <f t="shared" si="18"/>
        <v>11.220481619279049</v>
      </c>
      <c r="AB29" s="310">
        <f>L29*1440*'STS Design Calcs'!$C$284</f>
        <v>63.522610861004864</v>
      </c>
      <c r="AC29" s="310">
        <f t="shared" si="19"/>
        <v>11.592876482133388</v>
      </c>
      <c r="AD29" s="114">
        <f>H29*'STS Design Calcs'!$C$343</f>
        <v>9467.6260457901008</v>
      </c>
      <c r="AE29" s="114">
        <f>H29*'STS Design Calcs'!$C$352</f>
        <v>3155.8753485967009</v>
      </c>
      <c r="AF29" s="309">
        <f>H29*'STS Design Calcs'!$C$309</f>
        <v>3053.0228576388345</v>
      </c>
      <c r="AG29" s="309">
        <f>H29*'STS Design Calcs'!$C$317</f>
        <v>3053.0228576388345</v>
      </c>
      <c r="AH29" s="114">
        <f>H29*'STS Design Calcs'!$C$326</f>
        <v>508.83714293980574</v>
      </c>
      <c r="AI29" s="319">
        <f>H29*'STS Design Calcs'!$C$334</f>
        <v>508.83714293980574</v>
      </c>
      <c r="AJ29" s="321">
        <f>'STS Design Calcs'!$C$381*H29</f>
        <v>881335.30535226769</v>
      </c>
      <c r="AK29" s="321">
        <f>'STS Design Calcs'!$C$390*D29</f>
        <v>207322.74751993554</v>
      </c>
      <c r="AL29" s="322">
        <f t="shared" si="0"/>
        <v>1088658.0528722033</v>
      </c>
    </row>
    <row r="30" spans="1:38" s="94" customFormat="1" ht="12.5" x14ac:dyDescent="0.25">
      <c r="A30" s="113">
        <v>20</v>
      </c>
      <c r="B30" s="343">
        <v>451.47096606737404</v>
      </c>
      <c r="C30" s="343">
        <v>323.33245522498976</v>
      </c>
      <c r="D30" s="309">
        <f t="shared" si="9"/>
        <v>666.34942249617802</v>
      </c>
      <c r="E30" s="309">
        <f>3*U30/'STS Design Calcs'!$I$97/'STS Design Calcs'!$L$97/'STS Design Calcs'!$O$97/'STS Design Calcs'!$R$97</f>
        <v>54.829153240435346</v>
      </c>
      <c r="F30" s="309">
        <f t="shared" si="10"/>
        <v>373.15567659785972</v>
      </c>
      <c r="G30" s="309">
        <f t="shared" si="11"/>
        <v>293.19374589831835</v>
      </c>
      <c r="H30" s="309">
        <f t="shared" si="12"/>
        <v>696.48813182284948</v>
      </c>
      <c r="I30" s="309">
        <f t="shared" si="13"/>
        <v>536.2958615035941</v>
      </c>
      <c r="J30" s="309">
        <f t="shared" si="1"/>
        <v>160.19227031925539</v>
      </c>
      <c r="K30" s="309">
        <v>160.04930318836875</v>
      </c>
      <c r="L30" s="309">
        <f t="shared" si="14"/>
        <v>774.80342129236374</v>
      </c>
      <c r="M30" s="114">
        <v>3669.5</v>
      </c>
      <c r="N30" s="114">
        <v>1100</v>
      </c>
      <c r="O30" s="114">
        <f t="shared" si="3"/>
        <v>4265.6594606515428</v>
      </c>
      <c r="P30" s="114">
        <v>1600</v>
      </c>
      <c r="Q30" s="114">
        <f t="shared" si="4"/>
        <v>1367.8837294910081</v>
      </c>
      <c r="R30" s="114">
        <f t="shared" si="5"/>
        <v>5947.320563004384</v>
      </c>
      <c r="S30" s="309">
        <f t="shared" si="6"/>
        <v>375.70000000000005</v>
      </c>
      <c r="T30" s="114">
        <f>O30*'STS Design Calcs'!$C$147*(J30+B30)*3.785*1440/454000</f>
        <v>65517.401564282489</v>
      </c>
      <c r="U30" s="114">
        <v>65298.88971000295</v>
      </c>
      <c r="V30" s="114">
        <f t="shared" si="15"/>
        <v>131034.80312856498</v>
      </c>
      <c r="W30" s="114">
        <f t="shared" si="16"/>
        <v>17713.964126639341</v>
      </c>
      <c r="X30" s="114">
        <f>O30*'STS Design Calcs'!$C$224*('STS Calculation Summary'!D30-J30)*3.785*1440/454000</f>
        <v>13605.702954003096</v>
      </c>
      <c r="Y30" s="114">
        <f t="shared" si="17"/>
        <v>2483.0407891055652</v>
      </c>
      <c r="Z30" s="114">
        <f>'STS Design Calcs'!$C$269*('STS Calculation Summary'!D30-'STS Calculation Summary'!J30)/365</f>
        <v>60.819200666338155</v>
      </c>
      <c r="AA30" s="323">
        <f t="shared" si="18"/>
        <v>11.099504121606714</v>
      </c>
      <c r="AB30" s="310">
        <f>L30*1440*'STS Design Calcs'!$C$284</f>
        <v>61.855346414086057</v>
      </c>
      <c r="AC30" s="310">
        <f t="shared" si="19"/>
        <v>11.288600720570704</v>
      </c>
      <c r="AD30" s="114">
        <f>H30*'STS Design Calcs'!$C$343</f>
        <v>9163.9596792053526</v>
      </c>
      <c r="AE30" s="114">
        <f>H30*'STS Design Calcs'!$C$352</f>
        <v>3054.6532264017842</v>
      </c>
      <c r="AF30" s="309">
        <f>H30*'STS Design Calcs'!$C$309</f>
        <v>2955.099645019804</v>
      </c>
      <c r="AG30" s="309">
        <f>H30*'STS Design Calcs'!$C$317</f>
        <v>2955.099645019804</v>
      </c>
      <c r="AH30" s="114">
        <f>H30*'STS Design Calcs'!$C$326</f>
        <v>492.51660750330075</v>
      </c>
      <c r="AI30" s="319">
        <f>H30*'STS Design Calcs'!$C$334</f>
        <v>492.51660750330075</v>
      </c>
      <c r="AJ30" s="321">
        <f>'STS Design Calcs'!$C$381*H30</f>
        <v>853067.19583624089</v>
      </c>
      <c r="AK30" s="321">
        <f>'STS Design Calcs'!$C$390*D30</f>
        <v>204008.55557487416</v>
      </c>
      <c r="AL30" s="322">
        <f t="shared" si="0"/>
        <v>1057075.7514111151</v>
      </c>
    </row>
    <row r="31" spans="1:38" s="94" customFormat="1" ht="12.5" x14ac:dyDescent="0.25">
      <c r="A31" s="113">
        <v>21</v>
      </c>
      <c r="B31" s="343">
        <v>447.60421889509286</v>
      </c>
      <c r="C31" s="343">
        <v>307.16583246374023</v>
      </c>
      <c r="D31" s="309">
        <f t="shared" si="9"/>
        <v>655.79212784920048</v>
      </c>
      <c r="E31" s="309">
        <f>3*U31/'STS Design Calcs'!$I$97/'STS Design Calcs'!$L$97/'STS Design Calcs'!$O$97/'STS Design Calcs'!$R$97</f>
        <v>53.196397161464908</v>
      </c>
      <c r="F31" s="309">
        <f t="shared" si="10"/>
        <v>367.24359159555229</v>
      </c>
      <c r="G31" s="309">
        <f t="shared" si="11"/>
        <v>288.54853625364819</v>
      </c>
      <c r="H31" s="309">
        <f t="shared" si="12"/>
        <v>674.40942405929252</v>
      </c>
      <c r="I31" s="309">
        <f t="shared" si="13"/>
        <v>519.2952565256553</v>
      </c>
      <c r="J31" s="309">
        <f t="shared" si="1"/>
        <v>155.11416753363721</v>
      </c>
      <c r="K31" s="309">
        <v>154.99151179264265</v>
      </c>
      <c r="L31" s="309">
        <f t="shared" si="14"/>
        <v>754.77005135883314</v>
      </c>
      <c r="M31" s="114">
        <v>3587</v>
      </c>
      <c r="N31" s="114">
        <v>1100</v>
      </c>
      <c r="O31" s="114">
        <f t="shared" si="3"/>
        <v>4198.9953698062809</v>
      </c>
      <c r="P31" s="114">
        <v>1600</v>
      </c>
      <c r="Q31" s="114">
        <f t="shared" si="4"/>
        <v>1372.2705069756446</v>
      </c>
      <c r="R31" s="114">
        <f t="shared" si="5"/>
        <v>5966.3935085897601</v>
      </c>
      <c r="S31" s="309">
        <f t="shared" si="6"/>
        <v>375.69999999999987</v>
      </c>
      <c r="T31" s="114">
        <f>O31*'STS Design Calcs'!$C$147*(J31+B31)*3.785*1440/454000</f>
        <v>63550.34914868082</v>
      </c>
      <c r="U31" s="114">
        <v>63354.355592240943</v>
      </c>
      <c r="V31" s="114">
        <f t="shared" si="15"/>
        <v>127100.69829736164</v>
      </c>
      <c r="W31" s="114">
        <f t="shared" si="16"/>
        <v>17182.131436495187</v>
      </c>
      <c r="X31" s="114">
        <f>O31*'STS Design Calcs'!$C$224*('STS Calculation Summary'!D31-J31)*3.785*1440/454000</f>
        <v>13248.090785114389</v>
      </c>
      <c r="Y31" s="114">
        <f t="shared" si="17"/>
        <v>2417.776568283376</v>
      </c>
      <c r="Z31" s="114">
        <f>'STS Design Calcs'!$C$269*('STS Calculation Summary'!D31-'STS Calculation Summary'!J31)/365</f>
        <v>60.160827929981167</v>
      </c>
      <c r="AA31" s="323">
        <f t="shared" si="18"/>
        <v>10.979351097221564</v>
      </c>
      <c r="AB31" s="310">
        <f>L31*1440*'STS Design Calcs'!$C$284</f>
        <v>60.256010372160539</v>
      </c>
      <c r="AC31" s="310">
        <f t="shared" si="19"/>
        <v>10.996721892919298</v>
      </c>
      <c r="AD31" s="114">
        <f>H31*'STS Design Calcs'!$C$343</f>
        <v>8873.4617102239426</v>
      </c>
      <c r="AE31" s="114">
        <f>H31*'STS Design Calcs'!$C$352</f>
        <v>2957.820570074648</v>
      </c>
      <c r="AF31" s="309">
        <f>H31*'STS Design Calcs'!$C$309</f>
        <v>2861.422842080141</v>
      </c>
      <c r="AG31" s="309">
        <f>H31*'STS Design Calcs'!$C$317</f>
        <v>2861.422842080141</v>
      </c>
      <c r="AH31" s="114">
        <f>H31*'STS Design Calcs'!$C$326</f>
        <v>476.90380701335687</v>
      </c>
      <c r="AI31" s="319">
        <f>H31*'STS Design Calcs'!$C$334</f>
        <v>476.90380701335687</v>
      </c>
      <c r="AJ31" s="321">
        <f>'STS Design Calcs'!$C$381*H31</f>
        <v>826024.92410326621</v>
      </c>
      <c r="AK31" s="321">
        <f>'STS Design Calcs'!$C$390*D31</f>
        <v>200776.34982966608</v>
      </c>
      <c r="AL31" s="322">
        <f t="shared" si="0"/>
        <v>1026801.2739329323</v>
      </c>
    </row>
    <row r="32" spans="1:38" s="94" customFormat="1" ht="12.5" x14ac:dyDescent="0.25">
      <c r="A32" s="113">
        <v>22</v>
      </c>
      <c r="B32" s="343">
        <v>443.73747172281173</v>
      </c>
      <c r="C32" s="343">
        <v>293.15000000000003</v>
      </c>
      <c r="D32" s="309">
        <f t="shared" si="9"/>
        <v>645.77054378729974</v>
      </c>
      <c r="E32" s="309">
        <f>3*U32/'STS Design Calcs'!$I$97/'STS Design Calcs'!$L$97/'STS Design Calcs'!$O$97/'STS Design Calcs'!$R$97</f>
        <v>51.632804813221234</v>
      </c>
      <c r="F32" s="309">
        <f t="shared" si="10"/>
        <v>361.63150452088792</v>
      </c>
      <c r="G32" s="309">
        <f t="shared" si="11"/>
        <v>284.13903926641188</v>
      </c>
      <c r="H32" s="309">
        <f t="shared" si="12"/>
        <v>654.78150452088789</v>
      </c>
      <c r="I32" s="309">
        <f t="shared" si="13"/>
        <v>504.1817584810837</v>
      </c>
      <c r="J32" s="309">
        <f t="shared" si="1"/>
        <v>150.59974603980419</v>
      </c>
      <c r="K32" s="309">
        <v>150.40026725126683</v>
      </c>
      <c r="L32" s="309">
        <f t="shared" si="14"/>
        <v>736.88747172281182</v>
      </c>
      <c r="M32" s="114">
        <v>3504.5</v>
      </c>
      <c r="N32" s="114">
        <v>1100</v>
      </c>
      <c r="O32" s="114">
        <f t="shared" si="3"/>
        <v>4131.9708967766737</v>
      </c>
      <c r="P32" s="114">
        <v>1600</v>
      </c>
      <c r="Q32" s="114">
        <f t="shared" si="4"/>
        <v>1376.1467008643583</v>
      </c>
      <c r="R32" s="114">
        <f t="shared" si="5"/>
        <v>5983.2465254972112</v>
      </c>
      <c r="S32" s="309">
        <f t="shared" si="6"/>
        <v>375.69999999999993</v>
      </c>
      <c r="T32" s="114">
        <f>O32*'STS Design Calcs'!$C$147*(J32+B32)*3.785*1440/454000</f>
        <v>61666.356008848234</v>
      </c>
      <c r="U32" s="114">
        <v>61492.192157915444</v>
      </c>
      <c r="V32" s="114">
        <f t="shared" si="15"/>
        <v>123332.71201769647</v>
      </c>
      <c r="W32" s="114">
        <f t="shared" si="16"/>
        <v>16672.755513503413</v>
      </c>
      <c r="X32" s="114">
        <f>O32*'STS Design Calcs'!$C$224*('STS Calculation Summary'!D32-J32)*3.785*1440/454000</f>
        <v>12893.229228794493</v>
      </c>
      <c r="Y32" s="114">
        <f t="shared" si="17"/>
        <v>2353.014334254995</v>
      </c>
      <c r="Z32" s="114">
        <f>'STS Design Calcs'!$C$269*('STS Calculation Summary'!D32-'STS Calculation Summary'!J32)/365</f>
        <v>59.499094269024461</v>
      </c>
      <c r="AA32" s="323">
        <f t="shared" si="18"/>
        <v>10.858584704096964</v>
      </c>
      <c r="AB32" s="310">
        <f>L32*1440*'STS Design Calcs'!$C$284</f>
        <v>58.828379662530274</v>
      </c>
      <c r="AC32" s="310">
        <f t="shared" si="19"/>
        <v>10.736179288411774</v>
      </c>
      <c r="AD32" s="114">
        <f>H32*'STS Design Calcs'!$C$343</f>
        <v>8615.2096955544712</v>
      </c>
      <c r="AE32" s="114">
        <f>H32*'STS Design Calcs'!$C$352</f>
        <v>2871.736565184824</v>
      </c>
      <c r="AF32" s="309">
        <f>H32*'STS Design Calcs'!$C$309</f>
        <v>2778.1443834671959</v>
      </c>
      <c r="AG32" s="309">
        <f>H32*'STS Design Calcs'!$C$317</f>
        <v>2778.1443834671959</v>
      </c>
      <c r="AH32" s="114">
        <f>H32*'STS Design Calcs'!$C$326</f>
        <v>463.02406391119933</v>
      </c>
      <c r="AI32" s="319">
        <f>H32*'STS Design Calcs'!$C$334</f>
        <v>463.02406391119933</v>
      </c>
      <c r="AJ32" s="321">
        <f>'STS Design Calcs'!$C$381*H32</f>
        <v>801984.40781061386</v>
      </c>
      <c r="AK32" s="321">
        <f>'STS Design Calcs'!$C$390*D32</f>
        <v>197708.1564464081</v>
      </c>
      <c r="AL32" s="322">
        <f t="shared" si="0"/>
        <v>999692.56425702199</v>
      </c>
    </row>
    <row r="33" spans="1:38" s="94" customFormat="1" ht="12.5" x14ac:dyDescent="0.25">
      <c r="A33" s="113">
        <v>23</v>
      </c>
      <c r="B33" s="343">
        <v>439.87072455053055</v>
      </c>
      <c r="C33" s="343">
        <v>293.15000000000003</v>
      </c>
      <c r="D33" s="309">
        <f t="shared" si="9"/>
        <v>640.16222644006257</v>
      </c>
      <c r="E33" s="309">
        <f>3*U33/'STS Design Calcs'!$I$97/'STS Design Calcs'!$L$97/'STS Design Calcs'!$O$97/'STS Design Calcs'!$R$97</f>
        <v>50.497798190273734</v>
      </c>
      <c r="F33" s="309">
        <f t="shared" si="10"/>
        <v>358.49084680643506</v>
      </c>
      <c r="G33" s="309">
        <f t="shared" si="11"/>
        <v>281.67137963362751</v>
      </c>
      <c r="H33" s="309">
        <f t="shared" si="12"/>
        <v>651.64084680643509</v>
      </c>
      <c r="I33" s="309">
        <f t="shared" si="13"/>
        <v>501.76345204095503</v>
      </c>
      <c r="J33" s="309">
        <f t="shared" si="1"/>
        <v>149.87739476548006</v>
      </c>
      <c r="K33" s="309">
        <v>149.79370369925823</v>
      </c>
      <c r="L33" s="309">
        <f t="shared" si="14"/>
        <v>733.02072455053053</v>
      </c>
      <c r="M33" s="114">
        <v>3422</v>
      </c>
      <c r="N33" s="114">
        <v>1100</v>
      </c>
      <c r="O33" s="114">
        <f t="shared" si="3"/>
        <v>4071.4472631932786</v>
      </c>
      <c r="P33" s="114">
        <v>1600</v>
      </c>
      <c r="Q33" s="114">
        <f t="shared" si="4"/>
        <v>1375.0678142440956</v>
      </c>
      <c r="R33" s="114">
        <f t="shared" si="5"/>
        <v>5978.5557141047648</v>
      </c>
      <c r="S33" s="309">
        <f t="shared" si="6"/>
        <v>375.69999999999993</v>
      </c>
      <c r="T33" s="114">
        <f>O33*'STS Design Calcs'!$C$147*(J33+B33)*3.785*1440/454000</f>
        <v>60293.914871016328</v>
      </c>
      <c r="U33" s="114">
        <v>60140.453750302884</v>
      </c>
      <c r="V33" s="114">
        <f t="shared" si="15"/>
        <v>120587.82974203266</v>
      </c>
      <c r="W33" s="114">
        <f t="shared" si="16"/>
        <v>16301.688094756266</v>
      </c>
      <c r="X33" s="114">
        <f>O33*'STS Design Calcs'!$C$224*('STS Calculation Summary'!D33-J33)*3.785*1440/454000</f>
        <v>12579.016785313335</v>
      </c>
      <c r="Y33" s="114">
        <f t="shared" si="17"/>
        <v>2295.6705633196834</v>
      </c>
      <c r="Z33" s="114">
        <f>'STS Design Calcs'!$C$269*('STS Calculation Summary'!D33-'STS Calculation Summary'!J33)/365</f>
        <v>58.91200279010458</v>
      </c>
      <c r="AA33" s="323">
        <f t="shared" si="18"/>
        <v>10.751440509194087</v>
      </c>
      <c r="AB33" s="310">
        <f>L33*1440*'STS Design Calcs'!$C$284</f>
        <v>58.519683315477238</v>
      </c>
      <c r="AC33" s="310">
        <f t="shared" si="19"/>
        <v>10.679842205074596</v>
      </c>
      <c r="AD33" s="114">
        <f>H33*'STS Design Calcs'!$C$343</f>
        <v>8573.8868655643819</v>
      </c>
      <c r="AE33" s="114">
        <f>H33*'STS Design Calcs'!$C$352</f>
        <v>2857.9622885214608</v>
      </c>
      <c r="AF33" s="309">
        <f>H33*'STS Design Calcs'!$C$309</f>
        <v>2764.8190214501606</v>
      </c>
      <c r="AG33" s="309">
        <f>H33*'STS Design Calcs'!$C$317</f>
        <v>2764.8190214501606</v>
      </c>
      <c r="AH33" s="114">
        <f>H33*'STS Design Calcs'!$C$326</f>
        <v>460.80317024169341</v>
      </c>
      <c r="AI33" s="319">
        <f>H33*'STS Design Calcs'!$C$334</f>
        <v>460.80317024169341</v>
      </c>
      <c r="AJ33" s="321">
        <f>'STS Design Calcs'!$C$381*H33</f>
        <v>798137.69176889502</v>
      </c>
      <c r="AK33" s="321">
        <f>'STS Design Calcs'!$C$390*D33</f>
        <v>195991.12228596816</v>
      </c>
      <c r="AL33" s="322">
        <f t="shared" si="0"/>
        <v>994128.81405486318</v>
      </c>
    </row>
    <row r="34" spans="1:38" s="94" customFormat="1" ht="12.5" x14ac:dyDescent="0.25">
      <c r="A34" s="113">
        <v>24</v>
      </c>
      <c r="B34" s="343">
        <v>436.00397737824937</v>
      </c>
      <c r="C34" s="343">
        <v>293.15000000000003</v>
      </c>
      <c r="D34" s="309">
        <f t="shared" si="9"/>
        <v>634.45091004602614</v>
      </c>
      <c r="E34" s="309">
        <f>3*U34/'STS Design Calcs'!$I$97/'STS Design Calcs'!$L$97/'STS Design Calcs'!$O$97/'STS Design Calcs'!$R$97</f>
        <v>49.370015273312283</v>
      </c>
      <c r="F34" s="309">
        <f t="shared" si="10"/>
        <v>355.2925096257747</v>
      </c>
      <c r="G34" s="309">
        <f t="shared" si="11"/>
        <v>279.1584004202515</v>
      </c>
      <c r="H34" s="309">
        <f t="shared" si="12"/>
        <v>648.44250962577473</v>
      </c>
      <c r="I34" s="309">
        <f t="shared" si="13"/>
        <v>499.30073241184658</v>
      </c>
      <c r="J34" s="309">
        <f t="shared" si="1"/>
        <v>149.14177721392815</v>
      </c>
      <c r="K34" s="309">
        <v>149.07691739446443</v>
      </c>
      <c r="L34" s="309">
        <f t="shared" si="14"/>
        <v>729.15397737824946</v>
      </c>
      <c r="M34" s="114">
        <v>3339.5</v>
      </c>
      <c r="N34" s="114">
        <v>1100</v>
      </c>
      <c r="O34" s="114">
        <f t="shared" si="3"/>
        <v>4010.6946981832575</v>
      </c>
      <c r="P34" s="114">
        <v>1600</v>
      </c>
      <c r="Q34" s="114">
        <f t="shared" si="4"/>
        <v>1373.9583728330974</v>
      </c>
      <c r="R34" s="114">
        <f t="shared" si="5"/>
        <v>5973.7320557960766</v>
      </c>
      <c r="S34" s="309">
        <f t="shared" si="6"/>
        <v>375.69999999999987</v>
      </c>
      <c r="T34" s="114">
        <f>O34*'STS Design Calcs'!$C$147*(J34+B34)*3.785*1440/454000</f>
        <v>58930.722730761794</v>
      </c>
      <c r="U34" s="114">
        <v>58797.318429781801</v>
      </c>
      <c r="V34" s="114">
        <f t="shared" si="15"/>
        <v>117861.44546152359</v>
      </c>
      <c r="W34" s="114">
        <f t="shared" si="16"/>
        <v>15933.121330909671</v>
      </c>
      <c r="X34" s="114">
        <f>O34*'STS Design Calcs'!$C$224*('STS Calculation Summary'!D34-J34)*3.785*1440/454000</f>
        <v>12265.563172012877</v>
      </c>
      <c r="Y34" s="114">
        <f t="shared" si="17"/>
        <v>2238.4652788923499</v>
      </c>
      <c r="Z34" s="114">
        <f>'STS Design Calcs'!$C$269*('STS Calculation Summary'!D34-'STS Calculation Summary'!J34)/365</f>
        <v>58.314129135539389</v>
      </c>
      <c r="AA34" s="323">
        <f t="shared" si="18"/>
        <v>10.642328567235937</v>
      </c>
      <c r="AB34" s="310">
        <f>L34*1440*'STS Design Calcs'!$C$284</f>
        <v>58.21098696842423</v>
      </c>
      <c r="AC34" s="310">
        <f t="shared" si="19"/>
        <v>10.623505121737422</v>
      </c>
      <c r="AD34" s="114">
        <f>H34*'STS Design Calcs'!$C$343</f>
        <v>8531.8051248642696</v>
      </c>
      <c r="AE34" s="114">
        <f>H34*'STS Design Calcs'!$C$352</f>
        <v>2843.9350416214234</v>
      </c>
      <c r="AF34" s="309">
        <f>H34*'STS Design Calcs'!$C$309</f>
        <v>2751.2489336979302</v>
      </c>
      <c r="AG34" s="309">
        <f>H34*'STS Design Calcs'!$C$317</f>
        <v>2751.2489336979302</v>
      </c>
      <c r="AH34" s="114">
        <f>H34*'STS Design Calcs'!$C$326</f>
        <v>458.54148894965499</v>
      </c>
      <c r="AI34" s="319">
        <f>H34*'STS Design Calcs'!$C$334</f>
        <v>458.54148894965499</v>
      </c>
      <c r="AJ34" s="321">
        <f>'STS Design Calcs'!$C$381*H34</f>
        <v>794220.32921039173</v>
      </c>
      <c r="AK34" s="321">
        <f>'STS Design Calcs'!$C$390*D34</f>
        <v>194242.55408939984</v>
      </c>
      <c r="AL34" s="322">
        <f t="shared" si="0"/>
        <v>988462.8832997916</v>
      </c>
    </row>
    <row r="35" spans="1:38" s="94" customFormat="1" ht="12.5" x14ac:dyDescent="0.25">
      <c r="A35" s="113">
        <v>25</v>
      </c>
      <c r="B35" s="343">
        <v>432.13723020596819</v>
      </c>
      <c r="C35" s="343">
        <v>266.5</v>
      </c>
      <c r="D35" s="309">
        <f t="shared" si="9"/>
        <v>620.84123350080893</v>
      </c>
      <c r="E35" s="309">
        <f>3*U35/'STS Design Calcs'!$I$97/'STS Design Calcs'!$L$97/'STS Design Calcs'!$O$97/'STS Design Calcs'!$R$97</f>
        <v>47.488035939569542</v>
      </c>
      <c r="F35" s="309">
        <f t="shared" si="10"/>
        <v>347.67109076045301</v>
      </c>
      <c r="G35" s="309">
        <f t="shared" si="11"/>
        <v>273.17014274035591</v>
      </c>
      <c r="H35" s="309">
        <f t="shared" si="12"/>
        <v>614.17109076045301</v>
      </c>
      <c r="I35" s="309">
        <f t="shared" si="13"/>
        <v>472.91173988554885</v>
      </c>
      <c r="J35" s="309">
        <f t="shared" si="1"/>
        <v>141.25935087490416</v>
      </c>
      <c r="K35" s="309">
        <v>141.21596735527123</v>
      </c>
      <c r="L35" s="309">
        <f t="shared" si="14"/>
        <v>698.63723020596819</v>
      </c>
      <c r="M35" s="114">
        <v>3257</v>
      </c>
      <c r="N35" s="114">
        <v>1100</v>
      </c>
      <c r="O35" s="114">
        <f t="shared" si="3"/>
        <v>3935.8528719983983</v>
      </c>
      <c r="P35" s="114">
        <v>1600</v>
      </c>
      <c r="Q35" s="114">
        <f t="shared" si="4"/>
        <v>1383.0409115560733</v>
      </c>
      <c r="R35" s="114">
        <f t="shared" si="5"/>
        <v>6013.2213545916238</v>
      </c>
      <c r="S35" s="309">
        <f t="shared" si="6"/>
        <v>375.69999999999987</v>
      </c>
      <c r="T35" s="114">
        <f>O35*'STS Design Calcs'!$C$147*(J35+B35)*3.785*1440/454000</f>
        <v>56669.849542353208</v>
      </c>
      <c r="U35" s="114">
        <v>56555.971378302223</v>
      </c>
      <c r="V35" s="114">
        <f t="shared" si="15"/>
        <v>113339.69908470642</v>
      </c>
      <c r="W35" s="114">
        <f t="shared" si="16"/>
        <v>15321.848209599202</v>
      </c>
      <c r="X35" s="114">
        <f>O35*'STS Design Calcs'!$C$224*('STS Calculation Summary'!D35-J35)*3.785*1440/454000</f>
        <v>11894.633066449609</v>
      </c>
      <c r="Y35" s="114">
        <f t="shared" si="17"/>
        <v>2170.7705346270536</v>
      </c>
      <c r="Z35" s="114">
        <f>'STS Design Calcs'!$C$269*('STS Calculation Summary'!D35-'STS Calculation Summary'!J35)/365</f>
        <v>57.625950023461883</v>
      </c>
      <c r="AA35" s="323">
        <f t="shared" si="18"/>
        <v>10.516735879281795</v>
      </c>
      <c r="AB35" s="310">
        <f>L35*1440*'STS Design Calcs'!$C$284</f>
        <v>55.774725181371181</v>
      </c>
      <c r="AC35" s="310">
        <f t="shared" si="19"/>
        <v>10.17888734560024</v>
      </c>
      <c r="AD35" s="114">
        <f>H35*'STS Design Calcs'!$C$343</f>
        <v>8080.8830110746167</v>
      </c>
      <c r="AE35" s="114">
        <f>H35*'STS Design Calcs'!$C$352</f>
        <v>2693.6276703582057</v>
      </c>
      <c r="AF35" s="309">
        <f>H35*'STS Design Calcs'!$C$309</f>
        <v>2605.8401993693506</v>
      </c>
      <c r="AG35" s="309">
        <f>H35*'STS Design Calcs'!$C$317</f>
        <v>2605.8401993693506</v>
      </c>
      <c r="AH35" s="114">
        <f>H35*'STS Design Calcs'!$C$326</f>
        <v>434.30669989489178</v>
      </c>
      <c r="AI35" s="319">
        <f>H35*'STS Design Calcs'!$C$334</f>
        <v>434.30669989489178</v>
      </c>
      <c r="AJ35" s="321">
        <f>'STS Design Calcs'!$C$381*H35</f>
        <v>752244.27555926458</v>
      </c>
      <c r="AK35" s="321">
        <f>'STS Design Calcs'!$C$390*D35</f>
        <v>190075.83560793087</v>
      </c>
      <c r="AL35" s="322">
        <f t="shared" si="0"/>
        <v>942320.11116719549</v>
      </c>
    </row>
    <row r="36" spans="1:38" s="94" customFormat="1" ht="12.5" x14ac:dyDescent="0.25">
      <c r="A36" s="113">
        <v>26</v>
      </c>
      <c r="B36" s="343">
        <v>428.27048303368701</v>
      </c>
      <c r="C36" s="343">
        <v>266.5</v>
      </c>
      <c r="D36" s="309">
        <f t="shared" si="9"/>
        <v>615.04743618841212</v>
      </c>
      <c r="E36" s="309">
        <f>3*U36/'STS Design Calcs'!$I$97/'STS Design Calcs'!$L$97/'STS Design Calcs'!$O$97/'STS Design Calcs'!$R$97</f>
        <v>46.288558477016394</v>
      </c>
      <c r="F36" s="309">
        <f t="shared" si="10"/>
        <v>344.42656426551082</v>
      </c>
      <c r="G36" s="309">
        <f t="shared" si="11"/>
        <v>270.62087192290136</v>
      </c>
      <c r="H36" s="309">
        <f t="shared" si="12"/>
        <v>610.92656426551071</v>
      </c>
      <c r="I36" s="309">
        <f t="shared" si="13"/>
        <v>470.41345448444326</v>
      </c>
      <c r="J36" s="309">
        <f t="shared" si="1"/>
        <v>140.51310978106744</v>
      </c>
      <c r="K36" s="309">
        <v>140.4883946777087</v>
      </c>
      <c r="L36" s="309">
        <f t="shared" si="14"/>
        <v>694.77048303368701</v>
      </c>
      <c r="M36" s="114">
        <v>3163.8571428571427</v>
      </c>
      <c r="N36" s="114">
        <v>1100</v>
      </c>
      <c r="O36" s="114">
        <f t="shared" si="3"/>
        <v>3866.4374698162087</v>
      </c>
      <c r="P36" s="114">
        <v>1600</v>
      </c>
      <c r="Q36" s="114">
        <f t="shared" si="4"/>
        <v>1381.8886789442518</v>
      </c>
      <c r="R36" s="114">
        <f t="shared" si="5"/>
        <v>6008.2116475837038</v>
      </c>
      <c r="S36" s="309">
        <f t="shared" si="6"/>
        <v>375.69999999999987</v>
      </c>
      <c r="T36" s="114">
        <f>O36*'STS Design Calcs'!$C$147*(J36+B36)*3.785*1440/454000</f>
        <v>55222.511730222366</v>
      </c>
      <c r="U36" s="114">
        <v>55127.45129531961</v>
      </c>
      <c r="V36" s="114">
        <f t="shared" si="15"/>
        <v>110445.02346044473</v>
      </c>
      <c r="W36" s="114">
        <f t="shared" si="16"/>
        <v>14930.530949282343</v>
      </c>
      <c r="X36" s="114">
        <f>O36*'STS Design Calcs'!$C$224*('STS Calculation Summary'!D36-J36)*3.785*1440/454000</f>
        <v>11561.8691467546</v>
      </c>
      <c r="Y36" s="114">
        <f t="shared" si="17"/>
        <v>2110.0411192827146</v>
      </c>
      <c r="Z36" s="114">
        <f>'STS Design Calcs'!$C$269*('STS Calculation Summary'!D36-'STS Calculation Summary'!J36)/365</f>
        <v>57.019442077834896</v>
      </c>
      <c r="AA36" s="323">
        <f t="shared" si="18"/>
        <v>10.406048179204868</v>
      </c>
      <c r="AB36" s="310">
        <f>L36*1440*'STS Design Calcs'!$C$284</f>
        <v>55.466028834318159</v>
      </c>
      <c r="AC36" s="310">
        <f t="shared" si="19"/>
        <v>10.122550262263065</v>
      </c>
      <c r="AD36" s="114">
        <f>H36*'STS Design Calcs'!$C$343</f>
        <v>8038.1935399705671</v>
      </c>
      <c r="AE36" s="114">
        <f>H36*'STS Design Calcs'!$C$352</f>
        <v>2679.397846656856</v>
      </c>
      <c r="AF36" s="309">
        <f>H36*'STS Design Calcs'!$C$309</f>
        <v>2592.0741369550956</v>
      </c>
      <c r="AG36" s="309">
        <f>H36*'STS Design Calcs'!$C$317</f>
        <v>2592.0741369550956</v>
      </c>
      <c r="AH36" s="114">
        <f>H36*'STS Design Calcs'!$C$326</f>
        <v>432.01235615918262</v>
      </c>
      <c r="AI36" s="319">
        <f>H36*'STS Design Calcs'!$C$334</f>
        <v>432.01235615918262</v>
      </c>
      <c r="AJ36" s="321">
        <f>'STS Design Calcs'!$C$381*H36</f>
        <v>748270.33976280969</v>
      </c>
      <c r="AK36" s="321">
        <f>'STS Design Calcs'!$C$390*D36</f>
        <v>188302.01517514969</v>
      </c>
      <c r="AL36" s="322">
        <f t="shared" si="0"/>
        <v>936572.35493795935</v>
      </c>
    </row>
    <row r="37" spans="1:38" s="94" customFormat="1" ht="12.5" x14ac:dyDescent="0.25">
      <c r="A37" s="113">
        <v>27</v>
      </c>
      <c r="B37" s="343">
        <v>424.40373586140583</v>
      </c>
      <c r="C37" s="343">
        <v>266.5</v>
      </c>
      <c r="D37" s="309">
        <f t="shared" si="9"/>
        <v>609.27129726574833</v>
      </c>
      <c r="E37" s="309">
        <f>3*U37/'STS Design Calcs'!$I$97/'STS Design Calcs'!$L$97/'STS Design Calcs'!$O$97/'STS Design Calcs'!$R$97</f>
        <v>45.10449953162744</v>
      </c>
      <c r="F37" s="309">
        <f t="shared" si="10"/>
        <v>341.19192646881908</v>
      </c>
      <c r="G37" s="309">
        <f t="shared" si="11"/>
        <v>268.07937079692925</v>
      </c>
      <c r="H37" s="309">
        <f t="shared" si="12"/>
        <v>607.69192646881902</v>
      </c>
      <c r="I37" s="309">
        <f t="shared" si="13"/>
        <v>467.92278338099067</v>
      </c>
      <c r="J37" s="309">
        <f t="shared" si="1"/>
        <v>139.76914308782835</v>
      </c>
      <c r="K37" s="309">
        <v>139.76306187271507</v>
      </c>
      <c r="L37" s="309">
        <f t="shared" si="14"/>
        <v>690.90373586140583</v>
      </c>
      <c r="M37" s="114">
        <v>3070.7142857142858</v>
      </c>
      <c r="N37" s="114">
        <v>1100</v>
      </c>
      <c r="O37" s="114">
        <f t="shared" si="3"/>
        <v>3797.1805484526899</v>
      </c>
      <c r="P37" s="114">
        <v>1600</v>
      </c>
      <c r="Q37" s="114">
        <f t="shared" si="4"/>
        <v>1380.7277105452263</v>
      </c>
      <c r="R37" s="114">
        <f t="shared" si="5"/>
        <v>6003.163958892289</v>
      </c>
      <c r="S37" s="309">
        <f t="shared" si="6"/>
        <v>375.7</v>
      </c>
      <c r="T37" s="114">
        <f>O37*'STS Design Calcs'!$C$147*(J37+B37)*3.785*1440/454000</f>
        <v>53793.717421379384</v>
      </c>
      <c r="U37" s="114">
        <v>53717.29392619076</v>
      </c>
      <c r="V37" s="114">
        <f t="shared" si="15"/>
        <v>107587.43484275877</v>
      </c>
      <c r="W37" s="114">
        <f t="shared" si="16"/>
        <v>14544.227302817389</v>
      </c>
      <c r="X37" s="114">
        <f>O37*'STS Design Calcs'!$C$224*('STS Calculation Summary'!D37-J37)*3.785*1440/454000</f>
        <v>11234.358077112594</v>
      </c>
      <c r="Y37" s="114">
        <f t="shared" si="17"/>
        <v>2050.2703490730482</v>
      </c>
      <c r="Z37" s="114">
        <f>'STS Design Calcs'!$C$269*('STS Calculation Summary'!D37-'STS Calculation Summary'!J37)/365</f>
        <v>56.414782652807204</v>
      </c>
      <c r="AA37" s="323">
        <f t="shared" si="18"/>
        <v>10.295697834137314</v>
      </c>
      <c r="AB37" s="310">
        <f>L37*1440*'STS Design Calcs'!$C$284</f>
        <v>55.15733248726513</v>
      </c>
      <c r="AC37" s="310">
        <f t="shared" si="19"/>
        <v>10.066213178925885</v>
      </c>
      <c r="AD37" s="114">
        <f>H37*'STS Design Calcs'!$C$343</f>
        <v>7995.6341782365243</v>
      </c>
      <c r="AE37" s="114">
        <f>H37*'STS Design Calcs'!$C$352</f>
        <v>2665.2113927455084</v>
      </c>
      <c r="AF37" s="309">
        <f>H37*'STS Design Calcs'!$C$309</f>
        <v>2578.3500308748467</v>
      </c>
      <c r="AG37" s="309">
        <f>H37*'STS Design Calcs'!$C$317</f>
        <v>2578.3500308748467</v>
      </c>
      <c r="AH37" s="114">
        <f>H37*'STS Design Calcs'!$C$326</f>
        <v>429.72500514580776</v>
      </c>
      <c r="AI37" s="319">
        <f>H37*'STS Design Calcs'!$C$334</f>
        <v>429.72500514580776</v>
      </c>
      <c r="AJ37" s="321">
        <f>'STS Design Calcs'!$C$381*H37</f>
        <v>744308.51576510875</v>
      </c>
      <c r="AK37" s="321">
        <f>'STS Design Calcs'!$C$390*D37</f>
        <v>186533.60100890315</v>
      </c>
      <c r="AL37" s="322">
        <f t="shared" si="0"/>
        <v>930842.11677401187</v>
      </c>
    </row>
    <row r="38" spans="1:38" s="94" customFormat="1" ht="12.5" x14ac:dyDescent="0.25">
      <c r="A38" s="113">
        <v>28</v>
      </c>
      <c r="B38" s="343">
        <v>420.53698868912466</v>
      </c>
      <c r="C38" s="343">
        <v>266.5</v>
      </c>
      <c r="D38" s="309">
        <f t="shared" si="9"/>
        <v>603.51107562276388</v>
      </c>
      <c r="E38" s="309">
        <f>3*U38/'STS Design Calcs'!$I$97/'STS Design Calcs'!$L$97/'STS Design Calcs'!$O$97/'STS Design Calcs'!$R$97</f>
        <v>43.934149598780628</v>
      </c>
      <c r="F38" s="309">
        <f t="shared" si="10"/>
        <v>337.9662023487478</v>
      </c>
      <c r="G38" s="309">
        <f t="shared" si="11"/>
        <v>265.54487327401608</v>
      </c>
      <c r="H38" s="309">
        <f t="shared" si="12"/>
        <v>604.46620234874786</v>
      </c>
      <c r="I38" s="309">
        <f t="shared" si="13"/>
        <v>465.43897580853587</v>
      </c>
      <c r="J38" s="309">
        <f t="shared" si="1"/>
        <v>139.02722654021198</v>
      </c>
      <c r="K38" s="309">
        <v>139.03993733485856</v>
      </c>
      <c r="L38" s="309">
        <f t="shared" si="14"/>
        <v>687.03698868912466</v>
      </c>
      <c r="M38" s="114">
        <v>2977.5714285714284</v>
      </c>
      <c r="N38" s="114">
        <v>1100</v>
      </c>
      <c r="O38" s="114">
        <f t="shared" si="3"/>
        <v>3728.0863259968223</v>
      </c>
      <c r="P38" s="114">
        <v>1600</v>
      </c>
      <c r="Q38" s="114">
        <f t="shared" si="4"/>
        <v>1379.5575675162047</v>
      </c>
      <c r="R38" s="114">
        <f t="shared" si="5"/>
        <v>5998.0763805052384</v>
      </c>
      <c r="S38" s="309">
        <f t="shared" si="6"/>
        <v>375.69999999999993</v>
      </c>
      <c r="T38" s="114">
        <f>O38*'STS Design Calcs'!$C$147*(J38+B38)*3.785*1440/454000</f>
        <v>52383.43797881592</v>
      </c>
      <c r="U38" s="114">
        <v>52323.463332966974</v>
      </c>
      <c r="V38" s="114">
        <f t="shared" si="15"/>
        <v>104766.87595763184</v>
      </c>
      <c r="W38" s="114">
        <f t="shared" si="16"/>
        <v>14162.929527605787</v>
      </c>
      <c r="X38" s="114">
        <f>O38*'STS Design Calcs'!$C$224*('STS Calculation Summary'!D38-J38)*3.785*1440/454000</f>
        <v>10912.041350019097</v>
      </c>
      <c r="Y38" s="114">
        <f t="shared" si="17"/>
        <v>1991.4475463784852</v>
      </c>
      <c r="Z38" s="114">
        <f>'STS Design Calcs'!$C$269*('STS Calculation Summary'!D38-'STS Calculation Summary'!J38)/365</f>
        <v>55.811789484998684</v>
      </c>
      <c r="AA38" s="323">
        <f t="shared" si="18"/>
        <v>10.185651581012261</v>
      </c>
      <c r="AB38" s="310">
        <f>L38*1440*'STS Design Calcs'!$C$284</f>
        <v>54.848636140212101</v>
      </c>
      <c r="AC38" s="310">
        <f t="shared" si="19"/>
        <v>10.009876095588709</v>
      </c>
      <c r="AD38" s="114">
        <f>H38*'STS Design Calcs'!$C$343</f>
        <v>7953.1920971414647</v>
      </c>
      <c r="AE38" s="114">
        <f>H38*'STS Design Calcs'!$C$352</f>
        <v>2651.0640323804882</v>
      </c>
      <c r="AF38" s="309">
        <f>H38*'STS Design Calcs'!$C$309</f>
        <v>2564.663744251116</v>
      </c>
      <c r="AG38" s="309">
        <f>H38*'STS Design Calcs'!$C$317</f>
        <v>2564.663744251116</v>
      </c>
      <c r="AH38" s="114">
        <f>H38*'STS Design Calcs'!$C$326</f>
        <v>427.44395737518602</v>
      </c>
      <c r="AI38" s="319">
        <f>H38*'STS Design Calcs'!$C$334</f>
        <v>427.44395737518602</v>
      </c>
      <c r="AJ38" s="321">
        <f>'STS Design Calcs'!$C$381*H38</f>
        <v>740357.60934772517</v>
      </c>
      <c r="AK38" s="321">
        <f>'STS Design Calcs'!$C$390*D38</f>
        <v>184770.06005350727</v>
      </c>
      <c r="AL38" s="322">
        <f t="shared" si="0"/>
        <v>925127.66940123239</v>
      </c>
    </row>
    <row r="39" spans="1:38" s="94" customFormat="1" ht="12.5" x14ac:dyDescent="0.25">
      <c r="A39" s="113">
        <v>29</v>
      </c>
      <c r="B39" s="343">
        <v>416.67024151684348</v>
      </c>
      <c r="C39" s="343">
        <v>266.5</v>
      </c>
      <c r="D39" s="309">
        <f t="shared" si="9"/>
        <v>597.76849066482714</v>
      </c>
      <c r="E39" s="309">
        <f>3*U39/'STS Design Calcs'!$I$97/'STS Design Calcs'!$L$97/'STS Design Calcs'!$O$97/'STS Design Calcs'!$R$97</f>
        <v>42.779217178580183</v>
      </c>
      <c r="F39" s="309">
        <f t="shared" si="10"/>
        <v>334.75035477230324</v>
      </c>
      <c r="G39" s="309">
        <f t="shared" si="11"/>
        <v>263.01813589252396</v>
      </c>
      <c r="H39" s="309">
        <f t="shared" si="12"/>
        <v>601.25035477230313</v>
      </c>
      <c r="I39" s="309">
        <f t="shared" si="13"/>
        <v>462.96277317467343</v>
      </c>
      <c r="J39" s="309">
        <f t="shared" si="1"/>
        <v>138.2875815976297</v>
      </c>
      <c r="K39" s="309">
        <v>138.31903196940351</v>
      </c>
      <c r="L39" s="309">
        <f t="shared" si="14"/>
        <v>683.17024151684348</v>
      </c>
      <c r="M39" s="114">
        <v>2884.4285714285716</v>
      </c>
      <c r="N39" s="114">
        <v>1100</v>
      </c>
      <c r="O39" s="114">
        <f t="shared" si="3"/>
        <v>3659.1600858894963</v>
      </c>
      <c r="P39" s="114">
        <v>1600</v>
      </c>
      <c r="Q39" s="114">
        <f t="shared" si="4"/>
        <v>1378.3785091478865</v>
      </c>
      <c r="R39" s="114">
        <f t="shared" si="5"/>
        <v>5992.95003977342</v>
      </c>
      <c r="S39" s="309">
        <f t="shared" si="6"/>
        <v>375.69999999999993</v>
      </c>
      <c r="T39" s="114">
        <f>O39*'STS Design Calcs'!$C$147*(J39+B39)*3.785*1440/454000</f>
        <v>50991.700220911574</v>
      </c>
      <c r="U39" s="114">
        <v>50947.994257264421</v>
      </c>
      <c r="V39" s="114">
        <f t="shared" si="15"/>
        <v>101983.40044182315</v>
      </c>
      <c r="W39" s="114">
        <f t="shared" si="16"/>
        <v>13786.644874542759</v>
      </c>
      <c r="X39" s="114">
        <f>O39*'STS Design Calcs'!$C$224*('STS Calculation Summary'!D39-J39)*3.785*1440/454000</f>
        <v>10594.935255193181</v>
      </c>
      <c r="Y39" s="114">
        <f t="shared" si="17"/>
        <v>1933.5756840727556</v>
      </c>
      <c r="Z39" s="114">
        <f>'STS Design Calcs'!$C$269*('STS Calculation Summary'!D39-'STS Calculation Summary'!J39)/365</f>
        <v>55.210642565693398</v>
      </c>
      <c r="AA39" s="323">
        <f t="shared" si="18"/>
        <v>10.075942268239045</v>
      </c>
      <c r="AB39" s="310">
        <f>L39*1440*'STS Design Calcs'!$C$284</f>
        <v>54.539939793159078</v>
      </c>
      <c r="AC39" s="310">
        <f t="shared" si="19"/>
        <v>9.9535390122515306</v>
      </c>
      <c r="AD39" s="114">
        <f>H39*'STS Design Calcs'!$C$343</f>
        <v>7910.87996549339</v>
      </c>
      <c r="AE39" s="114">
        <f>H39*'STS Design Calcs'!$C$352</f>
        <v>2636.959988497797</v>
      </c>
      <c r="AF39" s="309">
        <f>H39*'STS Design Calcs'!$C$309</f>
        <v>2551.0193623910577</v>
      </c>
      <c r="AG39" s="309">
        <f>H39*'STS Design Calcs'!$C$317</f>
        <v>2551.0193623910577</v>
      </c>
      <c r="AH39" s="114">
        <f>H39*'STS Design Calcs'!$C$326</f>
        <v>425.16989373184293</v>
      </c>
      <c r="AI39" s="319">
        <f>H39*'STS Design Calcs'!$C$334</f>
        <v>425.16989373184293</v>
      </c>
      <c r="AJ39" s="321">
        <f>'STS Design Calcs'!$C$381*H39</f>
        <v>736418.79984196275</v>
      </c>
      <c r="AK39" s="321">
        <f>'STS Design Calcs'!$C$390*D39</f>
        <v>183011.91871957164</v>
      </c>
      <c r="AL39" s="322">
        <f t="shared" si="0"/>
        <v>919430.71856153442</v>
      </c>
    </row>
    <row r="40" spans="1:38" s="94" customFormat="1" ht="12.5" x14ac:dyDescent="0.25">
      <c r="A40" s="113">
        <v>30</v>
      </c>
      <c r="B40" s="343">
        <v>412.8034943445623</v>
      </c>
      <c r="C40" s="343">
        <v>266.5</v>
      </c>
      <c r="D40" s="309">
        <f t="shared" si="9"/>
        <v>592.04296804874093</v>
      </c>
      <c r="E40" s="309">
        <f>3*U40/'STS Design Calcs'!$I$97/'STS Design Calcs'!$L$97/'STS Design Calcs'!$O$97/'STS Design Calcs'!$R$97</f>
        <v>41.63913281978234</v>
      </c>
      <c r="F40" s="309">
        <f t="shared" si="10"/>
        <v>331.54406210729496</v>
      </c>
      <c r="G40" s="309">
        <f t="shared" si="11"/>
        <v>260.49890594144603</v>
      </c>
      <c r="H40" s="309">
        <f t="shared" si="12"/>
        <v>598.04406210729485</v>
      </c>
      <c r="I40" s="309">
        <f t="shared" si="13"/>
        <v>460.49392782261702</v>
      </c>
      <c r="J40" s="309">
        <f t="shared" si="1"/>
        <v>137.55013428467782</v>
      </c>
      <c r="K40" s="309">
        <v>137.6003408843963</v>
      </c>
      <c r="L40" s="309">
        <f t="shared" si="14"/>
        <v>679.3034943445623</v>
      </c>
      <c r="M40" s="114">
        <v>2791.2857142857142</v>
      </c>
      <c r="N40" s="114">
        <v>1100</v>
      </c>
      <c r="O40" s="114">
        <f t="shared" si="3"/>
        <v>3590.4067081900598</v>
      </c>
      <c r="P40" s="114">
        <v>1600</v>
      </c>
      <c r="Q40" s="114">
        <f t="shared" si="4"/>
        <v>1377.1903302066501</v>
      </c>
      <c r="R40" s="114">
        <f t="shared" si="5"/>
        <v>5987.78404437674</v>
      </c>
      <c r="S40" s="309">
        <f t="shared" si="6"/>
        <v>375.70000000000005</v>
      </c>
      <c r="T40" s="114">
        <f>O40*'STS Design Calcs'!$C$147*(J40+B40)*3.785*1440/454000</f>
        <v>49618.494833110271</v>
      </c>
      <c r="U40" s="114">
        <v>49590.208509985416</v>
      </c>
      <c r="V40" s="114">
        <f t="shared" si="15"/>
        <v>99236.989666220543</v>
      </c>
      <c r="W40" s="114">
        <f t="shared" si="16"/>
        <v>13415.370825248332</v>
      </c>
      <c r="X40" s="114">
        <f>O40*'STS Design Calcs'!$C$224*('STS Calculation Summary'!D40-J40)*3.785*1440/454000</f>
        <v>10283.006539464915</v>
      </c>
      <c r="Y40" s="114">
        <f t="shared" si="17"/>
        <v>1876.6486934523471</v>
      </c>
      <c r="Z40" s="114">
        <f>'STS Design Calcs'!$C$269*('STS Calculation Summary'!D40-'STS Calculation Summary'!J40)/365</f>
        <v>54.611281771332649</v>
      </c>
      <c r="AA40" s="323">
        <f t="shared" si="18"/>
        <v>9.9665589232682095</v>
      </c>
      <c r="AB40" s="310">
        <f>L40*1440*'STS Design Calcs'!$C$284</f>
        <v>54.231243446106049</v>
      </c>
      <c r="AC40" s="310">
        <f t="shared" si="19"/>
        <v>9.8972019289143542</v>
      </c>
      <c r="AD40" s="114">
        <f>H40*'STS Design Calcs'!$C$343</f>
        <v>7868.6935514550514</v>
      </c>
      <c r="AE40" s="114">
        <f>H40*'STS Design Calcs'!$C$352</f>
        <v>2622.8978504850174</v>
      </c>
      <c r="AF40" s="309">
        <f>H40*'STS Design Calcs'!$C$309</f>
        <v>2537.4155206552368</v>
      </c>
      <c r="AG40" s="309">
        <f>H40*'STS Design Calcs'!$C$317</f>
        <v>2537.4155206552368</v>
      </c>
      <c r="AH40" s="114">
        <f>H40*'STS Design Calcs'!$C$326</f>
        <v>422.90258677587281</v>
      </c>
      <c r="AI40" s="319">
        <f>H40*'STS Design Calcs'!$C$334</f>
        <v>422.90258677587281</v>
      </c>
      <c r="AJ40" s="321">
        <f>'STS Design Calcs'!$C$381*H40</f>
        <v>732491.69330877555</v>
      </c>
      <c r="AK40" s="321">
        <f>'STS Design Calcs'!$C$390*D40</f>
        <v>181259.00116703077</v>
      </c>
      <c r="AL40" s="322">
        <f t="shared" si="0"/>
        <v>913750.69447580632</v>
      </c>
    </row>
    <row r="41" spans="1:38" s="94" customFormat="1" ht="12.5" x14ac:dyDescent="0.25">
      <c r="A41" s="113">
        <v>31</v>
      </c>
      <c r="B41" s="343">
        <v>408.93674717228117</v>
      </c>
      <c r="C41" s="343">
        <v>266.5</v>
      </c>
      <c r="D41" s="309">
        <f t="shared" si="9"/>
        <v>586.33452468559085</v>
      </c>
      <c r="E41" s="309">
        <f>3*U41/'STS Design Calcs'!$I$97/'STS Design Calcs'!$L$97/'STS Design Calcs'!$O$97/'STS Design Calcs'!$R$97</f>
        <v>40.513897640504631</v>
      </c>
      <c r="F41" s="309">
        <f t="shared" si="10"/>
        <v>328.34733382393091</v>
      </c>
      <c r="G41" s="309">
        <f t="shared" si="11"/>
        <v>257.98719086166</v>
      </c>
      <c r="H41" s="309">
        <f t="shared" si="12"/>
        <v>594.84733382393085</v>
      </c>
      <c r="I41" s="309">
        <f t="shared" si="13"/>
        <v>458.03244704442676</v>
      </c>
      <c r="J41" s="309">
        <f t="shared" si="1"/>
        <v>136.81488677950409</v>
      </c>
      <c r="K41" s="309">
        <v>136.88387987280504</v>
      </c>
      <c r="L41" s="309">
        <f t="shared" si="14"/>
        <v>675.43674717228123</v>
      </c>
      <c r="M41" s="114">
        <v>2698.1428571428569</v>
      </c>
      <c r="N41" s="114">
        <v>1100</v>
      </c>
      <c r="O41" s="114">
        <f t="shared" si="3"/>
        <v>3521.8314567818124</v>
      </c>
      <c r="P41" s="114">
        <v>1600</v>
      </c>
      <c r="Q41" s="114">
        <f t="shared" si="4"/>
        <v>1375.9929440325259</v>
      </c>
      <c r="R41" s="114">
        <f t="shared" si="5"/>
        <v>5982.5780175327218</v>
      </c>
      <c r="S41" s="309">
        <f t="shared" si="6"/>
        <v>375.7</v>
      </c>
      <c r="T41" s="114">
        <f>O41*'STS Design Calcs'!$C$147*(J41+B41)*3.785*1440/454000</f>
        <v>48263.822806885109</v>
      </c>
      <c r="U41" s="114">
        <v>48250.107422754278</v>
      </c>
      <c r="V41" s="114">
        <f t="shared" si="15"/>
        <v>96527.645613770219</v>
      </c>
      <c r="W41" s="114">
        <f t="shared" si="16"/>
        <v>13049.107647787456</v>
      </c>
      <c r="X41" s="114">
        <f>O41*'STS Design Calcs'!$C$224*('STS Calculation Summary'!D41-J41)*3.785*1440/454000</f>
        <v>9976.2348194684455</v>
      </c>
      <c r="Y41" s="114">
        <f t="shared" si="17"/>
        <v>1820.6628545529911</v>
      </c>
      <c r="Z41" s="114">
        <f>'STS Design Calcs'!$C$269*('STS Calculation Summary'!D41-'STS Calculation Summary'!J41)/365</f>
        <v>54.013708872207552</v>
      </c>
      <c r="AA41" s="323">
        <f t="shared" si="18"/>
        <v>9.8575018691778791</v>
      </c>
      <c r="AB41" s="310">
        <f>L41*1440*'STS Design Calcs'!$C$284</f>
        <v>53.922547099053034</v>
      </c>
      <c r="AC41" s="310">
        <f t="shared" si="19"/>
        <v>9.8408648455771779</v>
      </c>
      <c r="AD41" s="114">
        <f>H41*'STS Design Calcs'!$C$343</f>
        <v>7826.6329796295804</v>
      </c>
      <c r="AE41" s="114">
        <f>H41*'STS Design Calcs'!$C$352</f>
        <v>2608.8776598765271</v>
      </c>
      <c r="AF41" s="309">
        <f>H41*'STS Design Calcs'!$C$309</f>
        <v>2523.8522592243921</v>
      </c>
      <c r="AG41" s="309">
        <f>H41*'STS Design Calcs'!$C$317</f>
        <v>2523.8522592243921</v>
      </c>
      <c r="AH41" s="114">
        <f>H41*'STS Design Calcs'!$C$326</f>
        <v>420.64204320406543</v>
      </c>
      <c r="AI41" s="319">
        <f>H41*'STS Design Calcs'!$C$334</f>
        <v>420.64204320406543</v>
      </c>
      <c r="AJ41" s="321">
        <f>'STS Design Calcs'!$C$381*H41</f>
        <v>728576.30134738982</v>
      </c>
      <c r="AK41" s="321">
        <f>'STS Design Calcs'!$C$390*D41</f>
        <v>179511.31257335769</v>
      </c>
      <c r="AL41" s="322">
        <f t="shared" si="0"/>
        <v>908087.61392074754</v>
      </c>
    </row>
    <row r="42" spans="1:38" s="94" customFormat="1" ht="12.5" x14ac:dyDescent="0.25">
      <c r="A42" s="113">
        <v>32</v>
      </c>
      <c r="B42" s="343">
        <v>405.07</v>
      </c>
      <c r="C42" s="343">
        <v>266.5</v>
      </c>
      <c r="D42" s="309">
        <f t="shared" si="9"/>
        <v>580.64364692116908</v>
      </c>
      <c r="E42" s="309">
        <f>3*U42/'STS Design Calcs'!$I$97/'STS Design Calcs'!$L$97/'STS Design Calcs'!$O$97/'STS Design Calcs'!$R$97</f>
        <v>39.404013218124213</v>
      </c>
      <c r="F42" s="309">
        <f t="shared" si="10"/>
        <v>325.16044227585473</v>
      </c>
      <c r="G42" s="309">
        <f t="shared" si="11"/>
        <v>255.4832046453144</v>
      </c>
      <c r="H42" s="309">
        <f t="shared" si="12"/>
        <v>591.66044227585462</v>
      </c>
      <c r="I42" s="309">
        <f t="shared" si="13"/>
        <v>455.57854055240807</v>
      </c>
      <c r="J42" s="309">
        <f t="shared" si="1"/>
        <v>136.08190172344655</v>
      </c>
      <c r="K42" s="309">
        <v>136.16963370304489</v>
      </c>
      <c r="L42" s="309">
        <f t="shared" si="14"/>
        <v>671.56999999999994</v>
      </c>
      <c r="M42" s="114">
        <v>2605</v>
      </c>
      <c r="N42" s="114">
        <v>1100</v>
      </c>
      <c r="O42" s="114">
        <f t="shared" si="3"/>
        <v>3453.439741697026</v>
      </c>
      <c r="P42" s="114">
        <v>1600</v>
      </c>
      <c r="Q42" s="114">
        <f t="shared" si="4"/>
        <v>1374.7863631250275</v>
      </c>
      <c r="R42" s="114">
        <f t="shared" si="5"/>
        <v>5977.3320135870772</v>
      </c>
      <c r="S42" s="309">
        <f t="shared" si="6"/>
        <v>375.7</v>
      </c>
      <c r="T42" s="114">
        <f>O42*'STS Design Calcs'!$C$147*(J42+B42)*3.785*1440/454000</f>
        <v>46927.689973211105</v>
      </c>
      <c r="U42" s="114">
        <v>46928.288350151466</v>
      </c>
      <c r="V42" s="114">
        <f t="shared" si="15"/>
        <v>93855.37994642221</v>
      </c>
      <c r="W42" s="114">
        <f t="shared" si="16"/>
        <v>12687.856918683003</v>
      </c>
      <c r="X42" s="114">
        <f>O42*'STS Design Calcs'!$C$224*('STS Calculation Summary'!D42-J42)*3.785*1440/454000</f>
        <v>9674.6084352210401</v>
      </c>
      <c r="Y42" s="114">
        <f t="shared" si="17"/>
        <v>1765.61603942784</v>
      </c>
      <c r="Z42" s="114">
        <f>'STS Design Calcs'!$C$269*('STS Calculation Summary'!D42-'STS Calculation Summary'!J42)/365</f>
        <v>53.417974780107279</v>
      </c>
      <c r="AA42" s="323">
        <f t="shared" si="18"/>
        <v>9.748780397369579</v>
      </c>
      <c r="AB42" s="310">
        <f>L42*1440*'STS Design Calcs'!$C$284</f>
        <v>53.613850751999998</v>
      </c>
      <c r="AC42" s="310">
        <f t="shared" si="19"/>
        <v>9.7845277622399998</v>
      </c>
      <c r="AD42" s="114">
        <f>H42*'STS Design Calcs'!$C$343</f>
        <v>7784.7018334776185</v>
      </c>
      <c r="AE42" s="114">
        <f>H42*'STS Design Calcs'!$C$352</f>
        <v>2594.9006111592066</v>
      </c>
      <c r="AF42" s="309">
        <f>H42*'STS Design Calcs'!$C$309</f>
        <v>2510.3307336561261</v>
      </c>
      <c r="AG42" s="309">
        <f>H42*'STS Design Calcs'!$C$317</f>
        <v>2510.3307336561261</v>
      </c>
      <c r="AH42" s="114">
        <f>H42*'STS Design Calcs'!$C$326</f>
        <v>418.38845560935437</v>
      </c>
      <c r="AI42" s="319">
        <f>H42*'STS Design Calcs'!$C$334</f>
        <v>418.38845560935437</v>
      </c>
      <c r="AJ42" s="321">
        <f>'STS Design Calcs'!$C$381*H42</f>
        <v>724672.95753988461</v>
      </c>
      <c r="AK42" s="321">
        <f>'STS Design Calcs'!$C$390*D42</f>
        <v>177769.00183746219</v>
      </c>
      <c r="AL42" s="322">
        <f t="shared" si="0"/>
        <v>902441.95937734679</v>
      </c>
    </row>
    <row r="43" spans="1:38" s="94" customFormat="1" ht="12.5" x14ac:dyDescent="0.25">
      <c r="A43" s="113">
        <v>33</v>
      </c>
      <c r="B43" s="343">
        <v>405.14956073542498</v>
      </c>
      <c r="C43" s="343">
        <v>266.5</v>
      </c>
      <c r="D43" s="309">
        <f t="shared" si="9"/>
        <v>580.18010843620164</v>
      </c>
      <c r="E43" s="309">
        <f>3*U43/'STS Design Calcs'!$I$97/'STS Design Calcs'!$L$97/'STS Design Calcs'!$O$97/'STS Design Calcs'!$R$97</f>
        <v>39.001951879167805</v>
      </c>
      <c r="F43" s="309">
        <f t="shared" si="10"/>
        <v>324.90086072427295</v>
      </c>
      <c r="G43" s="309">
        <f t="shared" si="11"/>
        <v>255.27924771192872</v>
      </c>
      <c r="H43" s="309">
        <f t="shared" si="12"/>
        <v>591.40086072427289</v>
      </c>
      <c r="I43" s="309">
        <f t="shared" si="13"/>
        <v>455.37866275769011</v>
      </c>
      <c r="J43" s="309">
        <f t="shared" si="1"/>
        <v>136.02219796658278</v>
      </c>
      <c r="K43" s="309">
        <v>136.02859582160886</v>
      </c>
      <c r="L43" s="309">
        <f t="shared" si="14"/>
        <v>671.64956073542498</v>
      </c>
      <c r="M43" s="114">
        <v>2559.625</v>
      </c>
      <c r="N43" s="114">
        <v>1100</v>
      </c>
      <c r="O43" s="114">
        <f t="shared" si="3"/>
        <v>3418.5795167347828</v>
      </c>
      <c r="P43" s="114">
        <v>1600</v>
      </c>
      <c r="Q43" s="114">
        <f t="shared" si="4"/>
        <v>1374.6875108757667</v>
      </c>
      <c r="R43" s="114">
        <f t="shared" si="5"/>
        <v>5976.9022211989868</v>
      </c>
      <c r="S43" s="309">
        <f t="shared" si="6"/>
        <v>375.70000000000005</v>
      </c>
      <c r="T43" s="114">
        <f>O43*'STS Design Calcs'!$C$147*(J43+B43)*3.785*1440/454000</f>
        <v>46455.690085312766</v>
      </c>
      <c r="U43" s="114">
        <v>46449.452594398659</v>
      </c>
      <c r="V43" s="114">
        <f t="shared" si="15"/>
        <v>92911.380170625533</v>
      </c>
      <c r="W43" s="114">
        <f t="shared" si="16"/>
        <v>12560.242134177155</v>
      </c>
      <c r="X43" s="114">
        <f>O43*'STS Design Calcs'!$C$224*('STS Calculation Summary'!D43-J43)*3.785*1440/454000</f>
        <v>9568.2499743551944</v>
      </c>
      <c r="Y43" s="114">
        <f t="shared" si="17"/>
        <v>1746.2056203198231</v>
      </c>
      <c r="Z43" s="114">
        <f>'STS Design Calcs'!$C$269*('STS Calculation Summary'!D43-'STS Calculation Summary'!J43)/365</f>
        <v>53.369450511984347</v>
      </c>
      <c r="AA43" s="323">
        <f t="shared" si="18"/>
        <v>9.7399247184371429</v>
      </c>
      <c r="AB43" s="310">
        <f>L43*1440*'STS Design Calcs'!$C$284</f>
        <v>53.620202371927626</v>
      </c>
      <c r="AC43" s="310">
        <f t="shared" si="19"/>
        <v>9.785686932876791</v>
      </c>
      <c r="AD43" s="114">
        <f>H43*'STS Design Calcs'!$C$343</f>
        <v>7781.2864201152479</v>
      </c>
      <c r="AE43" s="114">
        <f>H43*'STS Design Calcs'!$C$352</f>
        <v>2593.762140038416</v>
      </c>
      <c r="AF43" s="309">
        <f>H43*'STS Design Calcs'!$C$309</f>
        <v>2509.2293662158436</v>
      </c>
      <c r="AG43" s="309">
        <f>H43*'STS Design Calcs'!$C$317</f>
        <v>2509.2293662158436</v>
      </c>
      <c r="AH43" s="114">
        <f>H43*'STS Design Calcs'!$C$326</f>
        <v>418.20489436930728</v>
      </c>
      <c r="AI43" s="319">
        <f>H43*'STS Design Calcs'!$C$334</f>
        <v>418.20489436930728</v>
      </c>
      <c r="AJ43" s="321">
        <f>'STS Design Calcs'!$C$381*H43</f>
        <v>724355.01887563325</v>
      </c>
      <c r="AK43" s="321">
        <f>'STS Design Calcs'!$C$390*D43</f>
        <v>177627.08557914634</v>
      </c>
      <c r="AL43" s="322">
        <f t="shared" ref="AL43:AL74" si="20">SUM(AJ43,AK43)</f>
        <v>901982.10445477953</v>
      </c>
    </row>
    <row r="44" spans="1:38" s="94" customFormat="1" ht="12.5" x14ac:dyDescent="0.25">
      <c r="A44" s="113">
        <v>34</v>
      </c>
      <c r="B44" s="343">
        <v>405.14956073542498</v>
      </c>
      <c r="C44" s="343">
        <v>266.5</v>
      </c>
      <c r="D44" s="309">
        <f t="shared" si="9"/>
        <v>579.81151704050592</v>
      </c>
      <c r="E44" s="309">
        <f>3*U44/'STS Design Calcs'!$I$97/'STS Design Calcs'!$L$97/'STS Design Calcs'!$O$97/'STS Design Calcs'!$R$97</f>
        <v>38.611266441313873</v>
      </c>
      <c r="F44" s="309">
        <f t="shared" si="10"/>
        <v>324.69444954268334</v>
      </c>
      <c r="G44" s="309">
        <f t="shared" si="11"/>
        <v>255.1170674978226</v>
      </c>
      <c r="H44" s="309">
        <f t="shared" si="12"/>
        <v>591.19444954268329</v>
      </c>
      <c r="I44" s="309">
        <f t="shared" si="13"/>
        <v>455.21972614786614</v>
      </c>
      <c r="J44" s="309">
        <f t="shared" si="1"/>
        <v>135.97472339481715</v>
      </c>
      <c r="K44" s="309">
        <v>136.0506898637671</v>
      </c>
      <c r="L44" s="309">
        <f t="shared" si="14"/>
        <v>671.64956073542498</v>
      </c>
      <c r="M44" s="114">
        <v>2514.25</v>
      </c>
      <c r="N44" s="114">
        <v>1100</v>
      </c>
      <c r="O44" s="114">
        <f t="shared" si="3"/>
        <v>3384.6296606361843</v>
      </c>
      <c r="P44" s="114">
        <v>1600</v>
      </c>
      <c r="Q44" s="114">
        <f t="shared" si="4"/>
        <v>1374.6088446820247</v>
      </c>
      <c r="R44" s="114">
        <f t="shared" si="5"/>
        <v>5976.560194269674</v>
      </c>
      <c r="S44" s="309">
        <f t="shared" si="6"/>
        <v>375.7</v>
      </c>
      <c r="T44" s="114">
        <f>O44*'STS Design Calcs'!$C$147*(J44+B44)*3.785*1440/454000</f>
        <v>45990.304525618107</v>
      </c>
      <c r="U44" s="114">
        <v>45984.164990815632</v>
      </c>
      <c r="V44" s="114">
        <f t="shared" si="15"/>
        <v>91980.609051236213</v>
      </c>
      <c r="W44" s="114">
        <f t="shared" si="16"/>
        <v>12434.415668037489</v>
      </c>
      <c r="X44" s="114">
        <f>O44*'STS Design Calcs'!$C$224*('STS Calculation Summary'!D44-J44)*3.785*1440/454000</f>
        <v>9466.3788992179943</v>
      </c>
      <c r="Y44" s="114">
        <f t="shared" si="17"/>
        <v>1727.614149107284</v>
      </c>
      <c r="Z44" s="114">
        <f>'STS Design Calcs'!$C$269*('STS Calculation Summary'!D44-'STS Calculation Summary'!J44)/365</f>
        <v>53.330865522188304</v>
      </c>
      <c r="AA44" s="323">
        <f t="shared" si="18"/>
        <v>9.7328829577993652</v>
      </c>
      <c r="AB44" s="310">
        <f>L44*1440*'STS Design Calcs'!$C$284</f>
        <v>53.620202371927626</v>
      </c>
      <c r="AC44" s="310">
        <f t="shared" si="19"/>
        <v>9.785686932876791</v>
      </c>
      <c r="AD44" s="114">
        <f>H44*'STS Design Calcs'!$C$343</f>
        <v>7778.5705895662422</v>
      </c>
      <c r="AE44" s="114">
        <f>H44*'STS Design Calcs'!$C$352</f>
        <v>2592.8568631887474</v>
      </c>
      <c r="AF44" s="309">
        <f>H44*'STS Design Calcs'!$C$309</f>
        <v>2508.3535930596704</v>
      </c>
      <c r="AG44" s="309">
        <f>H44*'STS Design Calcs'!$C$317</f>
        <v>2508.3535930596704</v>
      </c>
      <c r="AH44" s="114">
        <f>H44*'STS Design Calcs'!$C$326</f>
        <v>418.05893217661179</v>
      </c>
      <c r="AI44" s="319">
        <f>H44*'STS Design Calcs'!$C$334</f>
        <v>418.05893217661179</v>
      </c>
      <c r="AJ44" s="321">
        <f>'STS Design Calcs'!$C$381*H44</f>
        <v>724102.20393188531</v>
      </c>
      <c r="AK44" s="321">
        <f>'STS Design Calcs'!$C$390*D44</f>
        <v>177514.23818152797</v>
      </c>
      <c r="AL44" s="322">
        <f t="shared" si="20"/>
        <v>901616.44211341324</v>
      </c>
    </row>
    <row r="45" spans="1:38" s="94" customFormat="1" ht="12.5" x14ac:dyDescent="0.25">
      <c r="A45" s="113">
        <v>35</v>
      </c>
      <c r="B45" s="343">
        <v>405.14956073542498</v>
      </c>
      <c r="C45" s="343">
        <v>266.5</v>
      </c>
      <c r="D45" s="309">
        <f t="shared" si="9"/>
        <v>579.35592148532294</v>
      </c>
      <c r="E45" s="309">
        <f>3*U45/'STS Design Calcs'!$I$97/'STS Design Calcs'!$L$97/'STS Design Calcs'!$O$97/'STS Design Calcs'!$R$97</f>
        <v>38.215142586414316</v>
      </c>
      <c r="F45" s="309">
        <f t="shared" si="10"/>
        <v>324.43931603178089</v>
      </c>
      <c r="G45" s="309">
        <f t="shared" si="11"/>
        <v>254.9166054535421</v>
      </c>
      <c r="H45" s="309">
        <f t="shared" si="12"/>
        <v>590.93931603178089</v>
      </c>
      <c r="I45" s="309">
        <f t="shared" si="13"/>
        <v>455.02327334447131</v>
      </c>
      <c r="J45" s="309">
        <f t="shared" si="1"/>
        <v>135.91604268730958</v>
      </c>
      <c r="K45" s="309">
        <v>135.99121816348367</v>
      </c>
      <c r="L45" s="309">
        <f t="shared" si="14"/>
        <v>671.64956073542498</v>
      </c>
      <c r="M45" s="114">
        <v>2468.875</v>
      </c>
      <c r="N45" s="114">
        <v>1100</v>
      </c>
      <c r="O45" s="114">
        <f t="shared" si="3"/>
        <v>3350.2664316906607</v>
      </c>
      <c r="P45" s="114">
        <v>1600</v>
      </c>
      <c r="Q45" s="114">
        <f t="shared" si="4"/>
        <v>1374.5115337818652</v>
      </c>
      <c r="R45" s="114">
        <f t="shared" si="5"/>
        <v>5976.1371033994146</v>
      </c>
      <c r="S45" s="309">
        <f t="shared" si="6"/>
        <v>375.69999999999993</v>
      </c>
      <c r="T45" s="114">
        <f>O45*'STS Design Calcs'!$C$147*(J45+B45)*3.785*1440/454000</f>
        <v>45518.440755181575</v>
      </c>
      <c r="U45" s="114">
        <v>45512.400493575304</v>
      </c>
      <c r="V45" s="114">
        <f t="shared" si="15"/>
        <v>91036.88151036315</v>
      </c>
      <c r="W45" s="114">
        <f t="shared" si="16"/>
        <v>12306.837685660203</v>
      </c>
      <c r="X45" s="114">
        <f>O45*'STS Design Calcs'!$C$224*('STS Calculation Summary'!D45-J45)*3.785*1440/454000</f>
        <v>9361.8896616120164</v>
      </c>
      <c r="Y45" s="114">
        <f t="shared" si="17"/>
        <v>1708.5448632441928</v>
      </c>
      <c r="Z45" s="114">
        <f>'STS Design Calcs'!$C$269*('STS Calculation Summary'!D45-'STS Calculation Summary'!J45)/365</f>
        <v>53.28317273811048</v>
      </c>
      <c r="AA45" s="323">
        <f t="shared" si="18"/>
        <v>9.7241790247051636</v>
      </c>
      <c r="AB45" s="310">
        <f>L45*1440*'STS Design Calcs'!$C$284</f>
        <v>53.620202371927626</v>
      </c>
      <c r="AC45" s="310">
        <f t="shared" si="19"/>
        <v>9.785686932876791</v>
      </c>
      <c r="AD45" s="114">
        <f>H45*'STS Design Calcs'!$C$343</f>
        <v>7775.213700769581</v>
      </c>
      <c r="AE45" s="114">
        <f>H45*'STS Design Calcs'!$C$352</f>
        <v>2591.7379002565272</v>
      </c>
      <c r="AF45" s="309">
        <f>H45*'STS Design Calcs'!$C$309</f>
        <v>2507.2710980205561</v>
      </c>
      <c r="AG45" s="309">
        <f>H45*'STS Design Calcs'!$C$317</f>
        <v>2507.2710980205561</v>
      </c>
      <c r="AH45" s="114">
        <f>H45*'STS Design Calcs'!$C$326</f>
        <v>417.87851633675939</v>
      </c>
      <c r="AI45" s="319">
        <f>H45*'STS Design Calcs'!$C$334</f>
        <v>417.87851633675939</v>
      </c>
      <c r="AJ45" s="321">
        <f>'STS Design Calcs'!$C$381*H45</f>
        <v>723789.71328234661</v>
      </c>
      <c r="AK45" s="321">
        <f>'STS Design Calcs'!$C$390*D45</f>
        <v>177374.75371887017</v>
      </c>
      <c r="AL45" s="322">
        <f t="shared" si="20"/>
        <v>901164.46700121672</v>
      </c>
    </row>
    <row r="46" spans="1:38" s="94" customFormat="1" ht="12.5" x14ac:dyDescent="0.25">
      <c r="A46" s="113">
        <v>36</v>
      </c>
      <c r="B46" s="343">
        <v>405.14956073542498</v>
      </c>
      <c r="C46" s="343">
        <v>266.5</v>
      </c>
      <c r="D46" s="309">
        <f t="shared" si="9"/>
        <v>578.90080604088575</v>
      </c>
      <c r="E46" s="309">
        <f>3*U46/'STS Design Calcs'!$I$97/'STS Design Calcs'!$L$97/'STS Design Calcs'!$O$97/'STS Design Calcs'!$R$97</f>
        <v>37.819503522584981</v>
      </c>
      <c r="F46" s="309">
        <f t="shared" si="10"/>
        <v>324.18445138289604</v>
      </c>
      <c r="G46" s="309">
        <f t="shared" si="11"/>
        <v>254.71635465798974</v>
      </c>
      <c r="H46" s="309">
        <f t="shared" si="12"/>
        <v>590.68445138289599</v>
      </c>
      <c r="I46" s="309">
        <f t="shared" si="13"/>
        <v>454.8270275648299</v>
      </c>
      <c r="J46" s="309">
        <f t="shared" si="1"/>
        <v>135.85742381806608</v>
      </c>
      <c r="K46" s="309">
        <v>135.93174178287575</v>
      </c>
      <c r="L46" s="309">
        <f t="shared" si="14"/>
        <v>671.64956073542498</v>
      </c>
      <c r="M46" s="114">
        <v>2423.5</v>
      </c>
      <c r="N46" s="114">
        <v>1100</v>
      </c>
      <c r="O46" s="114">
        <f t="shared" si="3"/>
        <v>3315.8957391693725</v>
      </c>
      <c r="P46" s="114">
        <v>1600</v>
      </c>
      <c r="Q46" s="114">
        <f t="shared" si="4"/>
        <v>1374.4142414989285</v>
      </c>
      <c r="R46" s="114">
        <f t="shared" si="5"/>
        <v>5975.7140934736035</v>
      </c>
      <c r="S46" s="309">
        <f t="shared" si="6"/>
        <v>375.70000000000005</v>
      </c>
      <c r="T46" s="114">
        <f>O46*'STS Design Calcs'!$C$147*(J46+B46)*3.785*1440/454000</f>
        <v>45046.582009896432</v>
      </c>
      <c r="U46" s="114">
        <v>45041.213359229623</v>
      </c>
      <c r="V46" s="114">
        <f t="shared" si="15"/>
        <v>90093.164019792865</v>
      </c>
      <c r="W46" s="114">
        <f t="shared" si="16"/>
        <v>12179.261061934962</v>
      </c>
      <c r="X46" s="114">
        <f>O46*'STS Design Calcs'!$C$224*('STS Calculation Summary'!D46-J46)*3.785*1440/454000</f>
        <v>9257.560224595527</v>
      </c>
      <c r="Y46" s="114">
        <f t="shared" si="17"/>
        <v>1689.5047409886836</v>
      </c>
      <c r="Z46" s="114">
        <f>'STS Design Calcs'!$C$269*('STS Calculation Summary'!D46-'STS Calculation Summary'!J46)/365</f>
        <v>53.235530213122928</v>
      </c>
      <c r="AA46" s="323">
        <f t="shared" si="18"/>
        <v>9.7154842638949344</v>
      </c>
      <c r="AB46" s="310">
        <f>L46*1440*'STS Design Calcs'!$C$284</f>
        <v>53.620202371927626</v>
      </c>
      <c r="AC46" s="310">
        <f t="shared" si="19"/>
        <v>9.785686932876791</v>
      </c>
      <c r="AD46" s="114">
        <f>H46*'STS Design Calcs'!$C$343</f>
        <v>7771.8603494929075</v>
      </c>
      <c r="AE46" s="114">
        <f>H46*'STS Design Calcs'!$C$352</f>
        <v>2590.620116497636</v>
      </c>
      <c r="AF46" s="309">
        <f>H46*'STS Design Calcs'!$C$309</f>
        <v>2506.189743724573</v>
      </c>
      <c r="AG46" s="309">
        <f>H46*'STS Design Calcs'!$C$317</f>
        <v>2506.189743724573</v>
      </c>
      <c r="AH46" s="114">
        <f>H46*'STS Design Calcs'!$C$326</f>
        <v>417.69829062076218</v>
      </c>
      <c r="AI46" s="319">
        <f>H46*'STS Design Calcs'!$C$334</f>
        <v>417.69829062076218</v>
      </c>
      <c r="AJ46" s="321">
        <f>'STS Design Calcs'!$C$381*H46</f>
        <v>723477.55193830037</v>
      </c>
      <c r="AK46" s="321">
        <f>'STS Design Calcs'!$C$390*D46</f>
        <v>177235.41624620958</v>
      </c>
      <c r="AL46" s="322">
        <f t="shared" si="20"/>
        <v>900712.96818451001</v>
      </c>
    </row>
    <row r="47" spans="1:38" s="94" customFormat="1" ht="12.5" x14ac:dyDescent="0.25">
      <c r="A47" s="113">
        <v>37</v>
      </c>
      <c r="B47" s="343">
        <v>405.14956073542498</v>
      </c>
      <c r="C47" s="343">
        <v>266.5</v>
      </c>
      <c r="D47" s="309">
        <f t="shared" si="9"/>
        <v>578.44519651225369</v>
      </c>
      <c r="E47" s="309">
        <f>3*U47/'STS Design Calcs'!$I$97/'STS Design Calcs'!$L$97/'STS Design Calcs'!$O$97/'STS Design Calcs'!$R$97</f>
        <v>37.423372646154938</v>
      </c>
      <c r="F47" s="309">
        <f t="shared" si="10"/>
        <v>323.9293100468621</v>
      </c>
      <c r="G47" s="309">
        <f t="shared" si="11"/>
        <v>254.51588646539162</v>
      </c>
      <c r="H47" s="309">
        <f t="shared" si="12"/>
        <v>590.42931004686204</v>
      </c>
      <c r="I47" s="309">
        <f t="shared" si="13"/>
        <v>454.63056873608377</v>
      </c>
      <c r="J47" s="309">
        <f t="shared" si="1"/>
        <v>135.79874131077827</v>
      </c>
      <c r="K47" s="309">
        <v>135.87226313067379</v>
      </c>
      <c r="L47" s="309">
        <f t="shared" si="14"/>
        <v>671.64956073542498</v>
      </c>
      <c r="M47" s="114">
        <v>2378.125</v>
      </c>
      <c r="N47" s="114">
        <v>1100</v>
      </c>
      <c r="O47" s="114">
        <f t="shared" si="3"/>
        <v>3281.5173641729507</v>
      </c>
      <c r="P47" s="114">
        <v>1600</v>
      </c>
      <c r="Q47" s="114">
        <f t="shared" si="4"/>
        <v>1374.3167594619852</v>
      </c>
      <c r="R47" s="114">
        <f t="shared" si="5"/>
        <v>5975.2902585303709</v>
      </c>
      <c r="S47" s="309">
        <f t="shared" si="6"/>
        <v>375.70000000000005</v>
      </c>
      <c r="T47" s="114">
        <f>O47*'STS Design Calcs'!$C$147*(J47+B47)*3.785*1440/454000</f>
        <v>44574.714849792166</v>
      </c>
      <c r="U47" s="114">
        <v>44569.440499683515</v>
      </c>
      <c r="V47" s="114">
        <f t="shared" si="15"/>
        <v>89149.429699584332</v>
      </c>
      <c r="W47" s="114">
        <f t="shared" si="16"/>
        <v>12051.682163091957</v>
      </c>
      <c r="X47" s="114">
        <f>O47*'STS Design Calcs'!$C$224*('STS Calculation Summary'!D47-J47)*3.785*1440/454000</f>
        <v>9153.3722113052645</v>
      </c>
      <c r="Y47" s="114">
        <f t="shared" si="17"/>
        <v>1670.4904285632108</v>
      </c>
      <c r="Z47" s="114">
        <f>'STS Design Calcs'!$C$269*('STS Calculation Summary'!D47-'STS Calculation Summary'!J47)/365</f>
        <v>53.187835966272509</v>
      </c>
      <c r="AA47" s="323">
        <f t="shared" si="18"/>
        <v>9.7067800638447341</v>
      </c>
      <c r="AB47" s="310">
        <f>L47*1440*'STS Design Calcs'!$C$284</f>
        <v>53.620202371927626</v>
      </c>
      <c r="AC47" s="310">
        <f t="shared" si="19"/>
        <v>9.785686932876791</v>
      </c>
      <c r="AD47" s="114">
        <f>H47*'STS Design Calcs'!$C$343</f>
        <v>7768.5033577380091</v>
      </c>
      <c r="AE47" s="114">
        <f>H47*'STS Design Calcs'!$C$352</f>
        <v>2589.5011192460033</v>
      </c>
      <c r="AF47" s="309">
        <f>H47*'STS Design Calcs'!$C$309</f>
        <v>2505.1072154845433</v>
      </c>
      <c r="AG47" s="309">
        <f>H47*'STS Design Calcs'!$C$317</f>
        <v>2505.1072154845433</v>
      </c>
      <c r="AH47" s="114">
        <f>H47*'STS Design Calcs'!$C$326</f>
        <v>417.5178692474239</v>
      </c>
      <c r="AI47" s="319">
        <f>H47*'STS Design Calcs'!$C$334</f>
        <v>417.5178692474239</v>
      </c>
      <c r="AJ47" s="321">
        <f>'STS Design Calcs'!$C$381*H47</f>
        <v>723165.05170444469</v>
      </c>
      <c r="AK47" s="321">
        <f>'STS Design Calcs'!$C$390*D47</f>
        <v>177095.92750546127</v>
      </c>
      <c r="AL47" s="322">
        <f t="shared" si="20"/>
        <v>900260.97920990596</v>
      </c>
    </row>
    <row r="48" spans="1:38" s="94" customFormat="1" ht="12.5" x14ac:dyDescent="0.25">
      <c r="A48" s="113">
        <v>38</v>
      </c>
      <c r="B48" s="343">
        <v>405.14956073542498</v>
      </c>
      <c r="C48" s="343">
        <v>266.5</v>
      </c>
      <c r="D48" s="309">
        <f t="shared" ref="D48:D79" si="21">K48+B48+E48</f>
        <v>577.98910570885744</v>
      </c>
      <c r="E48" s="309">
        <f>3*U48/'STS Design Calcs'!$I$97/'STS Design Calcs'!$L$97/'STS Design Calcs'!$O$97/'STS Design Calcs'!$R$97</f>
        <v>37.026762769289576</v>
      </c>
      <c r="F48" s="309">
        <f t="shared" si="10"/>
        <v>323.67389919696018</v>
      </c>
      <c r="G48" s="309">
        <f t="shared" si="11"/>
        <v>254.31520651189729</v>
      </c>
      <c r="H48" s="309">
        <f t="shared" si="12"/>
        <v>590.17389919696018</v>
      </c>
      <c r="I48" s="309">
        <f t="shared" si="13"/>
        <v>454.43390238165932</v>
      </c>
      <c r="J48" s="309">
        <f t="shared" ref="J48:J79" si="22">H48-I48</f>
        <v>135.73999681530086</v>
      </c>
      <c r="K48" s="309">
        <v>135.81278220414288</v>
      </c>
      <c r="L48" s="309">
        <f t="shared" si="14"/>
        <v>671.64956073542498</v>
      </c>
      <c r="M48" s="114">
        <v>2332.75</v>
      </c>
      <c r="N48" s="114">
        <v>1100</v>
      </c>
      <c r="O48" s="114">
        <f t="shared" ref="O48:O79" si="23">(K48*R48+M48*B48)/(K48+B48)</f>
        <v>3247.1313065751569</v>
      </c>
      <c r="P48" s="114">
        <v>1600</v>
      </c>
      <c r="Q48" s="114">
        <f t="shared" ref="Q48:Q79" si="24">(P48*F48+N48*C48)/(C48+F48)</f>
        <v>1374.2190900320888</v>
      </c>
      <c r="R48" s="114">
        <f t="shared" ref="R48:R79" si="25">Q48*$A$122</f>
        <v>5974.86560883517</v>
      </c>
      <c r="S48" s="309">
        <f t="shared" ref="S48:S79" si="26">((H48-I48)*1600+I48*10)/((H48-I48)+I48)</f>
        <v>375.70000000000005</v>
      </c>
      <c r="T48" s="114">
        <f>O48*'STS Design Calcs'!$C$147*(J48+B48)*3.785*1440/454000</f>
        <v>44102.83960645031</v>
      </c>
      <c r="U48" s="114">
        <v>44097.097173610957</v>
      </c>
      <c r="V48" s="114">
        <f t="shared" si="15"/>
        <v>88205.679212900621</v>
      </c>
      <c r="W48" s="114">
        <f t="shared" si="16"/>
        <v>11924.10107878101</v>
      </c>
      <c r="X48" s="114">
        <f>O48*'STS Design Calcs'!$C$224*('STS Calculation Summary'!D48-J48)*3.785*1440/454000</f>
        <v>9049.3261871381292</v>
      </c>
      <c r="Y48" s="114">
        <f t="shared" si="17"/>
        <v>1651.5020291527087</v>
      </c>
      <c r="Z48" s="114">
        <f>'STS Design Calcs'!$C$269*('STS Calculation Summary'!D48-'STS Calculation Summary'!J48)/365</f>
        <v>53.140091338479728</v>
      </c>
      <c r="AA48" s="323">
        <f t="shared" si="18"/>
        <v>9.6980666692725492</v>
      </c>
      <c r="AB48" s="310">
        <f>L48*1440*'STS Design Calcs'!$C$284</f>
        <v>53.620202371927626</v>
      </c>
      <c r="AC48" s="310">
        <f t="shared" si="19"/>
        <v>9.785686932876791</v>
      </c>
      <c r="AD48" s="114">
        <f>H48*'STS Design Calcs'!$C$343</f>
        <v>7765.1428198864796</v>
      </c>
      <c r="AE48" s="114">
        <f>H48*'STS Design Calcs'!$C$352</f>
        <v>2588.38093996216</v>
      </c>
      <c r="AF48" s="309">
        <f>H48*'STS Design Calcs'!$C$309</f>
        <v>2504.0235437356741</v>
      </c>
      <c r="AG48" s="309">
        <f>H48*'STS Design Calcs'!$C$317</f>
        <v>2504.0235437356741</v>
      </c>
      <c r="AH48" s="114">
        <f>H48*'STS Design Calcs'!$C$326</f>
        <v>417.33725728927902</v>
      </c>
      <c r="AI48" s="319">
        <f>H48*'STS Design Calcs'!$C$334</f>
        <v>417.33725728927902</v>
      </c>
      <c r="AJ48" s="321">
        <f>'STS Design Calcs'!$C$381*H48</f>
        <v>722852.221366702</v>
      </c>
      <c r="AK48" s="321">
        <f>'STS Design Calcs'!$C$390*D48</f>
        <v>176956.29141834154</v>
      </c>
      <c r="AL48" s="322">
        <f t="shared" si="20"/>
        <v>899808.51278504357</v>
      </c>
    </row>
    <row r="49" spans="1:38" s="94" customFormat="1" ht="12.5" x14ac:dyDescent="0.25">
      <c r="A49" s="113">
        <v>39</v>
      </c>
      <c r="B49" s="343">
        <v>405.14956073542498</v>
      </c>
      <c r="C49" s="343">
        <v>266.5</v>
      </c>
      <c r="D49" s="309">
        <f t="shared" si="21"/>
        <v>577.53349329634489</v>
      </c>
      <c r="E49" s="309">
        <f>3*U49/'STS Design Calcs'!$I$97/'STS Design Calcs'!$L$97/'STS Design Calcs'!$O$97/'STS Design Calcs'!$R$97</f>
        <v>36.630633560374903</v>
      </c>
      <c r="F49" s="309">
        <f t="shared" si="10"/>
        <v>323.41875624595315</v>
      </c>
      <c r="G49" s="309">
        <f t="shared" si="11"/>
        <v>254.11473705039174</v>
      </c>
      <c r="H49" s="309">
        <f t="shared" si="12"/>
        <v>589.91875624595309</v>
      </c>
      <c r="I49" s="309">
        <f t="shared" si="13"/>
        <v>454.23744230938388</v>
      </c>
      <c r="J49" s="309">
        <f t="shared" si="22"/>
        <v>135.68131393656921</v>
      </c>
      <c r="K49" s="309">
        <v>135.75329900054493</v>
      </c>
      <c r="L49" s="309">
        <f t="shared" si="14"/>
        <v>671.64956073542498</v>
      </c>
      <c r="M49" s="114">
        <v>2287.375</v>
      </c>
      <c r="N49" s="114">
        <v>1100</v>
      </c>
      <c r="O49" s="114">
        <f t="shared" si="23"/>
        <v>3212.7377877966383</v>
      </c>
      <c r="P49" s="114">
        <v>1600</v>
      </c>
      <c r="Q49" s="114">
        <f t="shared" si="24"/>
        <v>1374.1214386062943</v>
      </c>
      <c r="R49" s="114">
        <f t="shared" si="25"/>
        <v>5974.4410374186718</v>
      </c>
      <c r="S49" s="309">
        <f t="shared" si="26"/>
        <v>375.7</v>
      </c>
      <c r="T49" s="114">
        <f>O49*'STS Design Calcs'!$C$147*(J49+B49)*3.785*1440/454000</f>
        <v>43630.969453170044</v>
      </c>
      <c r="U49" s="114">
        <v>43625.326299995613</v>
      </c>
      <c r="V49" s="114">
        <f t="shared" si="15"/>
        <v>87261.938906340089</v>
      </c>
      <c r="W49" s="114">
        <f t="shared" si="16"/>
        <v>11796.521370671901</v>
      </c>
      <c r="X49" s="114">
        <f>O49*'STS Design Calcs'!$C$224*('STS Calculation Summary'!D49-J49)*3.785*1440/454000</f>
        <v>8945.4400251990755</v>
      </c>
      <c r="Y49" s="114">
        <f t="shared" si="17"/>
        <v>1632.5428045988313</v>
      </c>
      <c r="Z49" s="114">
        <f>'STS Design Calcs'!$C$269*('STS Calculation Summary'!D49-'STS Calculation Summary'!J49)/365</f>
        <v>53.092396789738117</v>
      </c>
      <c r="AA49" s="323">
        <f t="shared" si="18"/>
        <v>9.6893624141272063</v>
      </c>
      <c r="AB49" s="310">
        <f>L49*1440*'STS Design Calcs'!$C$284</f>
        <v>53.620202371927626</v>
      </c>
      <c r="AC49" s="310">
        <f t="shared" si="19"/>
        <v>9.785686932876791</v>
      </c>
      <c r="AD49" s="114">
        <f>H49*'STS Design Calcs'!$C$343</f>
        <v>7761.7858068827645</v>
      </c>
      <c r="AE49" s="114">
        <f>H49*'STS Design Calcs'!$C$352</f>
        <v>2587.2619356275882</v>
      </c>
      <c r="AF49" s="309">
        <f>H49*'STS Design Calcs'!$C$309</f>
        <v>2502.9410086435437</v>
      </c>
      <c r="AG49" s="309">
        <f>H49*'STS Design Calcs'!$C$317</f>
        <v>2502.9410086435437</v>
      </c>
      <c r="AH49" s="114">
        <f>H49*'STS Design Calcs'!$C$326</f>
        <v>417.156834773924</v>
      </c>
      <c r="AI49" s="319">
        <f>H49*'STS Design Calcs'!$C$334</f>
        <v>417.156834773924</v>
      </c>
      <c r="AJ49" s="321">
        <f>'STS Design Calcs'!$C$381*H49</f>
        <v>722539.71915480727</v>
      </c>
      <c r="AK49" s="321">
        <f>'STS Design Calcs'!$C$390*D49</f>
        <v>176816.8017946686</v>
      </c>
      <c r="AL49" s="322">
        <f t="shared" si="20"/>
        <v>899356.52094947593</v>
      </c>
    </row>
    <row r="50" spans="1:38" s="94" customFormat="1" ht="12.5" x14ac:dyDescent="0.25">
      <c r="A50" s="113">
        <v>40</v>
      </c>
      <c r="B50" s="343">
        <v>405.14956073542498</v>
      </c>
      <c r="C50" s="343">
        <v>266.5</v>
      </c>
      <c r="D50" s="309">
        <f t="shared" si="21"/>
        <v>577.07834594504175</v>
      </c>
      <c r="E50" s="309">
        <f>3*U50/'STS Design Calcs'!$I$97/'STS Design Calcs'!$L$97/'STS Design Calcs'!$O$97/'STS Design Calcs'!$R$97</f>
        <v>36.23497169247797</v>
      </c>
      <c r="F50" s="309">
        <f t="shared" si="10"/>
        <v>323.16387372922338</v>
      </c>
      <c r="G50" s="309">
        <f t="shared" si="11"/>
        <v>253.91447221581836</v>
      </c>
      <c r="H50" s="309">
        <f t="shared" si="12"/>
        <v>589.66387372922338</v>
      </c>
      <c r="I50" s="309">
        <f t="shared" si="13"/>
        <v>454.04118277150201</v>
      </c>
      <c r="J50" s="309">
        <f t="shared" si="22"/>
        <v>135.62269095772137</v>
      </c>
      <c r="K50" s="309">
        <v>135.69381351713878</v>
      </c>
      <c r="L50" s="309">
        <f t="shared" si="14"/>
        <v>671.64956073542498</v>
      </c>
      <c r="M50" s="114">
        <v>2242</v>
      </c>
      <c r="N50" s="114">
        <v>1100</v>
      </c>
      <c r="O50" s="114">
        <f t="shared" si="23"/>
        <v>3178.336801956721</v>
      </c>
      <c r="P50" s="114">
        <v>1600</v>
      </c>
      <c r="Q50" s="114">
        <f t="shared" si="24"/>
        <v>1374.0238024804128</v>
      </c>
      <c r="R50" s="114">
        <f t="shared" si="25"/>
        <v>5974.0165325235348</v>
      </c>
      <c r="S50" s="309">
        <f t="shared" si="26"/>
        <v>375.7</v>
      </c>
      <c r="T50" s="114">
        <f>O50*'STS Design Calcs'!$C$147*(J50+B50)*3.785*1440/454000</f>
        <v>43159.104046412693</v>
      </c>
      <c r="U50" s="114">
        <v>43154.112007100019</v>
      </c>
      <c r="V50" s="114">
        <f t="shared" si="15"/>
        <v>86318.208092825385</v>
      </c>
      <c r="W50" s="114">
        <f t="shared" si="16"/>
        <v>11668.94294588195</v>
      </c>
      <c r="X50" s="114">
        <f>O50*'STS Design Calcs'!$C$224*('STS Calculation Summary'!D50-J50)*3.785*1440/454000</f>
        <v>8841.7132615419796</v>
      </c>
      <c r="Y50" s="114">
        <f t="shared" si="17"/>
        <v>1613.6126702314111</v>
      </c>
      <c r="Z50" s="114">
        <f>'STS Design Calcs'!$C$269*('STS Calculation Summary'!D50-'STS Calculation Summary'!J50)/365</f>
        <v>53.0447509246669</v>
      </c>
      <c r="AA50" s="323">
        <f t="shared" si="18"/>
        <v>9.6806670437517095</v>
      </c>
      <c r="AB50" s="310">
        <f>L50*1440*'STS Design Calcs'!$C$284</f>
        <v>53.620202371927626</v>
      </c>
      <c r="AC50" s="310">
        <f t="shared" si="19"/>
        <v>9.785686932876791</v>
      </c>
      <c r="AD50" s="114">
        <f>H50*'STS Design Calcs'!$C$343</f>
        <v>7758.4322205120498</v>
      </c>
      <c r="AE50" s="114">
        <f>H50*'STS Design Calcs'!$C$352</f>
        <v>2586.1440735040169</v>
      </c>
      <c r="AF50" s="309">
        <f>H50*'STS Design Calcs'!$C$309</f>
        <v>2501.8595785368479</v>
      </c>
      <c r="AG50" s="309">
        <f>H50*'STS Design Calcs'!$C$317</f>
        <v>2501.8595785368479</v>
      </c>
      <c r="AH50" s="114">
        <f>H50*'STS Design Calcs'!$C$326</f>
        <v>416.97659642280797</v>
      </c>
      <c r="AI50" s="319">
        <f>H50*'STS Design Calcs'!$C$334</f>
        <v>416.97659642280797</v>
      </c>
      <c r="AJ50" s="321">
        <f>'STS Design Calcs'!$C$381*H50</f>
        <v>722227.53592600592</v>
      </c>
      <c r="AK50" s="321">
        <f>'STS Design Calcs'!$C$390*D50</f>
        <v>176677.45455344906</v>
      </c>
      <c r="AL50" s="322">
        <f t="shared" si="20"/>
        <v>898904.99047945498</v>
      </c>
    </row>
    <row r="51" spans="1:38" s="94" customFormat="1" ht="15" customHeight="1" x14ac:dyDescent="0.25">
      <c r="A51" s="113">
        <v>41</v>
      </c>
      <c r="B51" s="343">
        <v>405.14956073542498</v>
      </c>
      <c r="C51" s="343">
        <v>266.5</v>
      </c>
      <c r="D51" s="309">
        <f t="shared" si="21"/>
        <v>577.07834594504175</v>
      </c>
      <c r="E51" s="309">
        <f>3*U51/'STS Design Calcs'!$I$97/'STS Design Calcs'!$L$97/'STS Design Calcs'!$O$97/'STS Design Calcs'!$R$97</f>
        <v>36.23497169247797</v>
      </c>
      <c r="F51" s="309">
        <f t="shared" si="10"/>
        <v>323.16387372922338</v>
      </c>
      <c r="G51" s="309">
        <f t="shared" si="11"/>
        <v>253.91447221581836</v>
      </c>
      <c r="H51" s="309">
        <f t="shared" si="12"/>
        <v>589.66387372922338</v>
      </c>
      <c r="I51" s="309">
        <f t="shared" si="13"/>
        <v>454.04118277150201</v>
      </c>
      <c r="J51" s="309">
        <f t="shared" si="22"/>
        <v>135.62269095772137</v>
      </c>
      <c r="K51" s="309">
        <v>135.69381351713878</v>
      </c>
      <c r="L51" s="309">
        <f t="shared" si="14"/>
        <v>671.64956073542498</v>
      </c>
      <c r="M51" s="114">
        <v>2242</v>
      </c>
      <c r="N51" s="114">
        <v>1100</v>
      </c>
      <c r="O51" s="114">
        <f t="shared" si="23"/>
        <v>3178.336801956721</v>
      </c>
      <c r="P51" s="114">
        <v>1600</v>
      </c>
      <c r="Q51" s="114">
        <f t="shared" si="24"/>
        <v>1374.0238024804128</v>
      </c>
      <c r="R51" s="114">
        <f t="shared" si="25"/>
        <v>5974.0165325235348</v>
      </c>
      <c r="S51" s="309">
        <f t="shared" si="26"/>
        <v>375.7</v>
      </c>
      <c r="T51" s="114">
        <f>O51*'STS Design Calcs'!$C$147*(J51+B51)*3.785*1440/454000</f>
        <v>43159.104046412693</v>
      </c>
      <c r="U51" s="114">
        <v>43154.112007100019</v>
      </c>
      <c r="V51" s="114">
        <f t="shared" si="15"/>
        <v>86318.208092825385</v>
      </c>
      <c r="W51" s="114">
        <f t="shared" si="16"/>
        <v>11668.94294588195</v>
      </c>
      <c r="X51" s="114">
        <f>O51*'STS Design Calcs'!$C$224*('STS Calculation Summary'!D51-J51)*3.785*1440/454000</f>
        <v>8841.7132615419796</v>
      </c>
      <c r="Y51" s="114">
        <f t="shared" si="17"/>
        <v>1613.6126702314111</v>
      </c>
      <c r="Z51" s="114">
        <f>'STS Design Calcs'!$C$269*('STS Calculation Summary'!D51-'STS Calculation Summary'!J51)/365</f>
        <v>53.0447509246669</v>
      </c>
      <c r="AA51" s="323">
        <f t="shared" si="18"/>
        <v>9.6806670437517095</v>
      </c>
      <c r="AB51" s="310">
        <f>L51*1440*'STS Design Calcs'!$C$284</f>
        <v>53.620202371927626</v>
      </c>
      <c r="AC51" s="310">
        <f t="shared" si="19"/>
        <v>9.785686932876791</v>
      </c>
      <c r="AD51" s="114">
        <f>H51*'STS Design Calcs'!$C$343</f>
        <v>7758.4322205120498</v>
      </c>
      <c r="AE51" s="114">
        <f>H51*'STS Design Calcs'!$C$352</f>
        <v>2586.1440735040169</v>
      </c>
      <c r="AF51" s="309">
        <f>H51*'STS Design Calcs'!$C$309</f>
        <v>2501.8595785368479</v>
      </c>
      <c r="AG51" s="309">
        <f>H51*'STS Design Calcs'!$C$317</f>
        <v>2501.8595785368479</v>
      </c>
      <c r="AH51" s="114">
        <f>H51*'STS Design Calcs'!$C$326</f>
        <v>416.97659642280797</v>
      </c>
      <c r="AI51" s="319">
        <f>H51*'STS Design Calcs'!$C$334</f>
        <v>416.97659642280797</v>
      </c>
      <c r="AJ51" s="321">
        <f>'STS Design Calcs'!$C$381*H51</f>
        <v>722227.53592600592</v>
      </c>
      <c r="AK51" s="321">
        <f>'STS Design Calcs'!$C$390*D51</f>
        <v>176677.45455344906</v>
      </c>
      <c r="AL51" s="322">
        <f t="shared" si="20"/>
        <v>898904.99047945498</v>
      </c>
    </row>
    <row r="52" spans="1:38" s="94" customFormat="1" ht="15" customHeight="1" x14ac:dyDescent="0.25">
      <c r="A52" s="113">
        <v>42</v>
      </c>
      <c r="B52" s="343">
        <v>405.14956073542498</v>
      </c>
      <c r="C52" s="343">
        <v>266.5</v>
      </c>
      <c r="D52" s="309">
        <f t="shared" si="21"/>
        <v>577.07834594504175</v>
      </c>
      <c r="E52" s="309">
        <f>3*U52/'STS Design Calcs'!$I$97/'STS Design Calcs'!$L$97/'STS Design Calcs'!$O$97/'STS Design Calcs'!$R$97</f>
        <v>36.23497169247797</v>
      </c>
      <c r="F52" s="309">
        <f t="shared" si="10"/>
        <v>323.16387372922338</v>
      </c>
      <c r="G52" s="309">
        <f t="shared" si="11"/>
        <v>253.91447221581836</v>
      </c>
      <c r="H52" s="309">
        <f t="shared" si="12"/>
        <v>589.66387372922338</v>
      </c>
      <c r="I52" s="309">
        <f t="shared" si="13"/>
        <v>454.04118277150201</v>
      </c>
      <c r="J52" s="309">
        <f t="shared" si="22"/>
        <v>135.62269095772137</v>
      </c>
      <c r="K52" s="309">
        <v>135.69381351713878</v>
      </c>
      <c r="L52" s="309">
        <f t="shared" si="14"/>
        <v>671.64956073542498</v>
      </c>
      <c r="M52" s="114">
        <v>2242</v>
      </c>
      <c r="N52" s="114">
        <v>1100</v>
      </c>
      <c r="O52" s="114">
        <f t="shared" si="23"/>
        <v>3178.336801956721</v>
      </c>
      <c r="P52" s="114">
        <v>1600</v>
      </c>
      <c r="Q52" s="114">
        <f t="shared" si="24"/>
        <v>1374.0238024804128</v>
      </c>
      <c r="R52" s="114">
        <f t="shared" si="25"/>
        <v>5974.0165325235348</v>
      </c>
      <c r="S52" s="309">
        <f t="shared" si="26"/>
        <v>375.7</v>
      </c>
      <c r="T52" s="114">
        <f>O52*'STS Design Calcs'!$C$147*(J52+B52)*3.785*1440/454000</f>
        <v>43159.104046412693</v>
      </c>
      <c r="U52" s="114">
        <v>43154.112007100019</v>
      </c>
      <c r="V52" s="114">
        <f t="shared" si="15"/>
        <v>86318.208092825385</v>
      </c>
      <c r="W52" s="114">
        <f t="shared" si="16"/>
        <v>11668.94294588195</v>
      </c>
      <c r="X52" s="114">
        <f>O52*'STS Design Calcs'!$C$224*('STS Calculation Summary'!D52-J52)*3.785*1440/454000</f>
        <v>8841.7132615419796</v>
      </c>
      <c r="Y52" s="114">
        <f t="shared" si="17"/>
        <v>1613.6126702314111</v>
      </c>
      <c r="Z52" s="114">
        <f>'STS Design Calcs'!$C$269*('STS Calculation Summary'!D52-'STS Calculation Summary'!J52)/365</f>
        <v>53.0447509246669</v>
      </c>
      <c r="AA52" s="323">
        <f t="shared" si="18"/>
        <v>9.6806670437517095</v>
      </c>
      <c r="AB52" s="310">
        <f>L52*1440*'STS Design Calcs'!$C$284</f>
        <v>53.620202371927626</v>
      </c>
      <c r="AC52" s="310">
        <f t="shared" si="19"/>
        <v>9.785686932876791</v>
      </c>
      <c r="AD52" s="114">
        <f>H52*'STS Design Calcs'!$C$343</f>
        <v>7758.4322205120498</v>
      </c>
      <c r="AE52" s="114">
        <f>H52*'STS Design Calcs'!$C$352</f>
        <v>2586.1440735040169</v>
      </c>
      <c r="AF52" s="309">
        <f>H52*'STS Design Calcs'!$C$309</f>
        <v>2501.8595785368479</v>
      </c>
      <c r="AG52" s="309">
        <f>H52*'STS Design Calcs'!$C$317</f>
        <v>2501.8595785368479</v>
      </c>
      <c r="AH52" s="114">
        <f>H52*'STS Design Calcs'!$C$326</f>
        <v>416.97659642280797</v>
      </c>
      <c r="AI52" s="319">
        <f>H52*'STS Design Calcs'!$C$334</f>
        <v>416.97659642280797</v>
      </c>
      <c r="AJ52" s="321">
        <f>'STS Design Calcs'!$C$381*H52</f>
        <v>722227.53592600592</v>
      </c>
      <c r="AK52" s="321">
        <f>'STS Design Calcs'!$C$390*D52</f>
        <v>176677.45455344906</v>
      </c>
      <c r="AL52" s="322">
        <f t="shared" si="20"/>
        <v>898904.99047945498</v>
      </c>
    </row>
    <row r="53" spans="1:38" s="94" customFormat="1" ht="15" customHeight="1" x14ac:dyDescent="0.25">
      <c r="A53" s="113">
        <v>43</v>
      </c>
      <c r="B53" s="343">
        <v>405.14956073542498</v>
      </c>
      <c r="C53" s="343">
        <v>266.5</v>
      </c>
      <c r="D53" s="309">
        <f t="shared" si="21"/>
        <v>577.07834594504175</v>
      </c>
      <c r="E53" s="309">
        <f>3*U53/'STS Design Calcs'!$I$97/'STS Design Calcs'!$L$97/'STS Design Calcs'!$O$97/'STS Design Calcs'!$R$97</f>
        <v>36.23497169247797</v>
      </c>
      <c r="F53" s="309">
        <f t="shared" si="10"/>
        <v>323.16387372922338</v>
      </c>
      <c r="G53" s="309">
        <f t="shared" si="11"/>
        <v>253.91447221581836</v>
      </c>
      <c r="H53" s="309">
        <f t="shared" si="12"/>
        <v>589.66387372922338</v>
      </c>
      <c r="I53" s="309">
        <f t="shared" si="13"/>
        <v>454.04118277150201</v>
      </c>
      <c r="J53" s="309">
        <f t="shared" si="22"/>
        <v>135.62269095772137</v>
      </c>
      <c r="K53" s="309">
        <v>135.69381351713878</v>
      </c>
      <c r="L53" s="309">
        <f t="shared" si="14"/>
        <v>671.64956073542498</v>
      </c>
      <c r="M53" s="114">
        <v>2242</v>
      </c>
      <c r="N53" s="114">
        <v>1100</v>
      </c>
      <c r="O53" s="114">
        <f t="shared" si="23"/>
        <v>3178.336801956721</v>
      </c>
      <c r="P53" s="114">
        <v>1600</v>
      </c>
      <c r="Q53" s="114">
        <f t="shared" si="24"/>
        <v>1374.0238024804128</v>
      </c>
      <c r="R53" s="114">
        <f t="shared" si="25"/>
        <v>5974.0165325235348</v>
      </c>
      <c r="S53" s="309">
        <f t="shared" si="26"/>
        <v>375.7</v>
      </c>
      <c r="T53" s="114">
        <f>O53*'STS Design Calcs'!$C$147*(J53+B53)*3.785*1440/454000</f>
        <v>43159.104046412693</v>
      </c>
      <c r="U53" s="114">
        <v>43154.112007100019</v>
      </c>
      <c r="V53" s="114">
        <f t="shared" si="15"/>
        <v>86318.208092825385</v>
      </c>
      <c r="W53" s="114">
        <f t="shared" si="16"/>
        <v>11668.94294588195</v>
      </c>
      <c r="X53" s="114">
        <f>O53*'STS Design Calcs'!$C$224*('STS Calculation Summary'!D53-J53)*3.785*1440/454000</f>
        <v>8841.7132615419796</v>
      </c>
      <c r="Y53" s="114">
        <f t="shared" si="17"/>
        <v>1613.6126702314111</v>
      </c>
      <c r="Z53" s="114">
        <f>'STS Design Calcs'!$C$269*('STS Calculation Summary'!D53-'STS Calculation Summary'!J53)/365</f>
        <v>53.0447509246669</v>
      </c>
      <c r="AA53" s="323">
        <f t="shared" si="18"/>
        <v>9.6806670437517095</v>
      </c>
      <c r="AB53" s="310">
        <f>L53*1440*'STS Design Calcs'!$C$284</f>
        <v>53.620202371927626</v>
      </c>
      <c r="AC53" s="310">
        <f t="shared" si="19"/>
        <v>9.785686932876791</v>
      </c>
      <c r="AD53" s="114">
        <f>H53*'STS Design Calcs'!$C$343</f>
        <v>7758.4322205120498</v>
      </c>
      <c r="AE53" s="114">
        <f>H53*'STS Design Calcs'!$C$352</f>
        <v>2586.1440735040169</v>
      </c>
      <c r="AF53" s="309">
        <f>H53*'STS Design Calcs'!$C$309</f>
        <v>2501.8595785368479</v>
      </c>
      <c r="AG53" s="309">
        <f>H53*'STS Design Calcs'!$C$317</f>
        <v>2501.8595785368479</v>
      </c>
      <c r="AH53" s="114">
        <f>H53*'STS Design Calcs'!$C$326</f>
        <v>416.97659642280797</v>
      </c>
      <c r="AI53" s="319">
        <f>H53*'STS Design Calcs'!$C$334</f>
        <v>416.97659642280797</v>
      </c>
      <c r="AJ53" s="321">
        <f>'STS Design Calcs'!$C$381*H53</f>
        <v>722227.53592600592</v>
      </c>
      <c r="AK53" s="321">
        <f>'STS Design Calcs'!$C$390*D53</f>
        <v>176677.45455344906</v>
      </c>
      <c r="AL53" s="322">
        <f t="shared" si="20"/>
        <v>898904.99047945498</v>
      </c>
    </row>
    <row r="54" spans="1:38" s="94" customFormat="1" ht="15" customHeight="1" x14ac:dyDescent="0.25">
      <c r="A54" s="113">
        <v>44</v>
      </c>
      <c r="B54" s="343">
        <v>405.14956073542498</v>
      </c>
      <c r="C54" s="343">
        <v>266.5</v>
      </c>
      <c r="D54" s="309">
        <f t="shared" si="21"/>
        <v>577.07834594504175</v>
      </c>
      <c r="E54" s="309">
        <f>3*U54/'STS Design Calcs'!$I$97/'STS Design Calcs'!$L$97/'STS Design Calcs'!$O$97/'STS Design Calcs'!$R$97</f>
        <v>36.23497169247797</v>
      </c>
      <c r="F54" s="309">
        <f t="shared" si="10"/>
        <v>323.16387372922338</v>
      </c>
      <c r="G54" s="309">
        <f t="shared" si="11"/>
        <v>253.91447221581836</v>
      </c>
      <c r="H54" s="309">
        <f t="shared" si="12"/>
        <v>589.66387372922338</v>
      </c>
      <c r="I54" s="309">
        <f t="shared" si="13"/>
        <v>454.04118277150201</v>
      </c>
      <c r="J54" s="309">
        <f t="shared" si="22"/>
        <v>135.62269095772137</v>
      </c>
      <c r="K54" s="309">
        <v>135.69381351713878</v>
      </c>
      <c r="L54" s="309">
        <f t="shared" si="14"/>
        <v>671.64956073542498</v>
      </c>
      <c r="M54" s="114">
        <v>2242</v>
      </c>
      <c r="N54" s="114">
        <v>1100</v>
      </c>
      <c r="O54" s="114">
        <f t="shared" si="23"/>
        <v>3178.336801956721</v>
      </c>
      <c r="P54" s="114">
        <v>1600</v>
      </c>
      <c r="Q54" s="114">
        <f t="shared" si="24"/>
        <v>1374.0238024804128</v>
      </c>
      <c r="R54" s="114">
        <f t="shared" si="25"/>
        <v>5974.0165325235348</v>
      </c>
      <c r="S54" s="309">
        <f t="shared" si="26"/>
        <v>375.7</v>
      </c>
      <c r="T54" s="114">
        <f>O54*'STS Design Calcs'!$C$147*(J54+B54)*3.785*1440/454000</f>
        <v>43159.104046412693</v>
      </c>
      <c r="U54" s="114">
        <v>43154.112007100019</v>
      </c>
      <c r="V54" s="114">
        <f t="shared" si="15"/>
        <v>86318.208092825385</v>
      </c>
      <c r="W54" s="114">
        <f t="shared" si="16"/>
        <v>11668.94294588195</v>
      </c>
      <c r="X54" s="114">
        <f>O54*'STS Design Calcs'!$C$224*('STS Calculation Summary'!D54-J54)*3.785*1440/454000</f>
        <v>8841.7132615419796</v>
      </c>
      <c r="Y54" s="114">
        <f t="shared" si="17"/>
        <v>1613.6126702314111</v>
      </c>
      <c r="Z54" s="114">
        <f>'STS Design Calcs'!$C$269*('STS Calculation Summary'!D54-'STS Calculation Summary'!J54)/365</f>
        <v>53.0447509246669</v>
      </c>
      <c r="AA54" s="323">
        <f t="shared" si="18"/>
        <v>9.6806670437517095</v>
      </c>
      <c r="AB54" s="310">
        <f>L54*1440*'STS Design Calcs'!$C$284</f>
        <v>53.620202371927626</v>
      </c>
      <c r="AC54" s="310">
        <f t="shared" si="19"/>
        <v>9.785686932876791</v>
      </c>
      <c r="AD54" s="114">
        <f>H54*'STS Design Calcs'!$C$343</f>
        <v>7758.4322205120498</v>
      </c>
      <c r="AE54" s="114">
        <f>H54*'STS Design Calcs'!$C$352</f>
        <v>2586.1440735040169</v>
      </c>
      <c r="AF54" s="309">
        <f>H54*'STS Design Calcs'!$C$309</f>
        <v>2501.8595785368479</v>
      </c>
      <c r="AG54" s="309">
        <f>H54*'STS Design Calcs'!$C$317</f>
        <v>2501.8595785368479</v>
      </c>
      <c r="AH54" s="114">
        <f>H54*'STS Design Calcs'!$C$326</f>
        <v>416.97659642280797</v>
      </c>
      <c r="AI54" s="319">
        <f>H54*'STS Design Calcs'!$C$334</f>
        <v>416.97659642280797</v>
      </c>
      <c r="AJ54" s="321">
        <f>'STS Design Calcs'!$C$381*H54</f>
        <v>722227.53592600592</v>
      </c>
      <c r="AK54" s="321">
        <f>'STS Design Calcs'!$C$390*D54</f>
        <v>176677.45455344906</v>
      </c>
      <c r="AL54" s="322">
        <f t="shared" si="20"/>
        <v>898904.99047945498</v>
      </c>
    </row>
    <row r="55" spans="1:38" s="94" customFormat="1" ht="15" customHeight="1" x14ac:dyDescent="0.25">
      <c r="A55" s="113">
        <v>45</v>
      </c>
      <c r="B55" s="343">
        <v>405.14956073542498</v>
      </c>
      <c r="C55" s="343">
        <v>266.5</v>
      </c>
      <c r="D55" s="309">
        <f t="shared" si="21"/>
        <v>577.07834594504175</v>
      </c>
      <c r="E55" s="309">
        <f>3*U55/'STS Design Calcs'!$I$97/'STS Design Calcs'!$L$97/'STS Design Calcs'!$O$97/'STS Design Calcs'!$R$97</f>
        <v>36.23497169247797</v>
      </c>
      <c r="F55" s="309">
        <f t="shared" si="10"/>
        <v>323.16387372922338</v>
      </c>
      <c r="G55" s="309">
        <f t="shared" si="11"/>
        <v>253.91447221581836</v>
      </c>
      <c r="H55" s="309">
        <f t="shared" si="12"/>
        <v>589.66387372922338</v>
      </c>
      <c r="I55" s="309">
        <f t="shared" si="13"/>
        <v>454.04118277150201</v>
      </c>
      <c r="J55" s="309">
        <f t="shared" si="22"/>
        <v>135.62269095772137</v>
      </c>
      <c r="K55" s="309">
        <v>135.69381351713878</v>
      </c>
      <c r="L55" s="309">
        <f t="shared" si="14"/>
        <v>671.64956073542498</v>
      </c>
      <c r="M55" s="114">
        <v>2242</v>
      </c>
      <c r="N55" s="114">
        <v>1100</v>
      </c>
      <c r="O55" s="114">
        <f t="shared" si="23"/>
        <v>3178.336801956721</v>
      </c>
      <c r="P55" s="114">
        <v>1600</v>
      </c>
      <c r="Q55" s="114">
        <f t="shared" si="24"/>
        <v>1374.0238024804128</v>
      </c>
      <c r="R55" s="114">
        <f t="shared" si="25"/>
        <v>5974.0165325235348</v>
      </c>
      <c r="S55" s="309">
        <f t="shared" si="26"/>
        <v>375.7</v>
      </c>
      <c r="T55" s="114">
        <f>O55*'STS Design Calcs'!$C$147*(J55+B55)*3.785*1440/454000</f>
        <v>43159.104046412693</v>
      </c>
      <c r="U55" s="114">
        <v>43154.112007100019</v>
      </c>
      <c r="V55" s="114">
        <f t="shared" si="15"/>
        <v>86318.208092825385</v>
      </c>
      <c r="W55" s="114">
        <f t="shared" si="16"/>
        <v>11668.94294588195</v>
      </c>
      <c r="X55" s="114">
        <f>O55*'STS Design Calcs'!$C$224*('STS Calculation Summary'!D55-J55)*3.785*1440/454000</f>
        <v>8841.7132615419796</v>
      </c>
      <c r="Y55" s="114">
        <f t="shared" si="17"/>
        <v>1613.6126702314111</v>
      </c>
      <c r="Z55" s="114">
        <f>'STS Design Calcs'!$C$269*('STS Calculation Summary'!D55-'STS Calculation Summary'!J55)/365</f>
        <v>53.0447509246669</v>
      </c>
      <c r="AA55" s="323">
        <f t="shared" si="18"/>
        <v>9.6806670437517095</v>
      </c>
      <c r="AB55" s="310">
        <f>L55*1440*'STS Design Calcs'!$C$284</f>
        <v>53.620202371927626</v>
      </c>
      <c r="AC55" s="310">
        <f t="shared" si="19"/>
        <v>9.785686932876791</v>
      </c>
      <c r="AD55" s="114">
        <f>H55*'STS Design Calcs'!$C$343</f>
        <v>7758.4322205120498</v>
      </c>
      <c r="AE55" s="114">
        <f>H55*'STS Design Calcs'!$C$352</f>
        <v>2586.1440735040169</v>
      </c>
      <c r="AF55" s="309">
        <f>H55*'STS Design Calcs'!$C$309</f>
        <v>2501.8595785368479</v>
      </c>
      <c r="AG55" s="309">
        <f>H55*'STS Design Calcs'!$C$317</f>
        <v>2501.8595785368479</v>
      </c>
      <c r="AH55" s="114">
        <f>H55*'STS Design Calcs'!$C$326</f>
        <v>416.97659642280797</v>
      </c>
      <c r="AI55" s="319">
        <f>H55*'STS Design Calcs'!$C$334</f>
        <v>416.97659642280797</v>
      </c>
      <c r="AJ55" s="321">
        <f>'STS Design Calcs'!$C$381*H55</f>
        <v>722227.53592600592</v>
      </c>
      <c r="AK55" s="321">
        <f>'STS Design Calcs'!$C$390*D55</f>
        <v>176677.45455344906</v>
      </c>
      <c r="AL55" s="322">
        <f t="shared" si="20"/>
        <v>898904.99047945498</v>
      </c>
    </row>
    <row r="56" spans="1:38" s="94" customFormat="1" ht="15" customHeight="1" x14ac:dyDescent="0.25">
      <c r="A56" s="113">
        <v>46</v>
      </c>
      <c r="B56" s="343">
        <v>405.14956073542498</v>
      </c>
      <c r="C56" s="343">
        <v>266.5</v>
      </c>
      <c r="D56" s="309">
        <f t="shared" si="21"/>
        <v>577.07834594504175</v>
      </c>
      <c r="E56" s="309">
        <f>3*U56/'STS Design Calcs'!$I$97/'STS Design Calcs'!$L$97/'STS Design Calcs'!$O$97/'STS Design Calcs'!$R$97</f>
        <v>36.23497169247797</v>
      </c>
      <c r="F56" s="309">
        <f t="shared" si="10"/>
        <v>323.16387372922338</v>
      </c>
      <c r="G56" s="309">
        <f t="shared" si="11"/>
        <v>253.91447221581836</v>
      </c>
      <c r="H56" s="309">
        <f t="shared" si="12"/>
        <v>589.66387372922338</v>
      </c>
      <c r="I56" s="309">
        <f t="shared" si="13"/>
        <v>454.04118277150201</v>
      </c>
      <c r="J56" s="309">
        <f t="shared" si="22"/>
        <v>135.62269095772137</v>
      </c>
      <c r="K56" s="309">
        <v>135.69381351713878</v>
      </c>
      <c r="L56" s="309">
        <f t="shared" si="14"/>
        <v>671.64956073542498</v>
      </c>
      <c r="M56" s="114">
        <v>2242</v>
      </c>
      <c r="N56" s="114">
        <v>1100</v>
      </c>
      <c r="O56" s="114">
        <f t="shared" si="23"/>
        <v>3178.336801956721</v>
      </c>
      <c r="P56" s="114">
        <v>1600</v>
      </c>
      <c r="Q56" s="114">
        <f t="shared" si="24"/>
        <v>1374.0238024804128</v>
      </c>
      <c r="R56" s="114">
        <f t="shared" si="25"/>
        <v>5974.0165325235348</v>
      </c>
      <c r="S56" s="309">
        <f t="shared" si="26"/>
        <v>375.7</v>
      </c>
      <c r="T56" s="114">
        <f>O56*'STS Design Calcs'!$C$147*(J56+B56)*3.785*1440/454000</f>
        <v>43159.104046412693</v>
      </c>
      <c r="U56" s="114">
        <v>43154.112007100019</v>
      </c>
      <c r="V56" s="114">
        <f t="shared" si="15"/>
        <v>86318.208092825385</v>
      </c>
      <c r="W56" s="114">
        <f t="shared" si="16"/>
        <v>11668.94294588195</v>
      </c>
      <c r="X56" s="114">
        <f>O56*'STS Design Calcs'!$C$224*('STS Calculation Summary'!D56-J56)*3.785*1440/454000</f>
        <v>8841.7132615419796</v>
      </c>
      <c r="Y56" s="114">
        <f t="shared" si="17"/>
        <v>1613.6126702314111</v>
      </c>
      <c r="Z56" s="114">
        <f>'STS Design Calcs'!$C$269*('STS Calculation Summary'!D56-'STS Calculation Summary'!J56)/365</f>
        <v>53.0447509246669</v>
      </c>
      <c r="AA56" s="323">
        <f t="shared" si="18"/>
        <v>9.6806670437517095</v>
      </c>
      <c r="AB56" s="310">
        <f>L56*1440*'STS Design Calcs'!$C$284</f>
        <v>53.620202371927626</v>
      </c>
      <c r="AC56" s="310">
        <f t="shared" si="19"/>
        <v>9.785686932876791</v>
      </c>
      <c r="AD56" s="114">
        <f>H56*'STS Design Calcs'!$C$343</f>
        <v>7758.4322205120498</v>
      </c>
      <c r="AE56" s="114">
        <f>H56*'STS Design Calcs'!$C$352</f>
        <v>2586.1440735040169</v>
      </c>
      <c r="AF56" s="309">
        <f>H56*'STS Design Calcs'!$C$309</f>
        <v>2501.8595785368479</v>
      </c>
      <c r="AG56" s="309">
        <f>H56*'STS Design Calcs'!$C$317</f>
        <v>2501.8595785368479</v>
      </c>
      <c r="AH56" s="114">
        <f>H56*'STS Design Calcs'!$C$326</f>
        <v>416.97659642280797</v>
      </c>
      <c r="AI56" s="319">
        <f>H56*'STS Design Calcs'!$C$334</f>
        <v>416.97659642280797</v>
      </c>
      <c r="AJ56" s="321">
        <f>'STS Design Calcs'!$C$381*H56</f>
        <v>722227.53592600592</v>
      </c>
      <c r="AK56" s="321">
        <f>'STS Design Calcs'!$C$390*D56</f>
        <v>176677.45455344906</v>
      </c>
      <c r="AL56" s="322">
        <f t="shared" si="20"/>
        <v>898904.99047945498</v>
      </c>
    </row>
    <row r="57" spans="1:38" s="94" customFormat="1" ht="15" customHeight="1" x14ac:dyDescent="0.25">
      <c r="A57" s="113">
        <v>47</v>
      </c>
      <c r="B57" s="343">
        <v>405.14956073542498</v>
      </c>
      <c r="C57" s="343">
        <v>266.5</v>
      </c>
      <c r="D57" s="309">
        <f t="shared" si="21"/>
        <v>577.07834594504175</v>
      </c>
      <c r="E57" s="309">
        <f>3*U57/'STS Design Calcs'!$I$97/'STS Design Calcs'!$L$97/'STS Design Calcs'!$O$97/'STS Design Calcs'!$R$97</f>
        <v>36.23497169247797</v>
      </c>
      <c r="F57" s="309">
        <f t="shared" si="10"/>
        <v>323.16387372922338</v>
      </c>
      <c r="G57" s="309">
        <f t="shared" si="11"/>
        <v>253.91447221581836</v>
      </c>
      <c r="H57" s="309">
        <f t="shared" si="12"/>
        <v>589.66387372922338</v>
      </c>
      <c r="I57" s="309">
        <f t="shared" si="13"/>
        <v>454.04118277150201</v>
      </c>
      <c r="J57" s="309">
        <f t="shared" si="22"/>
        <v>135.62269095772137</v>
      </c>
      <c r="K57" s="309">
        <v>135.69381351713878</v>
      </c>
      <c r="L57" s="309">
        <f t="shared" si="14"/>
        <v>671.64956073542498</v>
      </c>
      <c r="M57" s="114">
        <v>2242</v>
      </c>
      <c r="N57" s="114">
        <v>1100</v>
      </c>
      <c r="O57" s="114">
        <f t="shared" si="23"/>
        <v>3178.336801956721</v>
      </c>
      <c r="P57" s="114">
        <v>1600</v>
      </c>
      <c r="Q57" s="114">
        <f t="shared" si="24"/>
        <v>1374.0238024804128</v>
      </c>
      <c r="R57" s="114">
        <f t="shared" si="25"/>
        <v>5974.0165325235348</v>
      </c>
      <c r="S57" s="309">
        <f t="shared" si="26"/>
        <v>375.7</v>
      </c>
      <c r="T57" s="114">
        <f>O57*'STS Design Calcs'!$C$147*(J57+B57)*3.785*1440/454000</f>
        <v>43159.104046412693</v>
      </c>
      <c r="U57" s="114">
        <v>43154.112007100019</v>
      </c>
      <c r="V57" s="114">
        <f t="shared" si="15"/>
        <v>86318.208092825385</v>
      </c>
      <c r="W57" s="114">
        <f t="shared" si="16"/>
        <v>11668.94294588195</v>
      </c>
      <c r="X57" s="114">
        <f>O57*'STS Design Calcs'!$C$224*('STS Calculation Summary'!D57-J57)*3.785*1440/454000</f>
        <v>8841.7132615419796</v>
      </c>
      <c r="Y57" s="114">
        <f t="shared" si="17"/>
        <v>1613.6126702314111</v>
      </c>
      <c r="Z57" s="114">
        <f>'STS Design Calcs'!$C$269*('STS Calculation Summary'!D57-'STS Calculation Summary'!J57)/365</f>
        <v>53.0447509246669</v>
      </c>
      <c r="AA57" s="323">
        <f t="shared" si="18"/>
        <v>9.6806670437517095</v>
      </c>
      <c r="AB57" s="310">
        <f>L57*1440*'STS Design Calcs'!$C$284</f>
        <v>53.620202371927626</v>
      </c>
      <c r="AC57" s="310">
        <f t="shared" si="19"/>
        <v>9.785686932876791</v>
      </c>
      <c r="AD57" s="114">
        <f>H57*'STS Design Calcs'!$C$343</f>
        <v>7758.4322205120498</v>
      </c>
      <c r="AE57" s="114">
        <f>H57*'STS Design Calcs'!$C$352</f>
        <v>2586.1440735040169</v>
      </c>
      <c r="AF57" s="309">
        <f>H57*'STS Design Calcs'!$C$309</f>
        <v>2501.8595785368479</v>
      </c>
      <c r="AG57" s="309">
        <f>H57*'STS Design Calcs'!$C$317</f>
        <v>2501.8595785368479</v>
      </c>
      <c r="AH57" s="114">
        <f>H57*'STS Design Calcs'!$C$326</f>
        <v>416.97659642280797</v>
      </c>
      <c r="AI57" s="319">
        <f>H57*'STS Design Calcs'!$C$334</f>
        <v>416.97659642280797</v>
      </c>
      <c r="AJ57" s="321">
        <f>'STS Design Calcs'!$C$381*H57</f>
        <v>722227.53592600592</v>
      </c>
      <c r="AK57" s="321">
        <f>'STS Design Calcs'!$C$390*D57</f>
        <v>176677.45455344906</v>
      </c>
      <c r="AL57" s="322">
        <f t="shared" si="20"/>
        <v>898904.99047945498</v>
      </c>
    </row>
    <row r="58" spans="1:38" s="94" customFormat="1" ht="15" customHeight="1" x14ac:dyDescent="0.25">
      <c r="A58" s="113">
        <v>48</v>
      </c>
      <c r="B58" s="343">
        <v>405.14956073542498</v>
      </c>
      <c r="C58" s="343">
        <v>266.5</v>
      </c>
      <c r="D58" s="309">
        <f t="shared" si="21"/>
        <v>577.07834594504175</v>
      </c>
      <c r="E58" s="309">
        <f>3*U58/'STS Design Calcs'!$I$97/'STS Design Calcs'!$L$97/'STS Design Calcs'!$O$97/'STS Design Calcs'!$R$97</f>
        <v>36.23497169247797</v>
      </c>
      <c r="F58" s="309">
        <f t="shared" si="10"/>
        <v>323.16387372922338</v>
      </c>
      <c r="G58" s="309">
        <f t="shared" si="11"/>
        <v>253.91447221581836</v>
      </c>
      <c r="H58" s="309">
        <f t="shared" si="12"/>
        <v>589.66387372922338</v>
      </c>
      <c r="I58" s="309">
        <f t="shared" si="13"/>
        <v>454.04118277150201</v>
      </c>
      <c r="J58" s="309">
        <f t="shared" si="22"/>
        <v>135.62269095772137</v>
      </c>
      <c r="K58" s="309">
        <v>135.69381351713878</v>
      </c>
      <c r="L58" s="309">
        <f t="shared" si="14"/>
        <v>671.64956073542498</v>
      </c>
      <c r="M58" s="114">
        <v>2242</v>
      </c>
      <c r="N58" s="114">
        <v>1100</v>
      </c>
      <c r="O58" s="114">
        <f t="shared" si="23"/>
        <v>3178.336801956721</v>
      </c>
      <c r="P58" s="114">
        <v>1600</v>
      </c>
      <c r="Q58" s="114">
        <f t="shared" si="24"/>
        <v>1374.0238024804128</v>
      </c>
      <c r="R58" s="114">
        <f t="shared" si="25"/>
        <v>5974.0165325235348</v>
      </c>
      <c r="S58" s="309">
        <f t="shared" si="26"/>
        <v>375.7</v>
      </c>
      <c r="T58" s="114">
        <f>O58*'STS Design Calcs'!$C$147*(J58+B58)*3.785*1440/454000</f>
        <v>43159.104046412693</v>
      </c>
      <c r="U58" s="114">
        <v>43154.112007100019</v>
      </c>
      <c r="V58" s="114">
        <f t="shared" si="15"/>
        <v>86318.208092825385</v>
      </c>
      <c r="W58" s="114">
        <f t="shared" si="16"/>
        <v>11668.94294588195</v>
      </c>
      <c r="X58" s="114">
        <f>O58*'STS Design Calcs'!$C$224*('STS Calculation Summary'!D58-J58)*3.785*1440/454000</f>
        <v>8841.7132615419796</v>
      </c>
      <c r="Y58" s="114">
        <f t="shared" si="17"/>
        <v>1613.6126702314111</v>
      </c>
      <c r="Z58" s="114">
        <f>'STS Design Calcs'!$C$269*('STS Calculation Summary'!D58-'STS Calculation Summary'!J58)/365</f>
        <v>53.0447509246669</v>
      </c>
      <c r="AA58" s="323">
        <f t="shared" si="18"/>
        <v>9.6806670437517095</v>
      </c>
      <c r="AB58" s="310">
        <f>L58*1440*'STS Design Calcs'!$C$284</f>
        <v>53.620202371927626</v>
      </c>
      <c r="AC58" s="310">
        <f t="shared" si="19"/>
        <v>9.785686932876791</v>
      </c>
      <c r="AD58" s="114">
        <f>H58*'STS Design Calcs'!$C$343</f>
        <v>7758.4322205120498</v>
      </c>
      <c r="AE58" s="114">
        <f>H58*'STS Design Calcs'!$C$352</f>
        <v>2586.1440735040169</v>
      </c>
      <c r="AF58" s="309">
        <f>H58*'STS Design Calcs'!$C$309</f>
        <v>2501.8595785368479</v>
      </c>
      <c r="AG58" s="309">
        <f>H58*'STS Design Calcs'!$C$317</f>
        <v>2501.8595785368479</v>
      </c>
      <c r="AH58" s="114">
        <f>H58*'STS Design Calcs'!$C$326</f>
        <v>416.97659642280797</v>
      </c>
      <c r="AI58" s="319">
        <f>H58*'STS Design Calcs'!$C$334</f>
        <v>416.97659642280797</v>
      </c>
      <c r="AJ58" s="321">
        <f>'STS Design Calcs'!$C$381*H58</f>
        <v>722227.53592600592</v>
      </c>
      <c r="AK58" s="321">
        <f>'STS Design Calcs'!$C$390*D58</f>
        <v>176677.45455344906</v>
      </c>
      <c r="AL58" s="322">
        <f t="shared" si="20"/>
        <v>898904.99047945498</v>
      </c>
    </row>
    <row r="59" spans="1:38" s="94" customFormat="1" ht="15" customHeight="1" x14ac:dyDescent="0.25">
      <c r="A59" s="113">
        <v>49</v>
      </c>
      <c r="B59" s="343">
        <v>405.14956073542498</v>
      </c>
      <c r="C59" s="343">
        <v>266.5</v>
      </c>
      <c r="D59" s="309">
        <f t="shared" si="21"/>
        <v>577.07834594504175</v>
      </c>
      <c r="E59" s="309">
        <f>3*U59/'STS Design Calcs'!$I$97/'STS Design Calcs'!$L$97/'STS Design Calcs'!$O$97/'STS Design Calcs'!$R$97</f>
        <v>36.23497169247797</v>
      </c>
      <c r="F59" s="309">
        <f t="shared" si="10"/>
        <v>323.16387372922338</v>
      </c>
      <c r="G59" s="309">
        <f t="shared" si="11"/>
        <v>253.91447221581836</v>
      </c>
      <c r="H59" s="309">
        <f t="shared" si="12"/>
        <v>589.66387372922338</v>
      </c>
      <c r="I59" s="309">
        <f t="shared" si="13"/>
        <v>454.04118277150201</v>
      </c>
      <c r="J59" s="309">
        <f t="shared" si="22"/>
        <v>135.62269095772137</v>
      </c>
      <c r="K59" s="309">
        <v>135.69381351713878</v>
      </c>
      <c r="L59" s="309">
        <f t="shared" si="14"/>
        <v>671.64956073542498</v>
      </c>
      <c r="M59" s="114">
        <v>2242</v>
      </c>
      <c r="N59" s="114">
        <v>1100</v>
      </c>
      <c r="O59" s="114">
        <f t="shared" si="23"/>
        <v>3178.336801956721</v>
      </c>
      <c r="P59" s="114">
        <v>1600</v>
      </c>
      <c r="Q59" s="114">
        <f t="shared" si="24"/>
        <v>1374.0238024804128</v>
      </c>
      <c r="R59" s="114">
        <f t="shared" si="25"/>
        <v>5974.0165325235348</v>
      </c>
      <c r="S59" s="309">
        <f t="shared" si="26"/>
        <v>375.7</v>
      </c>
      <c r="T59" s="114">
        <f>O59*'STS Design Calcs'!$C$147*(J59+B59)*3.785*1440/454000</f>
        <v>43159.104046412693</v>
      </c>
      <c r="U59" s="114">
        <v>43154.112007100019</v>
      </c>
      <c r="V59" s="114">
        <f t="shared" si="15"/>
        <v>86318.208092825385</v>
      </c>
      <c r="W59" s="114">
        <f t="shared" si="16"/>
        <v>11668.94294588195</v>
      </c>
      <c r="X59" s="114">
        <f>O59*'STS Design Calcs'!$C$224*('STS Calculation Summary'!D59-J59)*3.785*1440/454000</f>
        <v>8841.7132615419796</v>
      </c>
      <c r="Y59" s="114">
        <f t="shared" si="17"/>
        <v>1613.6126702314111</v>
      </c>
      <c r="Z59" s="114">
        <f>'STS Design Calcs'!$C$269*('STS Calculation Summary'!D59-'STS Calculation Summary'!J59)/365</f>
        <v>53.0447509246669</v>
      </c>
      <c r="AA59" s="323">
        <f t="shared" si="18"/>
        <v>9.6806670437517095</v>
      </c>
      <c r="AB59" s="310">
        <f>L59*1440*'STS Design Calcs'!$C$284</f>
        <v>53.620202371927626</v>
      </c>
      <c r="AC59" s="310">
        <f t="shared" si="19"/>
        <v>9.785686932876791</v>
      </c>
      <c r="AD59" s="114">
        <f>H59*'STS Design Calcs'!$C$343</f>
        <v>7758.4322205120498</v>
      </c>
      <c r="AE59" s="114">
        <f>H59*'STS Design Calcs'!$C$352</f>
        <v>2586.1440735040169</v>
      </c>
      <c r="AF59" s="309">
        <f>H59*'STS Design Calcs'!$C$309</f>
        <v>2501.8595785368479</v>
      </c>
      <c r="AG59" s="309">
        <f>H59*'STS Design Calcs'!$C$317</f>
        <v>2501.8595785368479</v>
      </c>
      <c r="AH59" s="114">
        <f>H59*'STS Design Calcs'!$C$326</f>
        <v>416.97659642280797</v>
      </c>
      <c r="AI59" s="319">
        <f>H59*'STS Design Calcs'!$C$334</f>
        <v>416.97659642280797</v>
      </c>
      <c r="AJ59" s="321">
        <f>'STS Design Calcs'!$C$381*H59</f>
        <v>722227.53592600592</v>
      </c>
      <c r="AK59" s="321">
        <f>'STS Design Calcs'!$C$390*D59</f>
        <v>176677.45455344906</v>
      </c>
      <c r="AL59" s="322">
        <f t="shared" si="20"/>
        <v>898904.99047945498</v>
      </c>
    </row>
    <row r="60" spans="1:38" s="94" customFormat="1" ht="15" customHeight="1" x14ac:dyDescent="0.25">
      <c r="A60" s="113">
        <v>50</v>
      </c>
      <c r="B60" s="343">
        <v>405.14956073542498</v>
      </c>
      <c r="C60" s="343">
        <v>266.5</v>
      </c>
      <c r="D60" s="309">
        <f t="shared" si="21"/>
        <v>577.07834333198446</v>
      </c>
      <c r="E60" s="309">
        <f>3*U60/'STS Design Calcs'!$I$97/'STS Design Calcs'!$L$97/'STS Design Calcs'!$O$97/'STS Design Calcs'!$R$97</f>
        <v>36.234971507796594</v>
      </c>
      <c r="F60" s="309">
        <f t="shared" si="10"/>
        <v>323.16387226591132</v>
      </c>
      <c r="G60" s="309">
        <f t="shared" si="11"/>
        <v>253.91447106607316</v>
      </c>
      <c r="H60" s="309">
        <f t="shared" si="12"/>
        <v>589.66387226591132</v>
      </c>
      <c r="I60" s="309">
        <f t="shared" si="13"/>
        <v>454.0411816447517</v>
      </c>
      <c r="J60" s="309">
        <f t="shared" si="22"/>
        <v>135.62269062115962</v>
      </c>
      <c r="K60" s="309">
        <v>135.69381108876291</v>
      </c>
      <c r="L60" s="309">
        <f t="shared" si="14"/>
        <v>671.64956073542498</v>
      </c>
      <c r="M60" s="114">
        <v>2242</v>
      </c>
      <c r="N60" s="114">
        <v>1100</v>
      </c>
      <c r="O60" s="114">
        <f t="shared" si="23"/>
        <v>3178.3367887924501</v>
      </c>
      <c r="P60" s="114">
        <v>1600</v>
      </c>
      <c r="Q60" s="114">
        <f t="shared" si="24"/>
        <v>1374.0238019196292</v>
      </c>
      <c r="R60" s="114">
        <f t="shared" si="25"/>
        <v>5974.016530085345</v>
      </c>
      <c r="S60" s="309">
        <f t="shared" si="26"/>
        <v>375.70000000000005</v>
      </c>
      <c r="T60" s="114">
        <f>O60*'STS Design Calcs'!$C$147*(J60+B60)*3.785*1440/454000</f>
        <v>43159.103840792071</v>
      </c>
      <c r="U60" s="114">
        <v>43154.111787153364</v>
      </c>
      <c r="V60" s="114">
        <f t="shared" si="15"/>
        <v>86318.207681584143</v>
      </c>
      <c r="W60" s="114">
        <f t="shared" si="16"/>
        <v>11668.942890288228</v>
      </c>
      <c r="X60" s="114">
        <f>O60*'STS Design Calcs'!$C$224*('STS Calculation Summary'!D60-J60)*3.785*1440/454000</f>
        <v>8841.7131793258286</v>
      </c>
      <c r="Y60" s="114">
        <f t="shared" si="17"/>
        <v>1613.6126552269639</v>
      </c>
      <c r="Z60" s="114">
        <f>'STS Design Calcs'!$C$269*('STS Calculation Summary'!D60-'STS Calculation Summary'!J60)/365</f>
        <v>53.044750651126087</v>
      </c>
      <c r="AA60" s="323">
        <f t="shared" si="18"/>
        <v>9.6806669938305117</v>
      </c>
      <c r="AB60" s="310">
        <f>L60*1440*'STS Design Calcs'!$C$284</f>
        <v>53.620202371927626</v>
      </c>
      <c r="AC60" s="310">
        <f t="shared" si="19"/>
        <v>9.785686932876791</v>
      </c>
      <c r="AD60" s="114">
        <f>H60*'STS Design Calcs'!$C$343</f>
        <v>7758.4322012586954</v>
      </c>
      <c r="AE60" s="114">
        <f>H60*'STS Design Calcs'!$C$352</f>
        <v>2586.1440670862321</v>
      </c>
      <c r="AF60" s="309">
        <f>H60*'STS Design Calcs'!$C$309</f>
        <v>2501.8595723282237</v>
      </c>
      <c r="AG60" s="309">
        <f>H60*'STS Design Calcs'!$C$317</f>
        <v>2501.8595723282237</v>
      </c>
      <c r="AH60" s="114">
        <f>H60*'STS Design Calcs'!$C$326</f>
        <v>416.97659538803731</v>
      </c>
      <c r="AI60" s="319">
        <f>H60*'STS Design Calcs'!$C$334</f>
        <v>416.97659538803731</v>
      </c>
      <c r="AJ60" s="321">
        <f>'STS Design Calcs'!$C$381*H60</f>
        <v>722227.53413372347</v>
      </c>
      <c r="AK60" s="321">
        <f>'STS Design Calcs'!$C$390*D60</f>
        <v>176677.45375343927</v>
      </c>
      <c r="AL60" s="322">
        <f t="shared" si="20"/>
        <v>898904.98788716272</v>
      </c>
    </row>
    <row r="61" spans="1:38" s="94" customFormat="1" ht="15" customHeight="1" x14ac:dyDescent="0.25">
      <c r="A61" s="113">
        <v>51</v>
      </c>
      <c r="B61" s="343">
        <v>405.14956073542498</v>
      </c>
      <c r="C61" s="343">
        <v>266.5</v>
      </c>
      <c r="D61" s="309">
        <f t="shared" si="21"/>
        <v>577.07834594504175</v>
      </c>
      <c r="E61" s="309">
        <f>3*U61/'STS Design Calcs'!$I$97/'STS Design Calcs'!$L$97/'STS Design Calcs'!$O$97/'STS Design Calcs'!$R$97</f>
        <v>36.23497169247797</v>
      </c>
      <c r="F61" s="309">
        <f t="shared" si="10"/>
        <v>323.16387372922338</v>
      </c>
      <c r="G61" s="309">
        <f t="shared" si="11"/>
        <v>253.91447221581836</v>
      </c>
      <c r="H61" s="309">
        <f t="shared" si="12"/>
        <v>589.66387372922338</v>
      </c>
      <c r="I61" s="309">
        <f t="shared" si="13"/>
        <v>454.04118277150201</v>
      </c>
      <c r="J61" s="309">
        <f t="shared" si="22"/>
        <v>135.62269095772137</v>
      </c>
      <c r="K61" s="309">
        <v>135.69381351713878</v>
      </c>
      <c r="L61" s="309">
        <f t="shared" si="14"/>
        <v>671.64956073542498</v>
      </c>
      <c r="M61" s="114">
        <v>2242</v>
      </c>
      <c r="N61" s="114">
        <v>1100</v>
      </c>
      <c r="O61" s="114">
        <f t="shared" si="23"/>
        <v>3178.336801956721</v>
      </c>
      <c r="P61" s="114">
        <v>1600</v>
      </c>
      <c r="Q61" s="114">
        <f t="shared" si="24"/>
        <v>1374.0238024804128</v>
      </c>
      <c r="R61" s="114">
        <f t="shared" si="25"/>
        <v>5974.0165325235348</v>
      </c>
      <c r="S61" s="309">
        <f t="shared" si="26"/>
        <v>375.7</v>
      </c>
      <c r="T61" s="114">
        <f>O61*'STS Design Calcs'!$C$147*(J61+B61)*3.785*1440/454000</f>
        <v>43159.104046412693</v>
      </c>
      <c r="U61" s="114">
        <v>43154.112007100019</v>
      </c>
      <c r="V61" s="114">
        <f t="shared" si="15"/>
        <v>86318.208092825385</v>
      </c>
      <c r="W61" s="114">
        <f t="shared" si="16"/>
        <v>11668.94294588195</v>
      </c>
      <c r="X61" s="114">
        <f>O61*'STS Design Calcs'!$C$224*('STS Calculation Summary'!D61-J61)*3.785*1440/454000</f>
        <v>8841.7132615419796</v>
      </c>
      <c r="Y61" s="114">
        <f t="shared" si="17"/>
        <v>1613.6126702314111</v>
      </c>
      <c r="Z61" s="114">
        <f>'STS Design Calcs'!$C$269*('STS Calculation Summary'!D61-'STS Calculation Summary'!J61)/365</f>
        <v>53.0447509246669</v>
      </c>
      <c r="AA61" s="323">
        <f t="shared" si="18"/>
        <v>9.6806670437517095</v>
      </c>
      <c r="AB61" s="310">
        <f>L61*1440*'STS Design Calcs'!$C$284</f>
        <v>53.620202371927626</v>
      </c>
      <c r="AC61" s="310">
        <f t="shared" si="19"/>
        <v>9.785686932876791</v>
      </c>
      <c r="AD61" s="114">
        <f>H61*'STS Design Calcs'!$C$343</f>
        <v>7758.4322205120498</v>
      </c>
      <c r="AE61" s="114">
        <f>H61*'STS Design Calcs'!$C$352</f>
        <v>2586.1440735040169</v>
      </c>
      <c r="AF61" s="309">
        <f>H61*'STS Design Calcs'!$C$309</f>
        <v>2501.8595785368479</v>
      </c>
      <c r="AG61" s="309">
        <f>H61*'STS Design Calcs'!$C$317</f>
        <v>2501.8595785368479</v>
      </c>
      <c r="AH61" s="114">
        <f>H61*'STS Design Calcs'!$C$326</f>
        <v>416.97659642280797</v>
      </c>
      <c r="AI61" s="319">
        <f>H61*'STS Design Calcs'!$C$334</f>
        <v>416.97659642280797</v>
      </c>
      <c r="AJ61" s="321">
        <f>'STS Design Calcs'!$C$381*H61</f>
        <v>722227.53592600592</v>
      </c>
      <c r="AK61" s="321">
        <f>'STS Design Calcs'!$C$390*D61</f>
        <v>176677.45455344906</v>
      </c>
      <c r="AL61" s="322">
        <f t="shared" si="20"/>
        <v>898904.99047945498</v>
      </c>
    </row>
    <row r="62" spans="1:38" s="94" customFormat="1" ht="15" customHeight="1" x14ac:dyDescent="0.25">
      <c r="A62" s="113">
        <v>52</v>
      </c>
      <c r="B62" s="343">
        <v>405.14956073542498</v>
      </c>
      <c r="C62" s="343">
        <v>266.5</v>
      </c>
      <c r="D62" s="309">
        <f t="shared" si="21"/>
        <v>577.07834594504175</v>
      </c>
      <c r="E62" s="309">
        <f>3*U62/'STS Design Calcs'!$I$97/'STS Design Calcs'!$L$97/'STS Design Calcs'!$O$97/'STS Design Calcs'!$R$97</f>
        <v>36.23497169247797</v>
      </c>
      <c r="F62" s="309">
        <f t="shared" si="10"/>
        <v>323.16387372922338</v>
      </c>
      <c r="G62" s="309">
        <f t="shared" si="11"/>
        <v>253.91447221581836</v>
      </c>
      <c r="H62" s="309">
        <f t="shared" si="12"/>
        <v>589.66387372922338</v>
      </c>
      <c r="I62" s="309">
        <f t="shared" si="13"/>
        <v>454.04118277150201</v>
      </c>
      <c r="J62" s="309">
        <f t="shared" si="22"/>
        <v>135.62269095772137</v>
      </c>
      <c r="K62" s="309">
        <v>135.69381351713878</v>
      </c>
      <c r="L62" s="309">
        <f t="shared" si="14"/>
        <v>671.64956073542498</v>
      </c>
      <c r="M62" s="114">
        <v>2242</v>
      </c>
      <c r="N62" s="114">
        <v>1100</v>
      </c>
      <c r="O62" s="114">
        <f t="shared" si="23"/>
        <v>3178.336801956721</v>
      </c>
      <c r="P62" s="114">
        <v>1600</v>
      </c>
      <c r="Q62" s="114">
        <f t="shared" si="24"/>
        <v>1374.0238024804128</v>
      </c>
      <c r="R62" s="114">
        <f t="shared" si="25"/>
        <v>5974.0165325235348</v>
      </c>
      <c r="S62" s="309">
        <f t="shared" si="26"/>
        <v>375.7</v>
      </c>
      <c r="T62" s="114">
        <f>O62*'STS Design Calcs'!$C$147*(J62+B62)*3.785*1440/454000</f>
        <v>43159.104046412693</v>
      </c>
      <c r="U62" s="114">
        <v>43154.112007100019</v>
      </c>
      <c r="V62" s="114">
        <f t="shared" si="15"/>
        <v>86318.208092825385</v>
      </c>
      <c r="W62" s="114">
        <f t="shared" si="16"/>
        <v>11668.94294588195</v>
      </c>
      <c r="X62" s="114">
        <f>O62*'STS Design Calcs'!$C$224*('STS Calculation Summary'!D62-J62)*3.785*1440/454000</f>
        <v>8841.7132615419796</v>
      </c>
      <c r="Y62" s="114">
        <f t="shared" si="17"/>
        <v>1613.6126702314111</v>
      </c>
      <c r="Z62" s="114">
        <f>'STS Design Calcs'!$C$269*('STS Calculation Summary'!D62-'STS Calculation Summary'!J62)/365</f>
        <v>53.0447509246669</v>
      </c>
      <c r="AA62" s="323">
        <f t="shared" si="18"/>
        <v>9.6806670437517095</v>
      </c>
      <c r="AB62" s="310">
        <f>L62*1440*'STS Design Calcs'!$C$284</f>
        <v>53.620202371927626</v>
      </c>
      <c r="AC62" s="310">
        <f t="shared" si="19"/>
        <v>9.785686932876791</v>
      </c>
      <c r="AD62" s="114">
        <f>H62*'STS Design Calcs'!$C$343</f>
        <v>7758.4322205120498</v>
      </c>
      <c r="AE62" s="114">
        <f>H62*'STS Design Calcs'!$C$352</f>
        <v>2586.1440735040169</v>
      </c>
      <c r="AF62" s="309">
        <f>H62*'STS Design Calcs'!$C$309</f>
        <v>2501.8595785368479</v>
      </c>
      <c r="AG62" s="309">
        <f>H62*'STS Design Calcs'!$C$317</f>
        <v>2501.8595785368479</v>
      </c>
      <c r="AH62" s="114">
        <f>H62*'STS Design Calcs'!$C$326</f>
        <v>416.97659642280797</v>
      </c>
      <c r="AI62" s="319">
        <f>H62*'STS Design Calcs'!$C$334</f>
        <v>416.97659642280797</v>
      </c>
      <c r="AJ62" s="321">
        <f>'STS Design Calcs'!$C$381*H62</f>
        <v>722227.53592600592</v>
      </c>
      <c r="AK62" s="321">
        <f>'STS Design Calcs'!$C$390*D62</f>
        <v>176677.45455344906</v>
      </c>
      <c r="AL62" s="322">
        <f t="shared" si="20"/>
        <v>898904.99047945498</v>
      </c>
    </row>
    <row r="63" spans="1:38" s="94" customFormat="1" ht="15" customHeight="1" x14ac:dyDescent="0.25">
      <c r="A63" s="113">
        <v>53</v>
      </c>
      <c r="B63" s="343">
        <v>405.14956073542498</v>
      </c>
      <c r="C63" s="343">
        <v>266.5</v>
      </c>
      <c r="D63" s="309">
        <f t="shared" si="21"/>
        <v>577.07834594504175</v>
      </c>
      <c r="E63" s="309">
        <f>3*U63/'STS Design Calcs'!$I$97/'STS Design Calcs'!$L$97/'STS Design Calcs'!$O$97/'STS Design Calcs'!$R$97</f>
        <v>36.23497169247797</v>
      </c>
      <c r="F63" s="309">
        <f t="shared" si="10"/>
        <v>323.16387372922338</v>
      </c>
      <c r="G63" s="309">
        <f t="shared" si="11"/>
        <v>253.91447221581836</v>
      </c>
      <c r="H63" s="309">
        <f t="shared" si="12"/>
        <v>589.66387372922338</v>
      </c>
      <c r="I63" s="309">
        <f t="shared" si="13"/>
        <v>454.04118277150201</v>
      </c>
      <c r="J63" s="309">
        <f t="shared" si="22"/>
        <v>135.62269095772137</v>
      </c>
      <c r="K63" s="309">
        <v>135.69381351713878</v>
      </c>
      <c r="L63" s="309">
        <f t="shared" si="14"/>
        <v>671.64956073542498</v>
      </c>
      <c r="M63" s="114">
        <v>2242</v>
      </c>
      <c r="N63" s="114">
        <v>1100</v>
      </c>
      <c r="O63" s="114">
        <f t="shared" si="23"/>
        <v>3178.336801956721</v>
      </c>
      <c r="P63" s="114">
        <v>1600</v>
      </c>
      <c r="Q63" s="114">
        <f t="shared" si="24"/>
        <v>1374.0238024804128</v>
      </c>
      <c r="R63" s="114">
        <f t="shared" si="25"/>
        <v>5974.0165325235348</v>
      </c>
      <c r="S63" s="309">
        <f t="shared" si="26"/>
        <v>375.7</v>
      </c>
      <c r="T63" s="114">
        <f>O63*'STS Design Calcs'!$C$147*(J63+B63)*3.785*1440/454000</f>
        <v>43159.104046412693</v>
      </c>
      <c r="U63" s="114">
        <v>43154.112007100019</v>
      </c>
      <c r="V63" s="114">
        <f t="shared" si="15"/>
        <v>86318.208092825385</v>
      </c>
      <c r="W63" s="114">
        <f t="shared" si="16"/>
        <v>11668.94294588195</v>
      </c>
      <c r="X63" s="114">
        <f>O63*'STS Design Calcs'!$C$224*('STS Calculation Summary'!D63-J63)*3.785*1440/454000</f>
        <v>8841.7132615419796</v>
      </c>
      <c r="Y63" s="114">
        <f t="shared" si="17"/>
        <v>1613.6126702314111</v>
      </c>
      <c r="Z63" s="114">
        <f>'STS Design Calcs'!$C$269*('STS Calculation Summary'!D63-'STS Calculation Summary'!J63)/365</f>
        <v>53.0447509246669</v>
      </c>
      <c r="AA63" s="323">
        <f t="shared" si="18"/>
        <v>9.6806670437517095</v>
      </c>
      <c r="AB63" s="310">
        <f>L63*1440*'STS Design Calcs'!$C$284</f>
        <v>53.620202371927626</v>
      </c>
      <c r="AC63" s="310">
        <f t="shared" si="19"/>
        <v>9.785686932876791</v>
      </c>
      <c r="AD63" s="114">
        <f>H63*'STS Design Calcs'!$C$343</f>
        <v>7758.4322205120498</v>
      </c>
      <c r="AE63" s="114">
        <f>H63*'STS Design Calcs'!$C$352</f>
        <v>2586.1440735040169</v>
      </c>
      <c r="AF63" s="309">
        <f>H63*'STS Design Calcs'!$C$309</f>
        <v>2501.8595785368479</v>
      </c>
      <c r="AG63" s="309">
        <f>H63*'STS Design Calcs'!$C$317</f>
        <v>2501.8595785368479</v>
      </c>
      <c r="AH63" s="114">
        <f>H63*'STS Design Calcs'!$C$326</f>
        <v>416.97659642280797</v>
      </c>
      <c r="AI63" s="319">
        <f>H63*'STS Design Calcs'!$C$334</f>
        <v>416.97659642280797</v>
      </c>
      <c r="AJ63" s="321">
        <f>'STS Design Calcs'!$C$381*H63</f>
        <v>722227.53592600592</v>
      </c>
      <c r="AK63" s="321">
        <f>'STS Design Calcs'!$C$390*D63</f>
        <v>176677.45455344906</v>
      </c>
      <c r="AL63" s="322">
        <f t="shared" si="20"/>
        <v>898904.99047945498</v>
      </c>
    </row>
    <row r="64" spans="1:38" s="94" customFormat="1" ht="15" customHeight="1" x14ac:dyDescent="0.25">
      <c r="A64" s="113">
        <v>54</v>
      </c>
      <c r="B64" s="343">
        <v>405.14956073542498</v>
      </c>
      <c r="C64" s="343">
        <v>266.5</v>
      </c>
      <c r="D64" s="309">
        <f t="shared" si="21"/>
        <v>577.07834594504175</v>
      </c>
      <c r="E64" s="309">
        <f>3*U64/'STS Design Calcs'!$I$97/'STS Design Calcs'!$L$97/'STS Design Calcs'!$O$97/'STS Design Calcs'!$R$97</f>
        <v>36.23497169247797</v>
      </c>
      <c r="F64" s="309">
        <f t="shared" si="10"/>
        <v>323.16387372922338</v>
      </c>
      <c r="G64" s="309">
        <f t="shared" si="11"/>
        <v>253.91447221581836</v>
      </c>
      <c r="H64" s="309">
        <f t="shared" si="12"/>
        <v>589.66387372922338</v>
      </c>
      <c r="I64" s="309">
        <f t="shared" si="13"/>
        <v>454.04118277150201</v>
      </c>
      <c r="J64" s="309">
        <f t="shared" si="22"/>
        <v>135.62269095772137</v>
      </c>
      <c r="K64" s="309">
        <v>135.69381351713878</v>
      </c>
      <c r="L64" s="309">
        <f t="shared" si="14"/>
        <v>671.64956073542498</v>
      </c>
      <c r="M64" s="114">
        <v>2242</v>
      </c>
      <c r="N64" s="114">
        <v>1100</v>
      </c>
      <c r="O64" s="114">
        <f t="shared" si="23"/>
        <v>3178.336801956721</v>
      </c>
      <c r="P64" s="114">
        <v>1600</v>
      </c>
      <c r="Q64" s="114">
        <f t="shared" si="24"/>
        <v>1374.0238024804128</v>
      </c>
      <c r="R64" s="114">
        <f t="shared" si="25"/>
        <v>5974.0165325235348</v>
      </c>
      <c r="S64" s="309">
        <f t="shared" si="26"/>
        <v>375.7</v>
      </c>
      <c r="T64" s="114">
        <f>O64*'STS Design Calcs'!$C$147*(J64+B64)*3.785*1440/454000</f>
        <v>43159.104046412693</v>
      </c>
      <c r="U64" s="114">
        <v>43154.112007100019</v>
      </c>
      <c r="V64" s="114">
        <f t="shared" si="15"/>
        <v>86318.208092825385</v>
      </c>
      <c r="W64" s="114">
        <f t="shared" si="16"/>
        <v>11668.94294588195</v>
      </c>
      <c r="X64" s="114">
        <f>O64*'STS Design Calcs'!$C$224*('STS Calculation Summary'!D64-J64)*3.785*1440/454000</f>
        <v>8841.7132615419796</v>
      </c>
      <c r="Y64" s="114">
        <f t="shared" si="17"/>
        <v>1613.6126702314111</v>
      </c>
      <c r="Z64" s="114">
        <f>'STS Design Calcs'!$C$269*('STS Calculation Summary'!D64-'STS Calculation Summary'!J64)/365</f>
        <v>53.0447509246669</v>
      </c>
      <c r="AA64" s="323">
        <f t="shared" si="18"/>
        <v>9.6806670437517095</v>
      </c>
      <c r="AB64" s="310">
        <f>L64*1440*'STS Design Calcs'!$C$284</f>
        <v>53.620202371927626</v>
      </c>
      <c r="AC64" s="310">
        <f t="shared" si="19"/>
        <v>9.785686932876791</v>
      </c>
      <c r="AD64" s="114">
        <f>H64*'STS Design Calcs'!$C$343</f>
        <v>7758.4322205120498</v>
      </c>
      <c r="AE64" s="114">
        <f>H64*'STS Design Calcs'!$C$352</f>
        <v>2586.1440735040169</v>
      </c>
      <c r="AF64" s="309">
        <f>H64*'STS Design Calcs'!$C$309</f>
        <v>2501.8595785368479</v>
      </c>
      <c r="AG64" s="309">
        <f>H64*'STS Design Calcs'!$C$317</f>
        <v>2501.8595785368479</v>
      </c>
      <c r="AH64" s="114">
        <f>H64*'STS Design Calcs'!$C$326</f>
        <v>416.97659642280797</v>
      </c>
      <c r="AI64" s="319">
        <f>H64*'STS Design Calcs'!$C$334</f>
        <v>416.97659642280797</v>
      </c>
      <c r="AJ64" s="321">
        <f>'STS Design Calcs'!$C$381*H64</f>
        <v>722227.53592600592</v>
      </c>
      <c r="AK64" s="321">
        <f>'STS Design Calcs'!$C$390*D64</f>
        <v>176677.45455344906</v>
      </c>
      <c r="AL64" s="322">
        <f t="shared" si="20"/>
        <v>898904.99047945498</v>
      </c>
    </row>
    <row r="65" spans="1:38" s="94" customFormat="1" ht="15" customHeight="1" x14ac:dyDescent="0.25">
      <c r="A65" s="113">
        <v>55</v>
      </c>
      <c r="B65" s="343">
        <v>405.14956073542498</v>
      </c>
      <c r="C65" s="343">
        <v>266.5</v>
      </c>
      <c r="D65" s="309">
        <f t="shared" si="21"/>
        <v>577.07834333198446</v>
      </c>
      <c r="E65" s="309">
        <f>3*U65/'STS Design Calcs'!$I$97/'STS Design Calcs'!$L$97/'STS Design Calcs'!$O$97/'STS Design Calcs'!$R$97</f>
        <v>36.234971507796594</v>
      </c>
      <c r="F65" s="309">
        <f t="shared" si="10"/>
        <v>323.16387226591132</v>
      </c>
      <c r="G65" s="309">
        <f t="shared" si="11"/>
        <v>253.91447106607316</v>
      </c>
      <c r="H65" s="309">
        <f t="shared" si="12"/>
        <v>589.66387226591132</v>
      </c>
      <c r="I65" s="309">
        <f t="shared" si="13"/>
        <v>454.0411816447517</v>
      </c>
      <c r="J65" s="309">
        <f t="shared" si="22"/>
        <v>135.62269062115962</v>
      </c>
      <c r="K65" s="309">
        <v>135.69381108876291</v>
      </c>
      <c r="L65" s="309">
        <f t="shared" si="14"/>
        <v>671.64956073542498</v>
      </c>
      <c r="M65" s="114">
        <v>2242</v>
      </c>
      <c r="N65" s="114">
        <v>1100</v>
      </c>
      <c r="O65" s="114">
        <f t="shared" si="23"/>
        <v>3178.3367887924501</v>
      </c>
      <c r="P65" s="114">
        <v>1600</v>
      </c>
      <c r="Q65" s="114">
        <f t="shared" si="24"/>
        <v>1374.0238019196292</v>
      </c>
      <c r="R65" s="114">
        <f t="shared" si="25"/>
        <v>5974.016530085345</v>
      </c>
      <c r="S65" s="309">
        <f t="shared" si="26"/>
        <v>375.70000000000005</v>
      </c>
      <c r="T65" s="114">
        <f>O65*'STS Design Calcs'!$C$147*(J65+B65)*3.785*1440/454000</f>
        <v>43159.103840792071</v>
      </c>
      <c r="U65" s="114">
        <v>43154.111787153364</v>
      </c>
      <c r="V65" s="114">
        <f t="shared" si="15"/>
        <v>86318.207681584143</v>
      </c>
      <c r="W65" s="114">
        <f t="shared" si="16"/>
        <v>11668.942890288228</v>
      </c>
      <c r="X65" s="114">
        <f>O65*'STS Design Calcs'!$C$224*('STS Calculation Summary'!D65-J65)*3.785*1440/454000</f>
        <v>8841.7131793258286</v>
      </c>
      <c r="Y65" s="114">
        <f t="shared" si="17"/>
        <v>1613.6126552269639</v>
      </c>
      <c r="Z65" s="114">
        <f>'STS Design Calcs'!$C$269*('STS Calculation Summary'!D65-'STS Calculation Summary'!J65)/365</f>
        <v>53.044750651126087</v>
      </c>
      <c r="AA65" s="323">
        <f t="shared" si="18"/>
        <v>9.6806669938305117</v>
      </c>
      <c r="AB65" s="310">
        <f>L65*1440*'STS Design Calcs'!$C$284</f>
        <v>53.620202371927626</v>
      </c>
      <c r="AC65" s="310">
        <f t="shared" si="19"/>
        <v>9.785686932876791</v>
      </c>
      <c r="AD65" s="114">
        <f>H65*'STS Design Calcs'!$C$343</f>
        <v>7758.4322012586954</v>
      </c>
      <c r="AE65" s="114">
        <f>H65*'STS Design Calcs'!$C$352</f>
        <v>2586.1440670862321</v>
      </c>
      <c r="AF65" s="309">
        <f>H65*'STS Design Calcs'!$C$309</f>
        <v>2501.8595723282237</v>
      </c>
      <c r="AG65" s="309">
        <f>H65*'STS Design Calcs'!$C$317</f>
        <v>2501.8595723282237</v>
      </c>
      <c r="AH65" s="114">
        <f>H65*'STS Design Calcs'!$C$326</f>
        <v>416.97659538803731</v>
      </c>
      <c r="AI65" s="319">
        <f>H65*'STS Design Calcs'!$C$334</f>
        <v>416.97659538803731</v>
      </c>
      <c r="AJ65" s="321">
        <f>'STS Design Calcs'!$C$381*H65</f>
        <v>722227.53413372347</v>
      </c>
      <c r="AK65" s="321">
        <f>'STS Design Calcs'!$C$390*D65</f>
        <v>176677.45375343927</v>
      </c>
      <c r="AL65" s="322">
        <f t="shared" si="20"/>
        <v>898904.98788716272</v>
      </c>
    </row>
    <row r="66" spans="1:38" s="94" customFormat="1" ht="15" customHeight="1" x14ac:dyDescent="0.25">
      <c r="A66" s="113">
        <v>56</v>
      </c>
      <c r="B66" s="343">
        <v>405.14956073542498</v>
      </c>
      <c r="C66" s="343">
        <v>266.5</v>
      </c>
      <c r="D66" s="309">
        <f t="shared" si="21"/>
        <v>577.07834594504175</v>
      </c>
      <c r="E66" s="309">
        <f>3*U66/'STS Design Calcs'!$I$97/'STS Design Calcs'!$L$97/'STS Design Calcs'!$O$97/'STS Design Calcs'!$R$97</f>
        <v>36.23497169247797</v>
      </c>
      <c r="F66" s="309">
        <f t="shared" si="10"/>
        <v>323.16387372922338</v>
      </c>
      <c r="G66" s="309">
        <f t="shared" si="11"/>
        <v>253.91447221581836</v>
      </c>
      <c r="H66" s="309">
        <f t="shared" si="12"/>
        <v>589.66387372922338</v>
      </c>
      <c r="I66" s="309">
        <f t="shared" si="13"/>
        <v>454.04118277150201</v>
      </c>
      <c r="J66" s="309">
        <f t="shared" si="22"/>
        <v>135.62269095772137</v>
      </c>
      <c r="K66" s="309">
        <v>135.69381351713878</v>
      </c>
      <c r="L66" s="309">
        <f t="shared" si="14"/>
        <v>671.64956073542498</v>
      </c>
      <c r="M66" s="114">
        <v>2242</v>
      </c>
      <c r="N66" s="114">
        <v>1100</v>
      </c>
      <c r="O66" s="114">
        <f t="shared" si="23"/>
        <v>3178.336801956721</v>
      </c>
      <c r="P66" s="114">
        <v>1600</v>
      </c>
      <c r="Q66" s="114">
        <f t="shared" si="24"/>
        <v>1374.0238024804128</v>
      </c>
      <c r="R66" s="114">
        <f t="shared" si="25"/>
        <v>5974.0165325235348</v>
      </c>
      <c r="S66" s="309">
        <f t="shared" si="26"/>
        <v>375.7</v>
      </c>
      <c r="T66" s="114">
        <f>O66*'STS Design Calcs'!$C$147*(J66+B66)*3.785*1440/454000</f>
        <v>43159.104046412693</v>
      </c>
      <c r="U66" s="114">
        <v>43154.112007100019</v>
      </c>
      <c r="V66" s="114">
        <f t="shared" si="15"/>
        <v>86318.208092825385</v>
      </c>
      <c r="W66" s="114">
        <f t="shared" si="16"/>
        <v>11668.94294588195</v>
      </c>
      <c r="X66" s="114">
        <f>O66*'STS Design Calcs'!$C$224*('STS Calculation Summary'!D66-J66)*3.785*1440/454000</f>
        <v>8841.7132615419796</v>
      </c>
      <c r="Y66" s="114">
        <f t="shared" si="17"/>
        <v>1613.6126702314111</v>
      </c>
      <c r="Z66" s="114">
        <f>'STS Design Calcs'!$C$269*('STS Calculation Summary'!D66-'STS Calculation Summary'!J66)/365</f>
        <v>53.0447509246669</v>
      </c>
      <c r="AA66" s="323">
        <f t="shared" si="18"/>
        <v>9.6806670437517095</v>
      </c>
      <c r="AB66" s="310">
        <f>L66*1440*'STS Design Calcs'!$C$284</f>
        <v>53.620202371927626</v>
      </c>
      <c r="AC66" s="310">
        <f t="shared" si="19"/>
        <v>9.785686932876791</v>
      </c>
      <c r="AD66" s="114">
        <f>H66*'STS Design Calcs'!$C$343</f>
        <v>7758.4322205120498</v>
      </c>
      <c r="AE66" s="114">
        <f>H66*'STS Design Calcs'!$C$352</f>
        <v>2586.1440735040169</v>
      </c>
      <c r="AF66" s="309">
        <f>H66*'STS Design Calcs'!$C$309</f>
        <v>2501.8595785368479</v>
      </c>
      <c r="AG66" s="309">
        <f>H66*'STS Design Calcs'!$C$317</f>
        <v>2501.8595785368479</v>
      </c>
      <c r="AH66" s="114">
        <f>H66*'STS Design Calcs'!$C$326</f>
        <v>416.97659642280797</v>
      </c>
      <c r="AI66" s="319">
        <f>H66*'STS Design Calcs'!$C$334</f>
        <v>416.97659642280797</v>
      </c>
      <c r="AJ66" s="321">
        <f>'STS Design Calcs'!$C$381*H66</f>
        <v>722227.53592600592</v>
      </c>
      <c r="AK66" s="321">
        <f>'STS Design Calcs'!$C$390*D66</f>
        <v>176677.45455344906</v>
      </c>
      <c r="AL66" s="322">
        <f t="shared" si="20"/>
        <v>898904.99047945498</v>
      </c>
    </row>
    <row r="67" spans="1:38" s="94" customFormat="1" ht="15" customHeight="1" x14ac:dyDescent="0.25">
      <c r="A67" s="113">
        <v>57</v>
      </c>
      <c r="B67" s="343">
        <v>405.14956073542498</v>
      </c>
      <c r="C67" s="343">
        <v>266.5</v>
      </c>
      <c r="D67" s="309">
        <f t="shared" si="21"/>
        <v>577.07834594504175</v>
      </c>
      <c r="E67" s="309">
        <f>3*U67/'STS Design Calcs'!$I$97/'STS Design Calcs'!$L$97/'STS Design Calcs'!$O$97/'STS Design Calcs'!$R$97</f>
        <v>36.23497169247797</v>
      </c>
      <c r="F67" s="309">
        <f t="shared" si="10"/>
        <v>323.16387372922338</v>
      </c>
      <c r="G67" s="309">
        <f t="shared" si="11"/>
        <v>253.91447221581836</v>
      </c>
      <c r="H67" s="309">
        <f t="shared" si="12"/>
        <v>589.66387372922338</v>
      </c>
      <c r="I67" s="309">
        <f t="shared" si="13"/>
        <v>454.04118277150201</v>
      </c>
      <c r="J67" s="309">
        <f t="shared" si="22"/>
        <v>135.62269095772137</v>
      </c>
      <c r="K67" s="309">
        <v>135.69381351713878</v>
      </c>
      <c r="L67" s="309">
        <f t="shared" si="14"/>
        <v>671.64956073542498</v>
      </c>
      <c r="M67" s="114">
        <v>2242</v>
      </c>
      <c r="N67" s="114">
        <v>1100</v>
      </c>
      <c r="O67" s="114">
        <f t="shared" si="23"/>
        <v>3178.336801956721</v>
      </c>
      <c r="P67" s="114">
        <v>1600</v>
      </c>
      <c r="Q67" s="114">
        <f t="shared" si="24"/>
        <v>1374.0238024804128</v>
      </c>
      <c r="R67" s="114">
        <f t="shared" si="25"/>
        <v>5974.0165325235348</v>
      </c>
      <c r="S67" s="309">
        <f t="shared" si="26"/>
        <v>375.7</v>
      </c>
      <c r="T67" s="114">
        <f>O67*'STS Design Calcs'!$C$147*(J67+B67)*3.785*1440/454000</f>
        <v>43159.104046412693</v>
      </c>
      <c r="U67" s="114">
        <v>43154.112007100019</v>
      </c>
      <c r="V67" s="114">
        <f t="shared" si="15"/>
        <v>86318.208092825385</v>
      </c>
      <c r="W67" s="114">
        <f t="shared" si="16"/>
        <v>11668.94294588195</v>
      </c>
      <c r="X67" s="114">
        <f>O67*'STS Design Calcs'!$C$224*('STS Calculation Summary'!D67-J67)*3.785*1440/454000</f>
        <v>8841.7132615419796</v>
      </c>
      <c r="Y67" s="114">
        <f t="shared" si="17"/>
        <v>1613.6126702314111</v>
      </c>
      <c r="Z67" s="114">
        <f>'STS Design Calcs'!$C$269*('STS Calculation Summary'!D67-'STS Calculation Summary'!J67)/365</f>
        <v>53.0447509246669</v>
      </c>
      <c r="AA67" s="323">
        <f t="shared" si="18"/>
        <v>9.6806670437517095</v>
      </c>
      <c r="AB67" s="310">
        <f>L67*1440*'STS Design Calcs'!$C$284</f>
        <v>53.620202371927626</v>
      </c>
      <c r="AC67" s="310">
        <f t="shared" si="19"/>
        <v>9.785686932876791</v>
      </c>
      <c r="AD67" s="114">
        <f>H67*'STS Design Calcs'!$C$343</f>
        <v>7758.4322205120498</v>
      </c>
      <c r="AE67" s="114">
        <f>H67*'STS Design Calcs'!$C$352</f>
        <v>2586.1440735040169</v>
      </c>
      <c r="AF67" s="309">
        <f>H67*'STS Design Calcs'!$C$309</f>
        <v>2501.8595785368479</v>
      </c>
      <c r="AG67" s="309">
        <f>H67*'STS Design Calcs'!$C$317</f>
        <v>2501.8595785368479</v>
      </c>
      <c r="AH67" s="114">
        <f>H67*'STS Design Calcs'!$C$326</f>
        <v>416.97659642280797</v>
      </c>
      <c r="AI67" s="319">
        <f>H67*'STS Design Calcs'!$C$334</f>
        <v>416.97659642280797</v>
      </c>
      <c r="AJ67" s="321">
        <f>'STS Design Calcs'!$C$381*H67</f>
        <v>722227.53592600592</v>
      </c>
      <c r="AK67" s="321">
        <f>'STS Design Calcs'!$C$390*D67</f>
        <v>176677.45455344906</v>
      </c>
      <c r="AL67" s="322">
        <f t="shared" si="20"/>
        <v>898904.99047945498</v>
      </c>
    </row>
    <row r="68" spans="1:38" s="94" customFormat="1" ht="15" customHeight="1" x14ac:dyDescent="0.25">
      <c r="A68" s="113">
        <v>58</v>
      </c>
      <c r="B68" s="343">
        <v>405.14956073542498</v>
      </c>
      <c r="C68" s="343">
        <v>266.5</v>
      </c>
      <c r="D68" s="309">
        <f t="shared" si="21"/>
        <v>577.07834594504175</v>
      </c>
      <c r="E68" s="309">
        <f>3*U68/'STS Design Calcs'!$I$97/'STS Design Calcs'!$L$97/'STS Design Calcs'!$O$97/'STS Design Calcs'!$R$97</f>
        <v>36.23497169247797</v>
      </c>
      <c r="F68" s="309">
        <f t="shared" si="10"/>
        <v>323.16387372922338</v>
      </c>
      <c r="G68" s="309">
        <f t="shared" si="11"/>
        <v>253.91447221581836</v>
      </c>
      <c r="H68" s="309">
        <f t="shared" si="12"/>
        <v>589.66387372922338</v>
      </c>
      <c r="I68" s="309">
        <f t="shared" si="13"/>
        <v>454.04118277150201</v>
      </c>
      <c r="J68" s="309">
        <f t="shared" si="22"/>
        <v>135.62269095772137</v>
      </c>
      <c r="K68" s="309">
        <v>135.69381351713878</v>
      </c>
      <c r="L68" s="309">
        <f t="shared" si="14"/>
        <v>671.64956073542498</v>
      </c>
      <c r="M68" s="114">
        <v>2242</v>
      </c>
      <c r="N68" s="114">
        <v>1100</v>
      </c>
      <c r="O68" s="114">
        <f t="shared" si="23"/>
        <v>3178.336801956721</v>
      </c>
      <c r="P68" s="114">
        <v>1600</v>
      </c>
      <c r="Q68" s="114">
        <f t="shared" si="24"/>
        <v>1374.0238024804128</v>
      </c>
      <c r="R68" s="114">
        <f t="shared" si="25"/>
        <v>5974.0165325235348</v>
      </c>
      <c r="S68" s="309">
        <f t="shared" si="26"/>
        <v>375.7</v>
      </c>
      <c r="T68" s="114">
        <f>O68*'STS Design Calcs'!$C$147*(J68+B68)*3.785*1440/454000</f>
        <v>43159.104046412693</v>
      </c>
      <c r="U68" s="114">
        <v>43154.112007100019</v>
      </c>
      <c r="V68" s="114">
        <f t="shared" si="15"/>
        <v>86318.208092825385</v>
      </c>
      <c r="W68" s="114">
        <f t="shared" si="16"/>
        <v>11668.94294588195</v>
      </c>
      <c r="X68" s="114">
        <f>O68*'STS Design Calcs'!$C$224*('STS Calculation Summary'!D68-J68)*3.785*1440/454000</f>
        <v>8841.7132615419796</v>
      </c>
      <c r="Y68" s="114">
        <f t="shared" si="17"/>
        <v>1613.6126702314111</v>
      </c>
      <c r="Z68" s="114">
        <f>'STS Design Calcs'!$C$269*('STS Calculation Summary'!D68-'STS Calculation Summary'!J68)/365</f>
        <v>53.0447509246669</v>
      </c>
      <c r="AA68" s="323">
        <f t="shared" si="18"/>
        <v>9.6806670437517095</v>
      </c>
      <c r="AB68" s="310">
        <f>L68*1440*'STS Design Calcs'!$C$284</f>
        <v>53.620202371927626</v>
      </c>
      <c r="AC68" s="310">
        <f t="shared" si="19"/>
        <v>9.785686932876791</v>
      </c>
      <c r="AD68" s="114">
        <f>H68*'STS Design Calcs'!$C$343</f>
        <v>7758.4322205120498</v>
      </c>
      <c r="AE68" s="114">
        <f>H68*'STS Design Calcs'!$C$352</f>
        <v>2586.1440735040169</v>
      </c>
      <c r="AF68" s="309">
        <f>H68*'STS Design Calcs'!$C$309</f>
        <v>2501.8595785368479</v>
      </c>
      <c r="AG68" s="309">
        <f>H68*'STS Design Calcs'!$C$317</f>
        <v>2501.8595785368479</v>
      </c>
      <c r="AH68" s="114">
        <f>H68*'STS Design Calcs'!$C$326</f>
        <v>416.97659642280797</v>
      </c>
      <c r="AI68" s="319">
        <f>H68*'STS Design Calcs'!$C$334</f>
        <v>416.97659642280797</v>
      </c>
      <c r="AJ68" s="321">
        <f>'STS Design Calcs'!$C$381*H68</f>
        <v>722227.53592600592</v>
      </c>
      <c r="AK68" s="321">
        <f>'STS Design Calcs'!$C$390*D68</f>
        <v>176677.45455344906</v>
      </c>
      <c r="AL68" s="322">
        <f t="shared" si="20"/>
        <v>898904.99047945498</v>
      </c>
    </row>
    <row r="69" spans="1:38" s="94" customFormat="1" ht="15" customHeight="1" x14ac:dyDescent="0.25">
      <c r="A69" s="113">
        <v>59</v>
      </c>
      <c r="B69" s="343">
        <v>405.14956073542498</v>
      </c>
      <c r="C69" s="343">
        <v>266.5</v>
      </c>
      <c r="D69" s="309">
        <f t="shared" si="21"/>
        <v>577.07834594504175</v>
      </c>
      <c r="E69" s="309">
        <f>3*U69/'STS Design Calcs'!$I$97/'STS Design Calcs'!$L$97/'STS Design Calcs'!$O$97/'STS Design Calcs'!$R$97</f>
        <v>36.23497169247797</v>
      </c>
      <c r="F69" s="309">
        <f t="shared" si="10"/>
        <v>323.16387372922338</v>
      </c>
      <c r="G69" s="309">
        <f t="shared" si="11"/>
        <v>253.91447221581836</v>
      </c>
      <c r="H69" s="309">
        <f t="shared" si="12"/>
        <v>589.66387372922338</v>
      </c>
      <c r="I69" s="309">
        <f t="shared" si="13"/>
        <v>454.04118277150201</v>
      </c>
      <c r="J69" s="309">
        <f t="shared" si="22"/>
        <v>135.62269095772137</v>
      </c>
      <c r="K69" s="309">
        <v>135.69381351713878</v>
      </c>
      <c r="L69" s="309">
        <f t="shared" si="14"/>
        <v>671.64956073542498</v>
      </c>
      <c r="M69" s="114">
        <v>2242</v>
      </c>
      <c r="N69" s="114">
        <v>1100</v>
      </c>
      <c r="O69" s="114">
        <f t="shared" si="23"/>
        <v>3178.336801956721</v>
      </c>
      <c r="P69" s="114">
        <v>1600</v>
      </c>
      <c r="Q69" s="114">
        <f t="shared" si="24"/>
        <v>1374.0238024804128</v>
      </c>
      <c r="R69" s="114">
        <f t="shared" si="25"/>
        <v>5974.0165325235348</v>
      </c>
      <c r="S69" s="309">
        <f t="shared" si="26"/>
        <v>375.7</v>
      </c>
      <c r="T69" s="114">
        <f>O69*'STS Design Calcs'!$C$147*(J69+B69)*3.785*1440/454000</f>
        <v>43159.104046412693</v>
      </c>
      <c r="U69" s="114">
        <v>43154.112007100019</v>
      </c>
      <c r="V69" s="114">
        <f t="shared" si="15"/>
        <v>86318.208092825385</v>
      </c>
      <c r="W69" s="114">
        <f t="shared" si="16"/>
        <v>11668.94294588195</v>
      </c>
      <c r="X69" s="114">
        <f>O69*'STS Design Calcs'!$C$224*('STS Calculation Summary'!D69-J69)*3.785*1440/454000</f>
        <v>8841.7132615419796</v>
      </c>
      <c r="Y69" s="114">
        <f t="shared" si="17"/>
        <v>1613.6126702314111</v>
      </c>
      <c r="Z69" s="114">
        <f>'STS Design Calcs'!$C$269*('STS Calculation Summary'!D69-'STS Calculation Summary'!J69)/365</f>
        <v>53.0447509246669</v>
      </c>
      <c r="AA69" s="323">
        <f t="shared" si="18"/>
        <v>9.6806670437517095</v>
      </c>
      <c r="AB69" s="310">
        <f>L69*1440*'STS Design Calcs'!$C$284</f>
        <v>53.620202371927626</v>
      </c>
      <c r="AC69" s="310">
        <f t="shared" si="19"/>
        <v>9.785686932876791</v>
      </c>
      <c r="AD69" s="114">
        <f>H69*'STS Design Calcs'!$C$343</f>
        <v>7758.4322205120498</v>
      </c>
      <c r="AE69" s="114">
        <f>H69*'STS Design Calcs'!$C$352</f>
        <v>2586.1440735040169</v>
      </c>
      <c r="AF69" s="309">
        <f>H69*'STS Design Calcs'!$C$309</f>
        <v>2501.8595785368479</v>
      </c>
      <c r="AG69" s="309">
        <f>H69*'STS Design Calcs'!$C$317</f>
        <v>2501.8595785368479</v>
      </c>
      <c r="AH69" s="114">
        <f>H69*'STS Design Calcs'!$C$326</f>
        <v>416.97659642280797</v>
      </c>
      <c r="AI69" s="319">
        <f>H69*'STS Design Calcs'!$C$334</f>
        <v>416.97659642280797</v>
      </c>
      <c r="AJ69" s="321">
        <f>'STS Design Calcs'!$C$381*H69</f>
        <v>722227.53592600592</v>
      </c>
      <c r="AK69" s="321">
        <f>'STS Design Calcs'!$C$390*D69</f>
        <v>176677.45455344906</v>
      </c>
      <c r="AL69" s="322">
        <f t="shared" si="20"/>
        <v>898904.99047945498</v>
      </c>
    </row>
    <row r="70" spans="1:38" s="94" customFormat="1" ht="15" customHeight="1" x14ac:dyDescent="0.25">
      <c r="A70" s="113">
        <v>60</v>
      </c>
      <c r="B70" s="343">
        <v>405.14956073542498</v>
      </c>
      <c r="C70" s="343">
        <v>266.5</v>
      </c>
      <c r="D70" s="309">
        <f t="shared" si="21"/>
        <v>577.07834594504175</v>
      </c>
      <c r="E70" s="309">
        <f>3*U70/'STS Design Calcs'!$I$97/'STS Design Calcs'!$L$97/'STS Design Calcs'!$O$97/'STS Design Calcs'!$R$97</f>
        <v>36.23497169247797</v>
      </c>
      <c r="F70" s="309">
        <f t="shared" si="10"/>
        <v>323.16387372922338</v>
      </c>
      <c r="G70" s="309">
        <f t="shared" si="11"/>
        <v>253.91447221581836</v>
      </c>
      <c r="H70" s="309">
        <f t="shared" si="12"/>
        <v>589.66387372922338</v>
      </c>
      <c r="I70" s="309">
        <f t="shared" si="13"/>
        <v>454.04118277150201</v>
      </c>
      <c r="J70" s="309">
        <f t="shared" si="22"/>
        <v>135.62269095772137</v>
      </c>
      <c r="K70" s="309">
        <v>135.69381351713878</v>
      </c>
      <c r="L70" s="309">
        <f t="shared" si="14"/>
        <v>671.64956073542498</v>
      </c>
      <c r="M70" s="114">
        <v>2242</v>
      </c>
      <c r="N70" s="114">
        <v>1100</v>
      </c>
      <c r="O70" s="114">
        <f t="shared" si="23"/>
        <v>3178.336801956721</v>
      </c>
      <c r="P70" s="114">
        <v>1600</v>
      </c>
      <c r="Q70" s="114">
        <f t="shared" si="24"/>
        <v>1374.0238024804128</v>
      </c>
      <c r="R70" s="114">
        <f t="shared" si="25"/>
        <v>5974.0165325235348</v>
      </c>
      <c r="S70" s="309">
        <f t="shared" si="26"/>
        <v>375.7</v>
      </c>
      <c r="T70" s="114">
        <f>O70*'STS Design Calcs'!$C$147*(J70+B70)*3.785*1440/454000</f>
        <v>43159.104046412693</v>
      </c>
      <c r="U70" s="114">
        <v>43154.112007100019</v>
      </c>
      <c r="V70" s="114">
        <f t="shared" si="15"/>
        <v>86318.208092825385</v>
      </c>
      <c r="W70" s="114">
        <f t="shared" si="16"/>
        <v>11668.94294588195</v>
      </c>
      <c r="X70" s="114">
        <f>O70*'STS Design Calcs'!$C$224*('STS Calculation Summary'!D70-J70)*3.785*1440/454000</f>
        <v>8841.7132615419796</v>
      </c>
      <c r="Y70" s="114">
        <f t="shared" si="17"/>
        <v>1613.6126702314111</v>
      </c>
      <c r="Z70" s="114">
        <f>'STS Design Calcs'!$C$269*('STS Calculation Summary'!D70-'STS Calculation Summary'!J70)/365</f>
        <v>53.0447509246669</v>
      </c>
      <c r="AA70" s="323">
        <f t="shared" si="18"/>
        <v>9.6806670437517095</v>
      </c>
      <c r="AB70" s="310">
        <f>L70*1440*'STS Design Calcs'!$C$284</f>
        <v>53.620202371927626</v>
      </c>
      <c r="AC70" s="310">
        <f t="shared" si="19"/>
        <v>9.785686932876791</v>
      </c>
      <c r="AD70" s="114">
        <f>H70*'STS Design Calcs'!$C$343</f>
        <v>7758.4322205120498</v>
      </c>
      <c r="AE70" s="114">
        <f>H70*'STS Design Calcs'!$C$352</f>
        <v>2586.1440735040169</v>
      </c>
      <c r="AF70" s="309">
        <f>H70*'STS Design Calcs'!$C$309</f>
        <v>2501.8595785368479</v>
      </c>
      <c r="AG70" s="309">
        <f>H70*'STS Design Calcs'!$C$317</f>
        <v>2501.8595785368479</v>
      </c>
      <c r="AH70" s="114">
        <f>H70*'STS Design Calcs'!$C$326</f>
        <v>416.97659642280797</v>
      </c>
      <c r="AI70" s="319">
        <f>H70*'STS Design Calcs'!$C$334</f>
        <v>416.97659642280797</v>
      </c>
      <c r="AJ70" s="321">
        <f>'STS Design Calcs'!$C$381*H70</f>
        <v>722227.53592600592</v>
      </c>
      <c r="AK70" s="321">
        <f>'STS Design Calcs'!$C$390*D70</f>
        <v>176677.45455344906</v>
      </c>
      <c r="AL70" s="322">
        <f t="shared" si="20"/>
        <v>898904.99047945498</v>
      </c>
    </row>
    <row r="71" spans="1:38" s="94" customFormat="1" ht="15" customHeight="1" x14ac:dyDescent="0.25">
      <c r="A71" s="113">
        <v>61</v>
      </c>
      <c r="B71" s="343">
        <v>405.14956073542498</v>
      </c>
      <c r="C71" s="343">
        <v>266.5</v>
      </c>
      <c r="D71" s="309">
        <f t="shared" si="21"/>
        <v>577.07834594504175</v>
      </c>
      <c r="E71" s="309">
        <f>3*U71/'STS Design Calcs'!$I$97/'STS Design Calcs'!$L$97/'STS Design Calcs'!$O$97/'STS Design Calcs'!$R$97</f>
        <v>36.23497169247797</v>
      </c>
      <c r="F71" s="309">
        <f t="shared" si="10"/>
        <v>323.16387372922338</v>
      </c>
      <c r="G71" s="309">
        <f t="shared" si="11"/>
        <v>253.91447221581836</v>
      </c>
      <c r="H71" s="309">
        <f t="shared" si="12"/>
        <v>589.66387372922338</v>
      </c>
      <c r="I71" s="309">
        <f t="shared" si="13"/>
        <v>454.04118277150201</v>
      </c>
      <c r="J71" s="309">
        <f t="shared" si="22"/>
        <v>135.62269095772137</v>
      </c>
      <c r="K71" s="309">
        <v>135.69381351713878</v>
      </c>
      <c r="L71" s="309">
        <f t="shared" si="14"/>
        <v>671.64956073542498</v>
      </c>
      <c r="M71" s="114">
        <v>2242</v>
      </c>
      <c r="N71" s="114">
        <v>1100</v>
      </c>
      <c r="O71" s="114">
        <f t="shared" si="23"/>
        <v>3178.336801956721</v>
      </c>
      <c r="P71" s="114">
        <v>1600</v>
      </c>
      <c r="Q71" s="114">
        <f t="shared" si="24"/>
        <v>1374.0238024804128</v>
      </c>
      <c r="R71" s="114">
        <f t="shared" si="25"/>
        <v>5974.0165325235348</v>
      </c>
      <c r="S71" s="309">
        <f t="shared" si="26"/>
        <v>375.7</v>
      </c>
      <c r="T71" s="114">
        <f>O71*'STS Design Calcs'!$C$147*(J71+B71)*3.785*1440/454000</f>
        <v>43159.104046412693</v>
      </c>
      <c r="U71" s="114">
        <v>43154.112007100019</v>
      </c>
      <c r="V71" s="114">
        <f t="shared" si="15"/>
        <v>86318.208092825385</v>
      </c>
      <c r="W71" s="114">
        <f t="shared" si="16"/>
        <v>11668.94294588195</v>
      </c>
      <c r="X71" s="114">
        <f>O71*'STS Design Calcs'!$C$224*('STS Calculation Summary'!D71-J71)*3.785*1440/454000</f>
        <v>8841.7132615419796</v>
      </c>
      <c r="Y71" s="114">
        <f t="shared" si="17"/>
        <v>1613.6126702314111</v>
      </c>
      <c r="Z71" s="114">
        <f>'STS Design Calcs'!$C$269*('STS Calculation Summary'!D71-'STS Calculation Summary'!J71)/365</f>
        <v>53.0447509246669</v>
      </c>
      <c r="AA71" s="323">
        <f t="shared" si="18"/>
        <v>9.6806670437517095</v>
      </c>
      <c r="AB71" s="310">
        <f>L71*1440*'STS Design Calcs'!$C$284</f>
        <v>53.620202371927626</v>
      </c>
      <c r="AC71" s="310">
        <f t="shared" si="19"/>
        <v>9.785686932876791</v>
      </c>
      <c r="AD71" s="114">
        <f>H71*'STS Design Calcs'!$C$343</f>
        <v>7758.4322205120498</v>
      </c>
      <c r="AE71" s="114">
        <f>H71*'STS Design Calcs'!$C$352</f>
        <v>2586.1440735040169</v>
      </c>
      <c r="AF71" s="309">
        <f>H71*'STS Design Calcs'!$C$309</f>
        <v>2501.8595785368479</v>
      </c>
      <c r="AG71" s="309">
        <f>H71*'STS Design Calcs'!$C$317</f>
        <v>2501.8595785368479</v>
      </c>
      <c r="AH71" s="114">
        <f>H71*'STS Design Calcs'!$C$326</f>
        <v>416.97659642280797</v>
      </c>
      <c r="AI71" s="319">
        <f>H71*'STS Design Calcs'!$C$334</f>
        <v>416.97659642280797</v>
      </c>
      <c r="AJ71" s="321">
        <f>'STS Design Calcs'!$C$381*H71</f>
        <v>722227.53592600592</v>
      </c>
      <c r="AK71" s="321">
        <f>'STS Design Calcs'!$C$390*D71</f>
        <v>176677.45455344906</v>
      </c>
      <c r="AL71" s="322">
        <f t="shared" si="20"/>
        <v>898904.99047945498</v>
      </c>
    </row>
    <row r="72" spans="1:38" s="94" customFormat="1" ht="15" customHeight="1" x14ac:dyDescent="0.25">
      <c r="A72" s="113">
        <v>62</v>
      </c>
      <c r="B72" s="343">
        <v>405.14956073542498</v>
      </c>
      <c r="C72" s="343">
        <v>266.5</v>
      </c>
      <c r="D72" s="309">
        <f t="shared" si="21"/>
        <v>577.07834594504175</v>
      </c>
      <c r="E72" s="309">
        <f>3*U72/'STS Design Calcs'!$I$97/'STS Design Calcs'!$L$97/'STS Design Calcs'!$O$97/'STS Design Calcs'!$R$97</f>
        <v>36.23497169247797</v>
      </c>
      <c r="F72" s="309">
        <f t="shared" si="10"/>
        <v>323.16387372922338</v>
      </c>
      <c r="G72" s="309">
        <f t="shared" si="11"/>
        <v>253.91447221581836</v>
      </c>
      <c r="H72" s="309">
        <f t="shared" si="12"/>
        <v>589.66387372922338</v>
      </c>
      <c r="I72" s="309">
        <f t="shared" si="13"/>
        <v>454.04118277150201</v>
      </c>
      <c r="J72" s="309">
        <f t="shared" si="22"/>
        <v>135.62269095772137</v>
      </c>
      <c r="K72" s="309">
        <v>135.69381351713878</v>
      </c>
      <c r="L72" s="309">
        <f t="shared" si="14"/>
        <v>671.64956073542498</v>
      </c>
      <c r="M72" s="114">
        <v>2242</v>
      </c>
      <c r="N72" s="114">
        <v>1100</v>
      </c>
      <c r="O72" s="114">
        <f t="shared" si="23"/>
        <v>3178.336801956721</v>
      </c>
      <c r="P72" s="114">
        <v>1600</v>
      </c>
      <c r="Q72" s="114">
        <f t="shared" si="24"/>
        <v>1374.0238024804128</v>
      </c>
      <c r="R72" s="114">
        <f t="shared" si="25"/>
        <v>5974.0165325235348</v>
      </c>
      <c r="S72" s="309">
        <f t="shared" si="26"/>
        <v>375.7</v>
      </c>
      <c r="T72" s="114">
        <f>O72*'STS Design Calcs'!$C$147*(J72+B72)*3.785*1440/454000</f>
        <v>43159.104046412693</v>
      </c>
      <c r="U72" s="114">
        <v>43154.112007100019</v>
      </c>
      <c r="V72" s="114">
        <f t="shared" si="15"/>
        <v>86318.208092825385</v>
      </c>
      <c r="W72" s="114">
        <f t="shared" si="16"/>
        <v>11668.94294588195</v>
      </c>
      <c r="X72" s="114">
        <f>O72*'STS Design Calcs'!$C$224*('STS Calculation Summary'!D72-J72)*3.785*1440/454000</f>
        <v>8841.7132615419796</v>
      </c>
      <c r="Y72" s="114">
        <f t="shared" si="17"/>
        <v>1613.6126702314111</v>
      </c>
      <c r="Z72" s="114">
        <f>'STS Design Calcs'!$C$269*('STS Calculation Summary'!D72-'STS Calculation Summary'!J72)/365</f>
        <v>53.0447509246669</v>
      </c>
      <c r="AA72" s="323">
        <f t="shared" si="18"/>
        <v>9.6806670437517095</v>
      </c>
      <c r="AB72" s="310">
        <f>L72*1440*'STS Design Calcs'!$C$284</f>
        <v>53.620202371927626</v>
      </c>
      <c r="AC72" s="310">
        <f t="shared" si="19"/>
        <v>9.785686932876791</v>
      </c>
      <c r="AD72" s="114">
        <f>H72*'STS Design Calcs'!$C$343</f>
        <v>7758.4322205120498</v>
      </c>
      <c r="AE72" s="114">
        <f>H72*'STS Design Calcs'!$C$352</f>
        <v>2586.1440735040169</v>
      </c>
      <c r="AF72" s="309">
        <f>H72*'STS Design Calcs'!$C$309</f>
        <v>2501.8595785368479</v>
      </c>
      <c r="AG72" s="309">
        <f>H72*'STS Design Calcs'!$C$317</f>
        <v>2501.8595785368479</v>
      </c>
      <c r="AH72" s="114">
        <f>H72*'STS Design Calcs'!$C$326</f>
        <v>416.97659642280797</v>
      </c>
      <c r="AI72" s="319">
        <f>H72*'STS Design Calcs'!$C$334</f>
        <v>416.97659642280797</v>
      </c>
      <c r="AJ72" s="321">
        <f>'STS Design Calcs'!$C$381*H72</f>
        <v>722227.53592600592</v>
      </c>
      <c r="AK72" s="321">
        <f>'STS Design Calcs'!$C$390*D72</f>
        <v>176677.45455344906</v>
      </c>
      <c r="AL72" s="322">
        <f t="shared" si="20"/>
        <v>898904.99047945498</v>
      </c>
    </row>
    <row r="73" spans="1:38" s="94" customFormat="1" ht="15" customHeight="1" x14ac:dyDescent="0.25">
      <c r="A73" s="113">
        <v>63</v>
      </c>
      <c r="B73" s="343">
        <v>405.14956073542498</v>
      </c>
      <c r="C73" s="343">
        <v>266.5</v>
      </c>
      <c r="D73" s="309">
        <f t="shared" si="21"/>
        <v>577.07834594504175</v>
      </c>
      <c r="E73" s="309">
        <f>3*U73/'STS Design Calcs'!$I$97/'STS Design Calcs'!$L$97/'STS Design Calcs'!$O$97/'STS Design Calcs'!$R$97</f>
        <v>36.23497169247797</v>
      </c>
      <c r="F73" s="309">
        <f t="shared" si="10"/>
        <v>323.16387372922338</v>
      </c>
      <c r="G73" s="309">
        <f t="shared" si="11"/>
        <v>253.91447221581836</v>
      </c>
      <c r="H73" s="309">
        <f t="shared" si="12"/>
        <v>589.66387372922338</v>
      </c>
      <c r="I73" s="309">
        <f t="shared" si="13"/>
        <v>454.04118277150201</v>
      </c>
      <c r="J73" s="309">
        <f t="shared" si="22"/>
        <v>135.62269095772137</v>
      </c>
      <c r="K73" s="309">
        <v>135.69381351713878</v>
      </c>
      <c r="L73" s="309">
        <f t="shared" si="14"/>
        <v>671.64956073542498</v>
      </c>
      <c r="M73" s="114">
        <v>2242</v>
      </c>
      <c r="N73" s="114">
        <v>1100</v>
      </c>
      <c r="O73" s="114">
        <f t="shared" si="23"/>
        <v>3178.336801956721</v>
      </c>
      <c r="P73" s="114">
        <v>1600</v>
      </c>
      <c r="Q73" s="114">
        <f t="shared" si="24"/>
        <v>1374.0238024804128</v>
      </c>
      <c r="R73" s="114">
        <f t="shared" si="25"/>
        <v>5974.0165325235348</v>
      </c>
      <c r="S73" s="309">
        <f t="shared" si="26"/>
        <v>375.7</v>
      </c>
      <c r="T73" s="114">
        <f>O73*'STS Design Calcs'!$C$147*(J73+B73)*3.785*1440/454000</f>
        <v>43159.104046412693</v>
      </c>
      <c r="U73" s="114">
        <v>43154.112007100019</v>
      </c>
      <c r="V73" s="114">
        <f t="shared" si="15"/>
        <v>86318.208092825385</v>
      </c>
      <c r="W73" s="114">
        <f t="shared" si="16"/>
        <v>11668.94294588195</v>
      </c>
      <c r="X73" s="114">
        <f>O73*'STS Design Calcs'!$C$224*('STS Calculation Summary'!D73-J73)*3.785*1440/454000</f>
        <v>8841.7132615419796</v>
      </c>
      <c r="Y73" s="114">
        <f t="shared" si="17"/>
        <v>1613.6126702314111</v>
      </c>
      <c r="Z73" s="114">
        <f>'STS Design Calcs'!$C$269*('STS Calculation Summary'!D73-'STS Calculation Summary'!J73)/365</f>
        <v>53.0447509246669</v>
      </c>
      <c r="AA73" s="323">
        <f t="shared" si="18"/>
        <v>9.6806670437517095</v>
      </c>
      <c r="AB73" s="310">
        <f>L73*1440*'STS Design Calcs'!$C$284</f>
        <v>53.620202371927626</v>
      </c>
      <c r="AC73" s="310">
        <f t="shared" si="19"/>
        <v>9.785686932876791</v>
      </c>
      <c r="AD73" s="114">
        <f>H73*'STS Design Calcs'!$C$343</f>
        <v>7758.4322205120498</v>
      </c>
      <c r="AE73" s="114">
        <f>H73*'STS Design Calcs'!$C$352</f>
        <v>2586.1440735040169</v>
      </c>
      <c r="AF73" s="309">
        <f>H73*'STS Design Calcs'!$C$309</f>
        <v>2501.8595785368479</v>
      </c>
      <c r="AG73" s="309">
        <f>H73*'STS Design Calcs'!$C$317</f>
        <v>2501.8595785368479</v>
      </c>
      <c r="AH73" s="114">
        <f>H73*'STS Design Calcs'!$C$326</f>
        <v>416.97659642280797</v>
      </c>
      <c r="AI73" s="319">
        <f>H73*'STS Design Calcs'!$C$334</f>
        <v>416.97659642280797</v>
      </c>
      <c r="AJ73" s="321">
        <f>'STS Design Calcs'!$C$381*H73</f>
        <v>722227.53592600592</v>
      </c>
      <c r="AK73" s="321">
        <f>'STS Design Calcs'!$C$390*D73</f>
        <v>176677.45455344906</v>
      </c>
      <c r="AL73" s="322">
        <f t="shared" si="20"/>
        <v>898904.99047945498</v>
      </c>
    </row>
    <row r="74" spans="1:38" s="94" customFormat="1" ht="15" customHeight="1" x14ac:dyDescent="0.25">
      <c r="A74" s="113">
        <v>64</v>
      </c>
      <c r="B74" s="343">
        <v>405.14956073542498</v>
      </c>
      <c r="C74" s="343">
        <v>266.5</v>
      </c>
      <c r="D74" s="309">
        <f t="shared" si="21"/>
        <v>577.07834594504175</v>
      </c>
      <c r="E74" s="309">
        <f>3*U74/'STS Design Calcs'!$I$97/'STS Design Calcs'!$L$97/'STS Design Calcs'!$O$97/'STS Design Calcs'!$R$97</f>
        <v>36.23497169247797</v>
      </c>
      <c r="F74" s="309">
        <f t="shared" si="10"/>
        <v>323.16387372922338</v>
      </c>
      <c r="G74" s="309">
        <f t="shared" si="11"/>
        <v>253.91447221581836</v>
      </c>
      <c r="H74" s="309">
        <f t="shared" si="12"/>
        <v>589.66387372922338</v>
      </c>
      <c r="I74" s="309">
        <f t="shared" si="13"/>
        <v>454.04118277150201</v>
      </c>
      <c r="J74" s="309">
        <f t="shared" si="22"/>
        <v>135.62269095772137</v>
      </c>
      <c r="K74" s="309">
        <v>135.69381351713878</v>
      </c>
      <c r="L74" s="309">
        <f t="shared" si="14"/>
        <v>671.64956073542498</v>
      </c>
      <c r="M74" s="114">
        <v>2242</v>
      </c>
      <c r="N74" s="114">
        <v>1100</v>
      </c>
      <c r="O74" s="114">
        <f t="shared" si="23"/>
        <v>3178.336801956721</v>
      </c>
      <c r="P74" s="114">
        <v>1600</v>
      </c>
      <c r="Q74" s="114">
        <f t="shared" si="24"/>
        <v>1374.0238024804128</v>
      </c>
      <c r="R74" s="114">
        <f t="shared" si="25"/>
        <v>5974.0165325235348</v>
      </c>
      <c r="S74" s="309">
        <f t="shared" si="26"/>
        <v>375.7</v>
      </c>
      <c r="T74" s="114">
        <f>O74*'STS Design Calcs'!$C$147*(J74+B74)*3.785*1440/454000</f>
        <v>43159.104046412693</v>
      </c>
      <c r="U74" s="114">
        <v>43154.112007100019</v>
      </c>
      <c r="V74" s="114">
        <f t="shared" si="15"/>
        <v>86318.208092825385</v>
      </c>
      <c r="W74" s="114">
        <f t="shared" si="16"/>
        <v>11668.94294588195</v>
      </c>
      <c r="X74" s="114">
        <f>O74*'STS Design Calcs'!$C$224*('STS Calculation Summary'!D74-J74)*3.785*1440/454000</f>
        <v>8841.7132615419796</v>
      </c>
      <c r="Y74" s="114">
        <f t="shared" si="17"/>
        <v>1613.6126702314111</v>
      </c>
      <c r="Z74" s="114">
        <f>'STS Design Calcs'!$C$269*('STS Calculation Summary'!D74-'STS Calculation Summary'!J74)/365</f>
        <v>53.0447509246669</v>
      </c>
      <c r="AA74" s="323">
        <f t="shared" si="18"/>
        <v>9.6806670437517095</v>
      </c>
      <c r="AB74" s="310">
        <f>L74*1440*'STS Design Calcs'!$C$284</f>
        <v>53.620202371927626</v>
      </c>
      <c r="AC74" s="310">
        <f t="shared" si="19"/>
        <v>9.785686932876791</v>
      </c>
      <c r="AD74" s="114">
        <f>H74*'STS Design Calcs'!$C$343</f>
        <v>7758.4322205120498</v>
      </c>
      <c r="AE74" s="114">
        <f>H74*'STS Design Calcs'!$C$352</f>
        <v>2586.1440735040169</v>
      </c>
      <c r="AF74" s="309">
        <f>H74*'STS Design Calcs'!$C$309</f>
        <v>2501.8595785368479</v>
      </c>
      <c r="AG74" s="309">
        <f>H74*'STS Design Calcs'!$C$317</f>
        <v>2501.8595785368479</v>
      </c>
      <c r="AH74" s="114">
        <f>H74*'STS Design Calcs'!$C$326</f>
        <v>416.97659642280797</v>
      </c>
      <c r="AI74" s="319">
        <f>H74*'STS Design Calcs'!$C$334</f>
        <v>416.97659642280797</v>
      </c>
      <c r="AJ74" s="321">
        <f>'STS Design Calcs'!$C$381*H74</f>
        <v>722227.53592600592</v>
      </c>
      <c r="AK74" s="321">
        <f>'STS Design Calcs'!$C$390*D74</f>
        <v>176677.45455344906</v>
      </c>
      <c r="AL74" s="322">
        <f t="shared" si="20"/>
        <v>898904.99047945498</v>
      </c>
    </row>
    <row r="75" spans="1:38" s="94" customFormat="1" ht="15" customHeight="1" x14ac:dyDescent="0.25">
      <c r="A75" s="113">
        <v>65</v>
      </c>
      <c r="B75" s="343">
        <v>405.14956073542498</v>
      </c>
      <c r="C75" s="343">
        <v>266.5</v>
      </c>
      <c r="D75" s="309">
        <f t="shared" si="21"/>
        <v>577.07834333198446</v>
      </c>
      <c r="E75" s="309">
        <f>3*U75/'STS Design Calcs'!$I$97/'STS Design Calcs'!$L$97/'STS Design Calcs'!$O$97/'STS Design Calcs'!$R$97</f>
        <v>36.234971507796594</v>
      </c>
      <c r="F75" s="309">
        <f t="shared" si="10"/>
        <v>323.16387226591132</v>
      </c>
      <c r="G75" s="309">
        <f t="shared" si="11"/>
        <v>253.91447106607316</v>
      </c>
      <c r="H75" s="309">
        <f t="shared" si="12"/>
        <v>589.66387226591132</v>
      </c>
      <c r="I75" s="309">
        <f t="shared" si="13"/>
        <v>454.0411816447517</v>
      </c>
      <c r="J75" s="309">
        <f t="shared" si="22"/>
        <v>135.62269062115962</v>
      </c>
      <c r="K75" s="309">
        <v>135.69381108876291</v>
      </c>
      <c r="L75" s="309">
        <f t="shared" si="14"/>
        <v>671.64956073542498</v>
      </c>
      <c r="M75" s="114">
        <v>2242</v>
      </c>
      <c r="N75" s="114">
        <v>1100</v>
      </c>
      <c r="O75" s="114">
        <f t="shared" si="23"/>
        <v>3178.3367887924501</v>
      </c>
      <c r="P75" s="114">
        <v>1600</v>
      </c>
      <c r="Q75" s="114">
        <f t="shared" si="24"/>
        <v>1374.0238019196292</v>
      </c>
      <c r="R75" s="114">
        <f t="shared" si="25"/>
        <v>5974.016530085345</v>
      </c>
      <c r="S75" s="309">
        <f t="shared" si="26"/>
        <v>375.70000000000005</v>
      </c>
      <c r="T75" s="114">
        <f>O75*'STS Design Calcs'!$C$147*(J75+B75)*3.785*1440/454000</f>
        <v>43159.103840792071</v>
      </c>
      <c r="U75" s="114">
        <v>43154.111787153364</v>
      </c>
      <c r="V75" s="114">
        <f t="shared" si="15"/>
        <v>86318.207681584143</v>
      </c>
      <c r="W75" s="114">
        <f t="shared" si="16"/>
        <v>11668.942890288228</v>
      </c>
      <c r="X75" s="114">
        <f>O75*'STS Design Calcs'!$C$224*('STS Calculation Summary'!D75-J75)*3.785*1440/454000</f>
        <v>8841.7131793258286</v>
      </c>
      <c r="Y75" s="114">
        <f t="shared" si="17"/>
        <v>1613.6126552269639</v>
      </c>
      <c r="Z75" s="114">
        <f>'STS Design Calcs'!$C$269*('STS Calculation Summary'!D75-'STS Calculation Summary'!J75)/365</f>
        <v>53.044750651126087</v>
      </c>
      <c r="AA75" s="323">
        <f t="shared" si="18"/>
        <v>9.6806669938305117</v>
      </c>
      <c r="AB75" s="310">
        <f>L75*1440*'STS Design Calcs'!$C$284</f>
        <v>53.620202371927626</v>
      </c>
      <c r="AC75" s="310">
        <f t="shared" si="19"/>
        <v>9.785686932876791</v>
      </c>
      <c r="AD75" s="114">
        <f>H75*'STS Design Calcs'!$C$343</f>
        <v>7758.4322012586954</v>
      </c>
      <c r="AE75" s="114">
        <f>H75*'STS Design Calcs'!$C$352</f>
        <v>2586.1440670862321</v>
      </c>
      <c r="AF75" s="309">
        <f>H75*'STS Design Calcs'!$C$309</f>
        <v>2501.8595723282237</v>
      </c>
      <c r="AG75" s="309">
        <f>H75*'STS Design Calcs'!$C$317</f>
        <v>2501.8595723282237</v>
      </c>
      <c r="AH75" s="114">
        <f>H75*'STS Design Calcs'!$C$326</f>
        <v>416.97659538803731</v>
      </c>
      <c r="AI75" s="319">
        <f>H75*'STS Design Calcs'!$C$334</f>
        <v>416.97659538803731</v>
      </c>
      <c r="AJ75" s="321">
        <f>'STS Design Calcs'!$C$381*H75</f>
        <v>722227.53413372347</v>
      </c>
      <c r="AK75" s="321">
        <f>'STS Design Calcs'!$C$390*D75</f>
        <v>176677.45375343927</v>
      </c>
      <c r="AL75" s="322">
        <f t="shared" ref="AL75:AL105" si="27">SUM(AJ75,AK75)</f>
        <v>898904.98788716272</v>
      </c>
    </row>
    <row r="76" spans="1:38" s="94" customFormat="1" ht="15" customHeight="1" x14ac:dyDescent="0.25">
      <c r="A76" s="113">
        <v>66</v>
      </c>
      <c r="B76" s="343">
        <v>405.14956073542498</v>
      </c>
      <c r="C76" s="343">
        <v>266.5</v>
      </c>
      <c r="D76" s="309">
        <f t="shared" si="21"/>
        <v>577.07834594504175</v>
      </c>
      <c r="E76" s="309">
        <f>3*U76/'STS Design Calcs'!$I$97/'STS Design Calcs'!$L$97/'STS Design Calcs'!$O$97/'STS Design Calcs'!$R$97</f>
        <v>36.23497169247797</v>
      </c>
      <c r="F76" s="309">
        <f t="shared" si="10"/>
        <v>323.16387372922338</v>
      </c>
      <c r="G76" s="309">
        <f t="shared" si="11"/>
        <v>253.91447221581836</v>
      </c>
      <c r="H76" s="309">
        <f t="shared" si="12"/>
        <v>589.66387372922338</v>
      </c>
      <c r="I76" s="309">
        <f t="shared" si="13"/>
        <v>454.04118277150201</v>
      </c>
      <c r="J76" s="309">
        <f t="shared" si="22"/>
        <v>135.62269095772137</v>
      </c>
      <c r="K76" s="309">
        <v>135.69381351713878</v>
      </c>
      <c r="L76" s="309">
        <f t="shared" si="14"/>
        <v>671.64956073542498</v>
      </c>
      <c r="M76" s="114">
        <v>2242</v>
      </c>
      <c r="N76" s="114">
        <v>1100</v>
      </c>
      <c r="O76" s="114">
        <f t="shared" si="23"/>
        <v>3178.336801956721</v>
      </c>
      <c r="P76" s="114">
        <v>1600</v>
      </c>
      <c r="Q76" s="114">
        <f t="shared" si="24"/>
        <v>1374.0238024804128</v>
      </c>
      <c r="R76" s="114">
        <f t="shared" si="25"/>
        <v>5974.0165325235348</v>
      </c>
      <c r="S76" s="309">
        <f t="shared" si="26"/>
        <v>375.7</v>
      </c>
      <c r="T76" s="114">
        <f>O76*'STS Design Calcs'!$C$147*(J76+B76)*3.785*1440/454000</f>
        <v>43159.104046412693</v>
      </c>
      <c r="U76" s="114">
        <v>43154.112007100019</v>
      </c>
      <c r="V76" s="114">
        <f t="shared" si="15"/>
        <v>86318.208092825385</v>
      </c>
      <c r="W76" s="114">
        <f t="shared" si="16"/>
        <v>11668.94294588195</v>
      </c>
      <c r="X76" s="114">
        <f>O76*'STS Design Calcs'!$C$224*('STS Calculation Summary'!D76-J76)*3.785*1440/454000</f>
        <v>8841.7132615419796</v>
      </c>
      <c r="Y76" s="114">
        <f t="shared" si="17"/>
        <v>1613.6126702314111</v>
      </c>
      <c r="Z76" s="114">
        <f>'STS Design Calcs'!$C$269*('STS Calculation Summary'!D76-'STS Calculation Summary'!J76)/365</f>
        <v>53.0447509246669</v>
      </c>
      <c r="AA76" s="323">
        <f t="shared" si="18"/>
        <v>9.6806670437517095</v>
      </c>
      <c r="AB76" s="310">
        <f>L76*1440*'STS Design Calcs'!$C$284</f>
        <v>53.620202371927626</v>
      </c>
      <c r="AC76" s="310">
        <f t="shared" si="19"/>
        <v>9.785686932876791</v>
      </c>
      <c r="AD76" s="114">
        <f>H76*'STS Design Calcs'!$C$343</f>
        <v>7758.4322205120498</v>
      </c>
      <c r="AE76" s="114">
        <f>H76*'STS Design Calcs'!$C$352</f>
        <v>2586.1440735040169</v>
      </c>
      <c r="AF76" s="309">
        <f>H76*'STS Design Calcs'!$C$309</f>
        <v>2501.8595785368479</v>
      </c>
      <c r="AG76" s="309">
        <f>H76*'STS Design Calcs'!$C$317</f>
        <v>2501.8595785368479</v>
      </c>
      <c r="AH76" s="114">
        <f>H76*'STS Design Calcs'!$C$326</f>
        <v>416.97659642280797</v>
      </c>
      <c r="AI76" s="319">
        <f>H76*'STS Design Calcs'!$C$334</f>
        <v>416.97659642280797</v>
      </c>
      <c r="AJ76" s="321">
        <f>'STS Design Calcs'!$C$381*H76</f>
        <v>722227.53592600592</v>
      </c>
      <c r="AK76" s="321">
        <f>'STS Design Calcs'!$C$390*D76</f>
        <v>176677.45455344906</v>
      </c>
      <c r="AL76" s="322">
        <f t="shared" si="27"/>
        <v>898904.99047945498</v>
      </c>
    </row>
    <row r="77" spans="1:38" s="94" customFormat="1" ht="15" customHeight="1" x14ac:dyDescent="0.25">
      <c r="A77" s="113">
        <v>67</v>
      </c>
      <c r="B77" s="343">
        <v>405.14956073542498</v>
      </c>
      <c r="C77" s="343">
        <v>266.5</v>
      </c>
      <c r="D77" s="309">
        <f t="shared" si="21"/>
        <v>577.07834594504175</v>
      </c>
      <c r="E77" s="309">
        <f>3*U77/'STS Design Calcs'!$I$97/'STS Design Calcs'!$L$97/'STS Design Calcs'!$O$97/'STS Design Calcs'!$R$97</f>
        <v>36.23497169247797</v>
      </c>
      <c r="F77" s="309">
        <f t="shared" si="10"/>
        <v>323.16387372922338</v>
      </c>
      <c r="G77" s="309">
        <f t="shared" si="11"/>
        <v>253.91447221581836</v>
      </c>
      <c r="H77" s="309">
        <f t="shared" si="12"/>
        <v>589.66387372922338</v>
      </c>
      <c r="I77" s="309">
        <f t="shared" si="13"/>
        <v>454.04118277150201</v>
      </c>
      <c r="J77" s="309">
        <f t="shared" si="22"/>
        <v>135.62269095772137</v>
      </c>
      <c r="K77" s="309">
        <v>135.69381351713878</v>
      </c>
      <c r="L77" s="309">
        <f t="shared" si="14"/>
        <v>671.64956073542498</v>
      </c>
      <c r="M77" s="114">
        <v>2242</v>
      </c>
      <c r="N77" s="114">
        <v>1100</v>
      </c>
      <c r="O77" s="114">
        <f t="shared" si="23"/>
        <v>3178.336801956721</v>
      </c>
      <c r="P77" s="114">
        <v>1600</v>
      </c>
      <c r="Q77" s="114">
        <f t="shared" si="24"/>
        <v>1374.0238024804128</v>
      </c>
      <c r="R77" s="114">
        <f t="shared" si="25"/>
        <v>5974.0165325235348</v>
      </c>
      <c r="S77" s="309">
        <f t="shared" si="26"/>
        <v>375.7</v>
      </c>
      <c r="T77" s="114">
        <f>O77*'STS Design Calcs'!$C$147*(J77+B77)*3.785*1440/454000</f>
        <v>43159.104046412693</v>
      </c>
      <c r="U77" s="114">
        <v>43154.112007100019</v>
      </c>
      <c r="V77" s="114">
        <f t="shared" si="15"/>
        <v>86318.208092825385</v>
      </c>
      <c r="W77" s="114">
        <f t="shared" si="16"/>
        <v>11668.94294588195</v>
      </c>
      <c r="X77" s="114">
        <f>O77*'STS Design Calcs'!$C$224*('STS Calculation Summary'!D77-J77)*3.785*1440/454000</f>
        <v>8841.7132615419796</v>
      </c>
      <c r="Y77" s="114">
        <f t="shared" si="17"/>
        <v>1613.6126702314111</v>
      </c>
      <c r="Z77" s="114">
        <f>'STS Design Calcs'!$C$269*('STS Calculation Summary'!D77-'STS Calculation Summary'!J77)/365</f>
        <v>53.0447509246669</v>
      </c>
      <c r="AA77" s="323">
        <f t="shared" si="18"/>
        <v>9.6806670437517095</v>
      </c>
      <c r="AB77" s="310">
        <f>L77*1440*'STS Design Calcs'!$C$284</f>
        <v>53.620202371927626</v>
      </c>
      <c r="AC77" s="310">
        <f t="shared" si="19"/>
        <v>9.785686932876791</v>
      </c>
      <c r="AD77" s="114">
        <f>H77*'STS Design Calcs'!$C$343</f>
        <v>7758.4322205120498</v>
      </c>
      <c r="AE77" s="114">
        <f>H77*'STS Design Calcs'!$C$352</f>
        <v>2586.1440735040169</v>
      </c>
      <c r="AF77" s="309">
        <f>H77*'STS Design Calcs'!$C$309</f>
        <v>2501.8595785368479</v>
      </c>
      <c r="AG77" s="309">
        <f>H77*'STS Design Calcs'!$C$317</f>
        <v>2501.8595785368479</v>
      </c>
      <c r="AH77" s="114">
        <f>H77*'STS Design Calcs'!$C$326</f>
        <v>416.97659642280797</v>
      </c>
      <c r="AI77" s="319">
        <f>H77*'STS Design Calcs'!$C$334</f>
        <v>416.97659642280797</v>
      </c>
      <c r="AJ77" s="321">
        <f>'STS Design Calcs'!$C$381*H77</f>
        <v>722227.53592600592</v>
      </c>
      <c r="AK77" s="321">
        <f>'STS Design Calcs'!$C$390*D77</f>
        <v>176677.45455344906</v>
      </c>
      <c r="AL77" s="322">
        <f t="shared" si="27"/>
        <v>898904.99047945498</v>
      </c>
    </row>
    <row r="78" spans="1:38" s="94" customFormat="1" ht="15" customHeight="1" x14ac:dyDescent="0.25">
      <c r="A78" s="113">
        <v>68</v>
      </c>
      <c r="B78" s="343">
        <v>405.14956073542498</v>
      </c>
      <c r="C78" s="343">
        <v>266.5</v>
      </c>
      <c r="D78" s="309">
        <f t="shared" si="21"/>
        <v>577.07834594504175</v>
      </c>
      <c r="E78" s="309">
        <f>3*U78/'STS Design Calcs'!$I$97/'STS Design Calcs'!$L$97/'STS Design Calcs'!$O$97/'STS Design Calcs'!$R$97</f>
        <v>36.23497169247797</v>
      </c>
      <c r="F78" s="309">
        <f t="shared" si="10"/>
        <v>323.16387372922338</v>
      </c>
      <c r="G78" s="309">
        <f t="shared" si="11"/>
        <v>253.91447221581836</v>
      </c>
      <c r="H78" s="309">
        <f t="shared" si="12"/>
        <v>589.66387372922338</v>
      </c>
      <c r="I78" s="309">
        <f t="shared" si="13"/>
        <v>454.04118277150201</v>
      </c>
      <c r="J78" s="309">
        <f t="shared" si="22"/>
        <v>135.62269095772137</v>
      </c>
      <c r="K78" s="309">
        <v>135.69381351713878</v>
      </c>
      <c r="L78" s="309">
        <f t="shared" si="14"/>
        <v>671.64956073542498</v>
      </c>
      <c r="M78" s="114">
        <v>2242</v>
      </c>
      <c r="N78" s="114">
        <v>1100</v>
      </c>
      <c r="O78" s="114">
        <f t="shared" si="23"/>
        <v>3178.336801956721</v>
      </c>
      <c r="P78" s="114">
        <v>1600</v>
      </c>
      <c r="Q78" s="114">
        <f t="shared" si="24"/>
        <v>1374.0238024804128</v>
      </c>
      <c r="R78" s="114">
        <f t="shared" si="25"/>
        <v>5974.0165325235348</v>
      </c>
      <c r="S78" s="309">
        <f t="shared" si="26"/>
        <v>375.7</v>
      </c>
      <c r="T78" s="114">
        <f>O78*'STS Design Calcs'!$C$147*(J78+B78)*3.785*1440/454000</f>
        <v>43159.104046412693</v>
      </c>
      <c r="U78" s="114">
        <v>43154.112007100019</v>
      </c>
      <c r="V78" s="114">
        <f t="shared" si="15"/>
        <v>86318.208092825385</v>
      </c>
      <c r="W78" s="114">
        <f t="shared" si="16"/>
        <v>11668.94294588195</v>
      </c>
      <c r="X78" s="114">
        <f>O78*'STS Design Calcs'!$C$224*('STS Calculation Summary'!D78-J78)*3.785*1440/454000</f>
        <v>8841.7132615419796</v>
      </c>
      <c r="Y78" s="114">
        <f t="shared" si="17"/>
        <v>1613.6126702314111</v>
      </c>
      <c r="Z78" s="114">
        <f>'STS Design Calcs'!$C$269*('STS Calculation Summary'!D78-'STS Calculation Summary'!J78)/365</f>
        <v>53.0447509246669</v>
      </c>
      <c r="AA78" s="323">
        <f t="shared" si="18"/>
        <v>9.6806670437517095</v>
      </c>
      <c r="AB78" s="310">
        <f>L78*1440*'STS Design Calcs'!$C$284</f>
        <v>53.620202371927626</v>
      </c>
      <c r="AC78" s="310">
        <f t="shared" si="19"/>
        <v>9.785686932876791</v>
      </c>
      <c r="AD78" s="114">
        <f>H78*'STS Design Calcs'!$C$343</f>
        <v>7758.4322205120498</v>
      </c>
      <c r="AE78" s="114">
        <f>H78*'STS Design Calcs'!$C$352</f>
        <v>2586.1440735040169</v>
      </c>
      <c r="AF78" s="309">
        <f>H78*'STS Design Calcs'!$C$309</f>
        <v>2501.8595785368479</v>
      </c>
      <c r="AG78" s="309">
        <f>H78*'STS Design Calcs'!$C$317</f>
        <v>2501.8595785368479</v>
      </c>
      <c r="AH78" s="114">
        <f>H78*'STS Design Calcs'!$C$326</f>
        <v>416.97659642280797</v>
      </c>
      <c r="AI78" s="319">
        <f>H78*'STS Design Calcs'!$C$334</f>
        <v>416.97659642280797</v>
      </c>
      <c r="AJ78" s="321">
        <f>'STS Design Calcs'!$C$381*H78</f>
        <v>722227.53592600592</v>
      </c>
      <c r="AK78" s="321">
        <f>'STS Design Calcs'!$C$390*D78</f>
        <v>176677.45455344906</v>
      </c>
      <c r="AL78" s="322">
        <f t="shared" si="27"/>
        <v>898904.99047945498</v>
      </c>
    </row>
    <row r="79" spans="1:38" s="94" customFormat="1" ht="15" customHeight="1" x14ac:dyDescent="0.25">
      <c r="A79" s="113">
        <v>69</v>
      </c>
      <c r="B79" s="343">
        <v>405.14956073542498</v>
      </c>
      <c r="C79" s="343">
        <v>266.5</v>
      </c>
      <c r="D79" s="309">
        <f t="shared" si="21"/>
        <v>577.07834594504175</v>
      </c>
      <c r="E79" s="309">
        <f>3*U79/'STS Design Calcs'!$I$97/'STS Design Calcs'!$L$97/'STS Design Calcs'!$O$97/'STS Design Calcs'!$R$97</f>
        <v>36.23497169247797</v>
      </c>
      <c r="F79" s="309">
        <f t="shared" si="10"/>
        <v>323.16387372922338</v>
      </c>
      <c r="G79" s="309">
        <f t="shared" si="11"/>
        <v>253.91447221581836</v>
      </c>
      <c r="H79" s="309">
        <f t="shared" si="12"/>
        <v>589.66387372922338</v>
      </c>
      <c r="I79" s="309">
        <f t="shared" si="13"/>
        <v>454.04118277150201</v>
      </c>
      <c r="J79" s="309">
        <f t="shared" si="22"/>
        <v>135.62269095772137</v>
      </c>
      <c r="K79" s="309">
        <v>135.69381351713878</v>
      </c>
      <c r="L79" s="309">
        <f t="shared" si="14"/>
        <v>671.64956073542498</v>
      </c>
      <c r="M79" s="114">
        <v>2242</v>
      </c>
      <c r="N79" s="114">
        <v>1100</v>
      </c>
      <c r="O79" s="114">
        <f t="shared" si="23"/>
        <v>3178.336801956721</v>
      </c>
      <c r="P79" s="114">
        <v>1600</v>
      </c>
      <c r="Q79" s="114">
        <f t="shared" si="24"/>
        <v>1374.0238024804128</v>
      </c>
      <c r="R79" s="114">
        <f t="shared" si="25"/>
        <v>5974.0165325235348</v>
      </c>
      <c r="S79" s="309">
        <f t="shared" si="26"/>
        <v>375.7</v>
      </c>
      <c r="T79" s="114">
        <f>O79*'STS Design Calcs'!$C$147*(J79+B79)*3.785*1440/454000</f>
        <v>43159.104046412693</v>
      </c>
      <c r="U79" s="114">
        <v>43154.112007100019</v>
      </c>
      <c r="V79" s="114">
        <f t="shared" si="15"/>
        <v>86318.208092825385</v>
      </c>
      <c r="W79" s="114">
        <f t="shared" si="16"/>
        <v>11668.94294588195</v>
      </c>
      <c r="X79" s="114">
        <f>O79*'STS Design Calcs'!$C$224*('STS Calculation Summary'!D79-J79)*3.785*1440/454000</f>
        <v>8841.7132615419796</v>
      </c>
      <c r="Y79" s="114">
        <f t="shared" si="17"/>
        <v>1613.6126702314111</v>
      </c>
      <c r="Z79" s="114">
        <f>'STS Design Calcs'!$C$269*('STS Calculation Summary'!D79-'STS Calculation Summary'!J79)/365</f>
        <v>53.0447509246669</v>
      </c>
      <c r="AA79" s="323">
        <f t="shared" si="18"/>
        <v>9.6806670437517095</v>
      </c>
      <c r="AB79" s="310">
        <f>L79*1440*'STS Design Calcs'!$C$284</f>
        <v>53.620202371927626</v>
      </c>
      <c r="AC79" s="310">
        <f t="shared" si="19"/>
        <v>9.785686932876791</v>
      </c>
      <c r="AD79" s="114">
        <f>H79*'STS Design Calcs'!$C$343</f>
        <v>7758.4322205120498</v>
      </c>
      <c r="AE79" s="114">
        <f>H79*'STS Design Calcs'!$C$352</f>
        <v>2586.1440735040169</v>
      </c>
      <c r="AF79" s="309">
        <f>H79*'STS Design Calcs'!$C$309</f>
        <v>2501.8595785368479</v>
      </c>
      <c r="AG79" s="309">
        <f>H79*'STS Design Calcs'!$C$317</f>
        <v>2501.8595785368479</v>
      </c>
      <c r="AH79" s="114">
        <f>H79*'STS Design Calcs'!$C$326</f>
        <v>416.97659642280797</v>
      </c>
      <c r="AI79" s="319">
        <f>H79*'STS Design Calcs'!$C$334</f>
        <v>416.97659642280797</v>
      </c>
      <c r="AJ79" s="321">
        <f>'STS Design Calcs'!$C$381*H79</f>
        <v>722227.53592600592</v>
      </c>
      <c r="AK79" s="321">
        <f>'STS Design Calcs'!$C$390*D79</f>
        <v>176677.45455344906</v>
      </c>
      <c r="AL79" s="322">
        <f t="shared" si="27"/>
        <v>898904.99047945498</v>
      </c>
    </row>
    <row r="80" spans="1:38" s="94" customFormat="1" ht="15" customHeight="1" x14ac:dyDescent="0.25">
      <c r="A80" s="113">
        <v>70</v>
      </c>
      <c r="B80" s="343">
        <v>405.14956073542498</v>
      </c>
      <c r="C80" s="343">
        <v>266.5</v>
      </c>
      <c r="D80" s="309">
        <f t="shared" ref="D80:D110" si="28">K80+B80+E80</f>
        <v>577.07834594504175</v>
      </c>
      <c r="E80" s="309">
        <f>3*U80/'STS Design Calcs'!$I$97/'STS Design Calcs'!$L$97/'STS Design Calcs'!$O$97/'STS Design Calcs'!$R$97</f>
        <v>36.23497169247797</v>
      </c>
      <c r="F80" s="309">
        <f t="shared" si="10"/>
        <v>323.16387372922338</v>
      </c>
      <c r="G80" s="309">
        <f t="shared" si="11"/>
        <v>253.91447221581836</v>
      </c>
      <c r="H80" s="309">
        <f t="shared" si="12"/>
        <v>589.66387372922338</v>
      </c>
      <c r="I80" s="309">
        <f t="shared" si="13"/>
        <v>454.04118277150201</v>
      </c>
      <c r="J80" s="309">
        <f t="shared" ref="J80:J110" si="29">H80-I80</f>
        <v>135.62269095772137</v>
      </c>
      <c r="K80" s="309">
        <v>135.69381351713878</v>
      </c>
      <c r="L80" s="309">
        <f t="shared" si="14"/>
        <v>671.64956073542498</v>
      </c>
      <c r="M80" s="114">
        <v>2242</v>
      </c>
      <c r="N80" s="114">
        <v>1100</v>
      </c>
      <c r="O80" s="114">
        <f t="shared" ref="O80:O110" si="30">(K80*R80+M80*B80)/(K80+B80)</f>
        <v>3178.336801956721</v>
      </c>
      <c r="P80" s="114">
        <v>1600</v>
      </c>
      <c r="Q80" s="114">
        <f t="shared" ref="Q80:Q110" si="31">(P80*F80+N80*C80)/(C80+F80)</f>
        <v>1374.0238024804128</v>
      </c>
      <c r="R80" s="114">
        <f t="shared" ref="R80:R110" si="32">Q80*$A$122</f>
        <v>5974.0165325235348</v>
      </c>
      <c r="S80" s="309">
        <f t="shared" ref="S80:S110" si="33">((H80-I80)*1600+I80*10)/((H80-I80)+I80)</f>
        <v>375.7</v>
      </c>
      <c r="T80" s="114">
        <f>O80*'STS Design Calcs'!$C$147*(J80+B80)*3.785*1440/454000</f>
        <v>43159.104046412693</v>
      </c>
      <c r="U80" s="114">
        <v>43154.112007100019</v>
      </c>
      <c r="V80" s="114">
        <f t="shared" si="15"/>
        <v>86318.208092825385</v>
      </c>
      <c r="W80" s="114">
        <f t="shared" si="16"/>
        <v>11668.94294588195</v>
      </c>
      <c r="X80" s="114">
        <f>O80*'STS Design Calcs'!$C$224*('STS Calculation Summary'!D80-J80)*3.785*1440/454000</f>
        <v>8841.7132615419796</v>
      </c>
      <c r="Y80" s="114">
        <f t="shared" si="17"/>
        <v>1613.6126702314111</v>
      </c>
      <c r="Z80" s="114">
        <f>'STS Design Calcs'!$C$269*('STS Calculation Summary'!D80-'STS Calculation Summary'!J80)/365</f>
        <v>53.0447509246669</v>
      </c>
      <c r="AA80" s="323">
        <f t="shared" si="18"/>
        <v>9.6806670437517095</v>
      </c>
      <c r="AB80" s="310">
        <f>L80*1440*'STS Design Calcs'!$C$284</f>
        <v>53.620202371927626</v>
      </c>
      <c r="AC80" s="310">
        <f t="shared" si="19"/>
        <v>9.785686932876791</v>
      </c>
      <c r="AD80" s="114">
        <f>H80*'STS Design Calcs'!$C$343</f>
        <v>7758.4322205120498</v>
      </c>
      <c r="AE80" s="114">
        <f>H80*'STS Design Calcs'!$C$352</f>
        <v>2586.1440735040169</v>
      </c>
      <c r="AF80" s="309">
        <f>H80*'STS Design Calcs'!$C$309</f>
        <v>2501.8595785368479</v>
      </c>
      <c r="AG80" s="309">
        <f>H80*'STS Design Calcs'!$C$317</f>
        <v>2501.8595785368479</v>
      </c>
      <c r="AH80" s="114">
        <f>H80*'STS Design Calcs'!$C$326</f>
        <v>416.97659642280797</v>
      </c>
      <c r="AI80" s="319">
        <f>H80*'STS Design Calcs'!$C$334</f>
        <v>416.97659642280797</v>
      </c>
      <c r="AJ80" s="321">
        <f>'STS Design Calcs'!$C$381*H80</f>
        <v>722227.53592600592</v>
      </c>
      <c r="AK80" s="321">
        <f>'STS Design Calcs'!$C$390*D80</f>
        <v>176677.45455344906</v>
      </c>
      <c r="AL80" s="322">
        <f t="shared" si="27"/>
        <v>898904.99047945498</v>
      </c>
    </row>
    <row r="81" spans="1:38" s="94" customFormat="1" ht="15" customHeight="1" x14ac:dyDescent="0.25">
      <c r="A81" s="113">
        <v>71</v>
      </c>
      <c r="B81" s="343">
        <v>405.14956073542498</v>
      </c>
      <c r="C81" s="343">
        <v>266.5</v>
      </c>
      <c r="D81" s="309">
        <f t="shared" si="28"/>
        <v>577.07834594504175</v>
      </c>
      <c r="E81" s="309">
        <f>3*U81/'STS Design Calcs'!$I$97/'STS Design Calcs'!$L$97/'STS Design Calcs'!$O$97/'STS Design Calcs'!$R$97</f>
        <v>36.23497169247797</v>
      </c>
      <c r="F81" s="309">
        <f t="shared" ref="F81:F110" si="34">D81*(1-$A$120)</f>
        <v>323.16387372922338</v>
      </c>
      <c r="G81" s="309">
        <f t="shared" ref="G81:G110" si="35">D81*$A$120</f>
        <v>253.91447221581836</v>
      </c>
      <c r="H81" s="309">
        <f t="shared" ref="H81:H110" si="36">C81+D81-G81</f>
        <v>589.66387372922338</v>
      </c>
      <c r="I81" s="309">
        <f t="shared" ref="I81:I110" si="37">H81*$A$121</f>
        <v>454.04118277150201</v>
      </c>
      <c r="J81" s="309">
        <f t="shared" si="29"/>
        <v>135.62269095772137</v>
      </c>
      <c r="K81" s="309">
        <v>135.69381351713878</v>
      </c>
      <c r="L81" s="309">
        <f t="shared" ref="L81:L110" si="38">+B81+C81</f>
        <v>671.64956073542498</v>
      </c>
      <c r="M81" s="114">
        <v>2242</v>
      </c>
      <c r="N81" s="114">
        <v>1100</v>
      </c>
      <c r="O81" s="114">
        <f t="shared" si="30"/>
        <v>3178.336801956721</v>
      </c>
      <c r="P81" s="114">
        <v>1600</v>
      </c>
      <c r="Q81" s="114">
        <f t="shared" si="31"/>
        <v>1374.0238024804128</v>
      </c>
      <c r="R81" s="114">
        <f t="shared" si="32"/>
        <v>5974.0165325235348</v>
      </c>
      <c r="S81" s="309">
        <f t="shared" si="33"/>
        <v>375.7</v>
      </c>
      <c r="T81" s="114">
        <f>O81*'STS Design Calcs'!$C$147*(J81+B81)*3.785*1440/454000</f>
        <v>43159.104046412693</v>
      </c>
      <c r="U81" s="114">
        <v>43154.112007100019</v>
      </c>
      <c r="V81" s="114">
        <f t="shared" ref="V81:V110" si="39">T81/0.5</f>
        <v>86318.208092825385</v>
      </c>
      <c r="W81" s="114">
        <f t="shared" ref="W81:W110" si="40">V81/100/27*365</f>
        <v>11668.94294588195</v>
      </c>
      <c r="X81" s="114">
        <f>O81*'STS Design Calcs'!$C$224*('STS Calculation Summary'!D81-J81)*3.785*1440/454000</f>
        <v>8841.7132615419796</v>
      </c>
      <c r="Y81" s="114">
        <f t="shared" ref="Y81:Y110" si="41">X81*365/2000</f>
        <v>1613.6126702314111</v>
      </c>
      <c r="Z81" s="114">
        <f>'STS Design Calcs'!$C$269*('STS Calculation Summary'!D81-'STS Calculation Summary'!J81)/365</f>
        <v>53.0447509246669</v>
      </c>
      <c r="AA81" s="323">
        <f t="shared" ref="AA81:AA110" si="42">Z81*365/2000</f>
        <v>9.6806670437517095</v>
      </c>
      <c r="AB81" s="310">
        <f>L81*1440*'STS Design Calcs'!$C$284</f>
        <v>53.620202371927626</v>
      </c>
      <c r="AC81" s="310">
        <f t="shared" ref="AC81:AC110" si="43">AB81*365/2000</f>
        <v>9.785686932876791</v>
      </c>
      <c r="AD81" s="114">
        <f>H81*'STS Design Calcs'!$C$343</f>
        <v>7758.4322205120498</v>
      </c>
      <c r="AE81" s="114">
        <f>H81*'STS Design Calcs'!$C$352</f>
        <v>2586.1440735040169</v>
      </c>
      <c r="AF81" s="309">
        <f>H81*'STS Design Calcs'!$C$309</f>
        <v>2501.8595785368479</v>
      </c>
      <c r="AG81" s="309">
        <f>H81*'STS Design Calcs'!$C$317</f>
        <v>2501.8595785368479</v>
      </c>
      <c r="AH81" s="114">
        <f>H81*'STS Design Calcs'!$C$326</f>
        <v>416.97659642280797</v>
      </c>
      <c r="AI81" s="319">
        <f>H81*'STS Design Calcs'!$C$334</f>
        <v>416.97659642280797</v>
      </c>
      <c r="AJ81" s="321">
        <f>'STS Design Calcs'!$C$381*H81</f>
        <v>722227.53592600592</v>
      </c>
      <c r="AK81" s="321">
        <f>'STS Design Calcs'!$C$390*D81</f>
        <v>176677.45455344906</v>
      </c>
      <c r="AL81" s="322">
        <f t="shared" si="27"/>
        <v>898904.99047945498</v>
      </c>
    </row>
    <row r="82" spans="1:38" s="94" customFormat="1" ht="15" customHeight="1" x14ac:dyDescent="0.25">
      <c r="A82" s="113">
        <v>72</v>
      </c>
      <c r="B82" s="343">
        <v>405.14956073542498</v>
      </c>
      <c r="C82" s="343">
        <v>266.5</v>
      </c>
      <c r="D82" s="309">
        <f t="shared" si="28"/>
        <v>577.07834594504175</v>
      </c>
      <c r="E82" s="309">
        <f>3*U82/'STS Design Calcs'!$I$97/'STS Design Calcs'!$L$97/'STS Design Calcs'!$O$97/'STS Design Calcs'!$R$97</f>
        <v>36.23497169247797</v>
      </c>
      <c r="F82" s="309">
        <f t="shared" si="34"/>
        <v>323.16387372922338</v>
      </c>
      <c r="G82" s="309">
        <f t="shared" si="35"/>
        <v>253.91447221581836</v>
      </c>
      <c r="H82" s="309">
        <f t="shared" si="36"/>
        <v>589.66387372922338</v>
      </c>
      <c r="I82" s="309">
        <f t="shared" si="37"/>
        <v>454.04118277150201</v>
      </c>
      <c r="J82" s="309">
        <f t="shared" si="29"/>
        <v>135.62269095772137</v>
      </c>
      <c r="K82" s="309">
        <v>135.69381351713878</v>
      </c>
      <c r="L82" s="309">
        <f t="shared" si="38"/>
        <v>671.64956073542498</v>
      </c>
      <c r="M82" s="114">
        <v>2242</v>
      </c>
      <c r="N82" s="114">
        <v>1100</v>
      </c>
      <c r="O82" s="114">
        <f t="shared" si="30"/>
        <v>3178.336801956721</v>
      </c>
      <c r="P82" s="114">
        <v>1600</v>
      </c>
      <c r="Q82" s="114">
        <f t="shared" si="31"/>
        <v>1374.0238024804128</v>
      </c>
      <c r="R82" s="114">
        <f t="shared" si="32"/>
        <v>5974.0165325235348</v>
      </c>
      <c r="S82" s="309">
        <f t="shared" si="33"/>
        <v>375.7</v>
      </c>
      <c r="T82" s="114">
        <f>O82*'STS Design Calcs'!$C$147*(J82+B82)*3.785*1440/454000</f>
        <v>43159.104046412693</v>
      </c>
      <c r="U82" s="114">
        <v>43154.112007100019</v>
      </c>
      <c r="V82" s="114">
        <f t="shared" si="39"/>
        <v>86318.208092825385</v>
      </c>
      <c r="W82" s="114">
        <f t="shared" si="40"/>
        <v>11668.94294588195</v>
      </c>
      <c r="X82" s="114">
        <f>O82*'STS Design Calcs'!$C$224*('STS Calculation Summary'!D82-J82)*3.785*1440/454000</f>
        <v>8841.7132615419796</v>
      </c>
      <c r="Y82" s="114">
        <f t="shared" si="41"/>
        <v>1613.6126702314111</v>
      </c>
      <c r="Z82" s="114">
        <f>'STS Design Calcs'!$C$269*('STS Calculation Summary'!D82-'STS Calculation Summary'!J82)/365</f>
        <v>53.0447509246669</v>
      </c>
      <c r="AA82" s="323">
        <f t="shared" si="42"/>
        <v>9.6806670437517095</v>
      </c>
      <c r="AB82" s="310">
        <f>L82*1440*'STS Design Calcs'!$C$284</f>
        <v>53.620202371927626</v>
      </c>
      <c r="AC82" s="310">
        <f t="shared" si="43"/>
        <v>9.785686932876791</v>
      </c>
      <c r="AD82" s="114">
        <f>H82*'STS Design Calcs'!$C$343</f>
        <v>7758.4322205120498</v>
      </c>
      <c r="AE82" s="114">
        <f>H82*'STS Design Calcs'!$C$352</f>
        <v>2586.1440735040169</v>
      </c>
      <c r="AF82" s="309">
        <f>H82*'STS Design Calcs'!$C$309</f>
        <v>2501.8595785368479</v>
      </c>
      <c r="AG82" s="309">
        <f>H82*'STS Design Calcs'!$C$317</f>
        <v>2501.8595785368479</v>
      </c>
      <c r="AH82" s="114">
        <f>H82*'STS Design Calcs'!$C$326</f>
        <v>416.97659642280797</v>
      </c>
      <c r="AI82" s="319">
        <f>H82*'STS Design Calcs'!$C$334</f>
        <v>416.97659642280797</v>
      </c>
      <c r="AJ82" s="321">
        <f>'STS Design Calcs'!$C$381*H82</f>
        <v>722227.53592600592</v>
      </c>
      <c r="AK82" s="321">
        <f>'STS Design Calcs'!$C$390*D82</f>
        <v>176677.45455344906</v>
      </c>
      <c r="AL82" s="322">
        <f t="shared" si="27"/>
        <v>898904.99047945498</v>
      </c>
    </row>
    <row r="83" spans="1:38" s="94" customFormat="1" ht="15" customHeight="1" x14ac:dyDescent="0.25">
      <c r="A83" s="113">
        <v>73</v>
      </c>
      <c r="B83" s="343">
        <v>405.14956073542498</v>
      </c>
      <c r="C83" s="343">
        <v>266.5</v>
      </c>
      <c r="D83" s="309">
        <f t="shared" si="28"/>
        <v>577.07834333198446</v>
      </c>
      <c r="E83" s="309">
        <f>3*U83/'STS Design Calcs'!$I$97/'STS Design Calcs'!$L$97/'STS Design Calcs'!$O$97/'STS Design Calcs'!$R$97</f>
        <v>36.234971507796594</v>
      </c>
      <c r="F83" s="309">
        <f t="shared" si="34"/>
        <v>323.16387226591132</v>
      </c>
      <c r="G83" s="309">
        <f t="shared" si="35"/>
        <v>253.91447106607316</v>
      </c>
      <c r="H83" s="309">
        <f t="shared" si="36"/>
        <v>589.66387226591132</v>
      </c>
      <c r="I83" s="309">
        <f t="shared" si="37"/>
        <v>454.0411816447517</v>
      </c>
      <c r="J83" s="309">
        <f t="shared" si="29"/>
        <v>135.62269062115962</v>
      </c>
      <c r="K83" s="309">
        <v>135.69381108876291</v>
      </c>
      <c r="L83" s="309">
        <f t="shared" si="38"/>
        <v>671.64956073542498</v>
      </c>
      <c r="M83" s="114">
        <v>2242</v>
      </c>
      <c r="N83" s="114">
        <v>1100</v>
      </c>
      <c r="O83" s="114">
        <f t="shared" si="30"/>
        <v>3178.3367887924501</v>
      </c>
      <c r="P83" s="114">
        <v>1600</v>
      </c>
      <c r="Q83" s="114">
        <f t="shared" si="31"/>
        <v>1374.0238019196292</v>
      </c>
      <c r="R83" s="114">
        <f t="shared" si="32"/>
        <v>5974.016530085345</v>
      </c>
      <c r="S83" s="309">
        <f t="shared" si="33"/>
        <v>375.70000000000005</v>
      </c>
      <c r="T83" s="114">
        <f>O83*'STS Design Calcs'!$C$147*(J83+B83)*3.785*1440/454000</f>
        <v>43159.103840792071</v>
      </c>
      <c r="U83" s="114">
        <v>43154.111787153364</v>
      </c>
      <c r="V83" s="114">
        <f t="shared" si="39"/>
        <v>86318.207681584143</v>
      </c>
      <c r="W83" s="114">
        <f t="shared" si="40"/>
        <v>11668.942890288228</v>
      </c>
      <c r="X83" s="114">
        <f>O83*'STS Design Calcs'!$C$224*('STS Calculation Summary'!D83-J83)*3.785*1440/454000</f>
        <v>8841.7131793258286</v>
      </c>
      <c r="Y83" s="114">
        <f t="shared" si="41"/>
        <v>1613.6126552269639</v>
      </c>
      <c r="Z83" s="114">
        <f>'STS Design Calcs'!$C$269*('STS Calculation Summary'!D83-'STS Calculation Summary'!J83)/365</f>
        <v>53.044750651126087</v>
      </c>
      <c r="AA83" s="323">
        <f t="shared" si="42"/>
        <v>9.6806669938305117</v>
      </c>
      <c r="AB83" s="310">
        <f>L83*1440*'STS Design Calcs'!$C$284</f>
        <v>53.620202371927626</v>
      </c>
      <c r="AC83" s="310">
        <f t="shared" si="43"/>
        <v>9.785686932876791</v>
      </c>
      <c r="AD83" s="114">
        <f>H83*'STS Design Calcs'!$C$343</f>
        <v>7758.4322012586954</v>
      </c>
      <c r="AE83" s="114">
        <f>H83*'STS Design Calcs'!$C$352</f>
        <v>2586.1440670862321</v>
      </c>
      <c r="AF83" s="309">
        <f>H83*'STS Design Calcs'!$C$309</f>
        <v>2501.8595723282237</v>
      </c>
      <c r="AG83" s="309">
        <f>H83*'STS Design Calcs'!$C$317</f>
        <v>2501.8595723282237</v>
      </c>
      <c r="AH83" s="114">
        <f>H83*'STS Design Calcs'!$C$326</f>
        <v>416.97659538803731</v>
      </c>
      <c r="AI83" s="319">
        <f>H83*'STS Design Calcs'!$C$334</f>
        <v>416.97659538803731</v>
      </c>
      <c r="AJ83" s="321">
        <f>'STS Design Calcs'!$C$381*H83</f>
        <v>722227.53413372347</v>
      </c>
      <c r="AK83" s="321">
        <f>'STS Design Calcs'!$C$390*D83</f>
        <v>176677.45375343927</v>
      </c>
      <c r="AL83" s="322">
        <f t="shared" si="27"/>
        <v>898904.98788716272</v>
      </c>
    </row>
    <row r="84" spans="1:38" s="94" customFormat="1" ht="15" customHeight="1" x14ac:dyDescent="0.25">
      <c r="A84" s="113">
        <v>74</v>
      </c>
      <c r="B84" s="343">
        <v>405.14956073542498</v>
      </c>
      <c r="C84" s="343">
        <v>266.5</v>
      </c>
      <c r="D84" s="309">
        <f t="shared" si="28"/>
        <v>577.07834594504175</v>
      </c>
      <c r="E84" s="309">
        <f>3*U84/'STS Design Calcs'!$I$97/'STS Design Calcs'!$L$97/'STS Design Calcs'!$O$97/'STS Design Calcs'!$R$97</f>
        <v>36.23497169247797</v>
      </c>
      <c r="F84" s="309">
        <f t="shared" si="34"/>
        <v>323.16387372922338</v>
      </c>
      <c r="G84" s="309">
        <f t="shared" si="35"/>
        <v>253.91447221581836</v>
      </c>
      <c r="H84" s="309">
        <f t="shared" si="36"/>
        <v>589.66387372922338</v>
      </c>
      <c r="I84" s="309">
        <f t="shared" si="37"/>
        <v>454.04118277150201</v>
      </c>
      <c r="J84" s="309">
        <f t="shared" si="29"/>
        <v>135.62269095772137</v>
      </c>
      <c r="K84" s="309">
        <v>135.69381351713878</v>
      </c>
      <c r="L84" s="309">
        <f t="shared" si="38"/>
        <v>671.64956073542498</v>
      </c>
      <c r="M84" s="114">
        <v>2242</v>
      </c>
      <c r="N84" s="114">
        <v>1100</v>
      </c>
      <c r="O84" s="114">
        <f t="shared" si="30"/>
        <v>3178.336801956721</v>
      </c>
      <c r="P84" s="114">
        <v>1600</v>
      </c>
      <c r="Q84" s="114">
        <f t="shared" si="31"/>
        <v>1374.0238024804128</v>
      </c>
      <c r="R84" s="114">
        <f t="shared" si="32"/>
        <v>5974.0165325235348</v>
      </c>
      <c r="S84" s="309">
        <f t="shared" si="33"/>
        <v>375.7</v>
      </c>
      <c r="T84" s="114">
        <f>O84*'STS Design Calcs'!$C$147*(J84+B84)*3.785*1440/454000</f>
        <v>43159.104046412693</v>
      </c>
      <c r="U84" s="114">
        <v>43154.112007100019</v>
      </c>
      <c r="V84" s="114">
        <f t="shared" si="39"/>
        <v>86318.208092825385</v>
      </c>
      <c r="W84" s="114">
        <f t="shared" si="40"/>
        <v>11668.94294588195</v>
      </c>
      <c r="X84" s="114">
        <f>O84*'STS Design Calcs'!$C$224*('STS Calculation Summary'!D84-J84)*3.785*1440/454000</f>
        <v>8841.7132615419796</v>
      </c>
      <c r="Y84" s="114">
        <f t="shared" si="41"/>
        <v>1613.6126702314111</v>
      </c>
      <c r="Z84" s="114">
        <f>'STS Design Calcs'!$C$269*('STS Calculation Summary'!D84-'STS Calculation Summary'!J84)/365</f>
        <v>53.0447509246669</v>
      </c>
      <c r="AA84" s="323">
        <f t="shared" si="42"/>
        <v>9.6806670437517095</v>
      </c>
      <c r="AB84" s="310">
        <f>L84*1440*'STS Design Calcs'!$C$284</f>
        <v>53.620202371927626</v>
      </c>
      <c r="AC84" s="310">
        <f t="shared" si="43"/>
        <v>9.785686932876791</v>
      </c>
      <c r="AD84" s="114">
        <f>H84*'STS Design Calcs'!$C$343</f>
        <v>7758.4322205120498</v>
      </c>
      <c r="AE84" s="114">
        <f>H84*'STS Design Calcs'!$C$352</f>
        <v>2586.1440735040169</v>
      </c>
      <c r="AF84" s="309">
        <f>H84*'STS Design Calcs'!$C$309</f>
        <v>2501.8595785368479</v>
      </c>
      <c r="AG84" s="309">
        <f>H84*'STS Design Calcs'!$C$317</f>
        <v>2501.8595785368479</v>
      </c>
      <c r="AH84" s="114">
        <f>H84*'STS Design Calcs'!$C$326</f>
        <v>416.97659642280797</v>
      </c>
      <c r="AI84" s="319">
        <f>H84*'STS Design Calcs'!$C$334</f>
        <v>416.97659642280797</v>
      </c>
      <c r="AJ84" s="321">
        <f>'STS Design Calcs'!$C$381*H84</f>
        <v>722227.53592600592</v>
      </c>
      <c r="AK84" s="321">
        <f>'STS Design Calcs'!$C$390*D84</f>
        <v>176677.45455344906</v>
      </c>
      <c r="AL84" s="322">
        <f t="shared" si="27"/>
        <v>898904.99047945498</v>
      </c>
    </row>
    <row r="85" spans="1:38" s="94" customFormat="1" ht="15" customHeight="1" x14ac:dyDescent="0.25">
      <c r="A85" s="113">
        <v>75</v>
      </c>
      <c r="B85" s="343">
        <v>405.14956073542498</v>
      </c>
      <c r="C85" s="343">
        <v>266.5</v>
      </c>
      <c r="D85" s="309">
        <f t="shared" si="28"/>
        <v>577.07834594504175</v>
      </c>
      <c r="E85" s="309">
        <f>3*U85/'STS Design Calcs'!$I$97/'STS Design Calcs'!$L$97/'STS Design Calcs'!$O$97/'STS Design Calcs'!$R$97</f>
        <v>36.23497169247797</v>
      </c>
      <c r="F85" s="309">
        <f t="shared" si="34"/>
        <v>323.16387372922338</v>
      </c>
      <c r="G85" s="309">
        <f t="shared" si="35"/>
        <v>253.91447221581836</v>
      </c>
      <c r="H85" s="309">
        <f t="shared" si="36"/>
        <v>589.66387372922338</v>
      </c>
      <c r="I85" s="309">
        <f t="shared" si="37"/>
        <v>454.04118277150201</v>
      </c>
      <c r="J85" s="309">
        <f t="shared" si="29"/>
        <v>135.62269095772137</v>
      </c>
      <c r="K85" s="309">
        <v>135.69381351713878</v>
      </c>
      <c r="L85" s="309">
        <f t="shared" si="38"/>
        <v>671.64956073542498</v>
      </c>
      <c r="M85" s="114">
        <v>2242</v>
      </c>
      <c r="N85" s="114">
        <v>1100</v>
      </c>
      <c r="O85" s="114">
        <f t="shared" si="30"/>
        <v>3178.336801956721</v>
      </c>
      <c r="P85" s="114">
        <v>1600</v>
      </c>
      <c r="Q85" s="114">
        <f t="shared" si="31"/>
        <v>1374.0238024804128</v>
      </c>
      <c r="R85" s="114">
        <f t="shared" si="32"/>
        <v>5974.0165325235348</v>
      </c>
      <c r="S85" s="309">
        <f t="shared" si="33"/>
        <v>375.7</v>
      </c>
      <c r="T85" s="114">
        <f>O85*'STS Design Calcs'!$C$147*(J85+B85)*3.785*1440/454000</f>
        <v>43159.104046412693</v>
      </c>
      <c r="U85" s="114">
        <v>43154.112007100019</v>
      </c>
      <c r="V85" s="114">
        <f t="shared" si="39"/>
        <v>86318.208092825385</v>
      </c>
      <c r="W85" s="114">
        <f t="shared" si="40"/>
        <v>11668.94294588195</v>
      </c>
      <c r="X85" s="114">
        <f>O85*'STS Design Calcs'!$C$224*('STS Calculation Summary'!D85-J85)*3.785*1440/454000</f>
        <v>8841.7132615419796</v>
      </c>
      <c r="Y85" s="114">
        <f t="shared" si="41"/>
        <v>1613.6126702314111</v>
      </c>
      <c r="Z85" s="114">
        <f>'STS Design Calcs'!$C$269*('STS Calculation Summary'!D85-'STS Calculation Summary'!J85)/365</f>
        <v>53.0447509246669</v>
      </c>
      <c r="AA85" s="323">
        <f t="shared" si="42"/>
        <v>9.6806670437517095</v>
      </c>
      <c r="AB85" s="310">
        <f>L85*1440*'STS Design Calcs'!$C$284</f>
        <v>53.620202371927626</v>
      </c>
      <c r="AC85" s="310">
        <f t="shared" si="43"/>
        <v>9.785686932876791</v>
      </c>
      <c r="AD85" s="114">
        <f>H85*'STS Design Calcs'!$C$343</f>
        <v>7758.4322205120498</v>
      </c>
      <c r="AE85" s="114">
        <f>H85*'STS Design Calcs'!$C$352</f>
        <v>2586.1440735040169</v>
      </c>
      <c r="AF85" s="309">
        <f>H85*'STS Design Calcs'!$C$309</f>
        <v>2501.8595785368479</v>
      </c>
      <c r="AG85" s="309">
        <f>H85*'STS Design Calcs'!$C$317</f>
        <v>2501.8595785368479</v>
      </c>
      <c r="AH85" s="114">
        <f>H85*'STS Design Calcs'!$C$326</f>
        <v>416.97659642280797</v>
      </c>
      <c r="AI85" s="319">
        <f>H85*'STS Design Calcs'!$C$334</f>
        <v>416.97659642280797</v>
      </c>
      <c r="AJ85" s="321">
        <f>'STS Design Calcs'!$C$381*H85</f>
        <v>722227.53592600592</v>
      </c>
      <c r="AK85" s="321">
        <f>'STS Design Calcs'!$C$390*D85</f>
        <v>176677.45455344906</v>
      </c>
      <c r="AL85" s="322">
        <f t="shared" si="27"/>
        <v>898904.99047945498</v>
      </c>
    </row>
    <row r="86" spans="1:38" s="94" customFormat="1" ht="15" customHeight="1" x14ac:dyDescent="0.25">
      <c r="A86" s="113">
        <v>76</v>
      </c>
      <c r="B86" s="343">
        <v>405.14956073542498</v>
      </c>
      <c r="C86" s="343">
        <v>266.5</v>
      </c>
      <c r="D86" s="309">
        <f t="shared" si="28"/>
        <v>577.07834594504175</v>
      </c>
      <c r="E86" s="309">
        <f>3*U86/'STS Design Calcs'!$I$97/'STS Design Calcs'!$L$97/'STS Design Calcs'!$O$97/'STS Design Calcs'!$R$97</f>
        <v>36.23497169247797</v>
      </c>
      <c r="F86" s="309">
        <f t="shared" si="34"/>
        <v>323.16387372922338</v>
      </c>
      <c r="G86" s="309">
        <f t="shared" si="35"/>
        <v>253.91447221581836</v>
      </c>
      <c r="H86" s="309">
        <f t="shared" si="36"/>
        <v>589.66387372922338</v>
      </c>
      <c r="I86" s="309">
        <f t="shared" si="37"/>
        <v>454.04118277150201</v>
      </c>
      <c r="J86" s="309">
        <f t="shared" si="29"/>
        <v>135.62269095772137</v>
      </c>
      <c r="K86" s="309">
        <v>135.69381351713878</v>
      </c>
      <c r="L86" s="309">
        <f t="shared" si="38"/>
        <v>671.64956073542498</v>
      </c>
      <c r="M86" s="114">
        <v>2242</v>
      </c>
      <c r="N86" s="114">
        <v>1100</v>
      </c>
      <c r="O86" s="114">
        <f t="shared" si="30"/>
        <v>3178.336801956721</v>
      </c>
      <c r="P86" s="114">
        <v>1600</v>
      </c>
      <c r="Q86" s="114">
        <f t="shared" si="31"/>
        <v>1374.0238024804128</v>
      </c>
      <c r="R86" s="114">
        <f t="shared" si="32"/>
        <v>5974.0165325235348</v>
      </c>
      <c r="S86" s="309">
        <f t="shared" si="33"/>
        <v>375.7</v>
      </c>
      <c r="T86" s="114">
        <f>O86*'STS Design Calcs'!$C$147*(J86+B86)*3.785*1440/454000</f>
        <v>43159.104046412693</v>
      </c>
      <c r="U86" s="114">
        <v>43154.112007100019</v>
      </c>
      <c r="V86" s="114">
        <f t="shared" si="39"/>
        <v>86318.208092825385</v>
      </c>
      <c r="W86" s="114">
        <f t="shared" si="40"/>
        <v>11668.94294588195</v>
      </c>
      <c r="X86" s="114">
        <f>O86*'STS Design Calcs'!$C$224*('STS Calculation Summary'!D86-J86)*3.785*1440/454000</f>
        <v>8841.7132615419796</v>
      </c>
      <c r="Y86" s="114">
        <f t="shared" si="41"/>
        <v>1613.6126702314111</v>
      </c>
      <c r="Z86" s="114">
        <f>'STS Design Calcs'!$C$269*('STS Calculation Summary'!D86-'STS Calculation Summary'!J86)/365</f>
        <v>53.0447509246669</v>
      </c>
      <c r="AA86" s="323">
        <f t="shared" si="42"/>
        <v>9.6806670437517095</v>
      </c>
      <c r="AB86" s="310">
        <f>L86*1440*'STS Design Calcs'!$C$284</f>
        <v>53.620202371927626</v>
      </c>
      <c r="AC86" s="310">
        <f t="shared" si="43"/>
        <v>9.785686932876791</v>
      </c>
      <c r="AD86" s="114">
        <f>H86*'STS Design Calcs'!$C$343</f>
        <v>7758.4322205120498</v>
      </c>
      <c r="AE86" s="114">
        <f>H86*'STS Design Calcs'!$C$352</f>
        <v>2586.1440735040169</v>
      </c>
      <c r="AF86" s="309">
        <f>H86*'STS Design Calcs'!$C$309</f>
        <v>2501.8595785368479</v>
      </c>
      <c r="AG86" s="309">
        <f>H86*'STS Design Calcs'!$C$317</f>
        <v>2501.8595785368479</v>
      </c>
      <c r="AH86" s="114">
        <f>H86*'STS Design Calcs'!$C$326</f>
        <v>416.97659642280797</v>
      </c>
      <c r="AI86" s="319">
        <f>H86*'STS Design Calcs'!$C$334</f>
        <v>416.97659642280797</v>
      </c>
      <c r="AJ86" s="321">
        <f>'STS Design Calcs'!$C$381*H86</f>
        <v>722227.53592600592</v>
      </c>
      <c r="AK86" s="321">
        <f>'STS Design Calcs'!$C$390*D86</f>
        <v>176677.45455344906</v>
      </c>
      <c r="AL86" s="322">
        <f t="shared" si="27"/>
        <v>898904.99047945498</v>
      </c>
    </row>
    <row r="87" spans="1:38" s="94" customFormat="1" ht="15" customHeight="1" x14ac:dyDescent="0.25">
      <c r="A87" s="113">
        <v>77</v>
      </c>
      <c r="B87" s="343">
        <v>405.14956073542498</v>
      </c>
      <c r="C87" s="343">
        <v>266.5</v>
      </c>
      <c r="D87" s="309">
        <f t="shared" si="28"/>
        <v>577.07834594504175</v>
      </c>
      <c r="E87" s="309">
        <f>3*U87/'STS Design Calcs'!$I$97/'STS Design Calcs'!$L$97/'STS Design Calcs'!$O$97/'STS Design Calcs'!$R$97</f>
        <v>36.23497169247797</v>
      </c>
      <c r="F87" s="309">
        <f t="shared" si="34"/>
        <v>323.16387372922338</v>
      </c>
      <c r="G87" s="309">
        <f t="shared" si="35"/>
        <v>253.91447221581836</v>
      </c>
      <c r="H87" s="309">
        <f t="shared" si="36"/>
        <v>589.66387372922338</v>
      </c>
      <c r="I87" s="309">
        <f t="shared" si="37"/>
        <v>454.04118277150201</v>
      </c>
      <c r="J87" s="309">
        <f t="shared" si="29"/>
        <v>135.62269095772137</v>
      </c>
      <c r="K87" s="309">
        <v>135.69381351713878</v>
      </c>
      <c r="L87" s="309">
        <f t="shared" si="38"/>
        <v>671.64956073542498</v>
      </c>
      <c r="M87" s="114">
        <v>2242</v>
      </c>
      <c r="N87" s="114">
        <v>1100</v>
      </c>
      <c r="O87" s="114">
        <f t="shared" si="30"/>
        <v>3178.336801956721</v>
      </c>
      <c r="P87" s="114">
        <v>1600</v>
      </c>
      <c r="Q87" s="114">
        <f t="shared" si="31"/>
        <v>1374.0238024804128</v>
      </c>
      <c r="R87" s="114">
        <f t="shared" si="32"/>
        <v>5974.0165325235348</v>
      </c>
      <c r="S87" s="309">
        <f t="shared" si="33"/>
        <v>375.7</v>
      </c>
      <c r="T87" s="114">
        <f>O87*'STS Design Calcs'!$C$147*(J87+B87)*3.785*1440/454000</f>
        <v>43159.104046412693</v>
      </c>
      <c r="U87" s="114">
        <v>43154.112007100019</v>
      </c>
      <c r="V87" s="114">
        <f t="shared" si="39"/>
        <v>86318.208092825385</v>
      </c>
      <c r="W87" s="114">
        <f t="shared" si="40"/>
        <v>11668.94294588195</v>
      </c>
      <c r="X87" s="114">
        <f>O87*'STS Design Calcs'!$C$224*('STS Calculation Summary'!D87-J87)*3.785*1440/454000</f>
        <v>8841.7132615419796</v>
      </c>
      <c r="Y87" s="114">
        <f t="shared" si="41"/>
        <v>1613.6126702314111</v>
      </c>
      <c r="Z87" s="114">
        <f>'STS Design Calcs'!$C$269*('STS Calculation Summary'!D87-'STS Calculation Summary'!J87)/365</f>
        <v>53.0447509246669</v>
      </c>
      <c r="AA87" s="323">
        <f t="shared" si="42"/>
        <v>9.6806670437517095</v>
      </c>
      <c r="AB87" s="310">
        <f>L87*1440*'STS Design Calcs'!$C$284</f>
        <v>53.620202371927626</v>
      </c>
      <c r="AC87" s="310">
        <f t="shared" si="43"/>
        <v>9.785686932876791</v>
      </c>
      <c r="AD87" s="114">
        <f>H87*'STS Design Calcs'!$C$343</f>
        <v>7758.4322205120498</v>
      </c>
      <c r="AE87" s="114">
        <f>H87*'STS Design Calcs'!$C$352</f>
        <v>2586.1440735040169</v>
      </c>
      <c r="AF87" s="309">
        <f>H87*'STS Design Calcs'!$C$309</f>
        <v>2501.8595785368479</v>
      </c>
      <c r="AG87" s="309">
        <f>H87*'STS Design Calcs'!$C$317</f>
        <v>2501.8595785368479</v>
      </c>
      <c r="AH87" s="114">
        <f>H87*'STS Design Calcs'!$C$326</f>
        <v>416.97659642280797</v>
      </c>
      <c r="AI87" s="319">
        <f>H87*'STS Design Calcs'!$C$334</f>
        <v>416.97659642280797</v>
      </c>
      <c r="AJ87" s="321">
        <f>'STS Design Calcs'!$C$381*H87</f>
        <v>722227.53592600592</v>
      </c>
      <c r="AK87" s="321">
        <f>'STS Design Calcs'!$C$390*D87</f>
        <v>176677.45455344906</v>
      </c>
      <c r="AL87" s="322">
        <f t="shared" si="27"/>
        <v>898904.99047945498</v>
      </c>
    </row>
    <row r="88" spans="1:38" s="94" customFormat="1" ht="15" customHeight="1" x14ac:dyDescent="0.25">
      <c r="A88" s="113">
        <v>78</v>
      </c>
      <c r="B88" s="343">
        <v>405.14956073542498</v>
      </c>
      <c r="C88" s="343">
        <v>266.5</v>
      </c>
      <c r="D88" s="309">
        <f t="shared" si="28"/>
        <v>577.07834594504175</v>
      </c>
      <c r="E88" s="309">
        <f>3*U88/'STS Design Calcs'!$I$97/'STS Design Calcs'!$L$97/'STS Design Calcs'!$O$97/'STS Design Calcs'!$R$97</f>
        <v>36.23497169247797</v>
      </c>
      <c r="F88" s="309">
        <f t="shared" si="34"/>
        <v>323.16387372922338</v>
      </c>
      <c r="G88" s="309">
        <f t="shared" si="35"/>
        <v>253.91447221581836</v>
      </c>
      <c r="H88" s="309">
        <f t="shared" si="36"/>
        <v>589.66387372922338</v>
      </c>
      <c r="I88" s="309">
        <f t="shared" si="37"/>
        <v>454.04118277150201</v>
      </c>
      <c r="J88" s="309">
        <f t="shared" si="29"/>
        <v>135.62269095772137</v>
      </c>
      <c r="K88" s="309">
        <v>135.69381351713878</v>
      </c>
      <c r="L88" s="309">
        <f t="shared" si="38"/>
        <v>671.64956073542498</v>
      </c>
      <c r="M88" s="114">
        <v>2242</v>
      </c>
      <c r="N88" s="114">
        <v>1100</v>
      </c>
      <c r="O88" s="114">
        <f t="shared" si="30"/>
        <v>3178.336801956721</v>
      </c>
      <c r="P88" s="114">
        <v>1600</v>
      </c>
      <c r="Q88" s="114">
        <f t="shared" si="31"/>
        <v>1374.0238024804128</v>
      </c>
      <c r="R88" s="114">
        <f t="shared" si="32"/>
        <v>5974.0165325235348</v>
      </c>
      <c r="S88" s="309">
        <f t="shared" si="33"/>
        <v>375.7</v>
      </c>
      <c r="T88" s="114">
        <f>O88*'STS Design Calcs'!$C$147*(J88+B88)*3.785*1440/454000</f>
        <v>43159.104046412693</v>
      </c>
      <c r="U88" s="114">
        <v>43154.112007100019</v>
      </c>
      <c r="V88" s="114">
        <f t="shared" si="39"/>
        <v>86318.208092825385</v>
      </c>
      <c r="W88" s="114">
        <f t="shared" si="40"/>
        <v>11668.94294588195</v>
      </c>
      <c r="X88" s="114">
        <f>O88*'STS Design Calcs'!$C$224*('STS Calculation Summary'!D88-J88)*3.785*1440/454000</f>
        <v>8841.7132615419796</v>
      </c>
      <c r="Y88" s="114">
        <f t="shared" si="41"/>
        <v>1613.6126702314111</v>
      </c>
      <c r="Z88" s="114">
        <f>'STS Design Calcs'!$C$269*('STS Calculation Summary'!D88-'STS Calculation Summary'!J88)/365</f>
        <v>53.0447509246669</v>
      </c>
      <c r="AA88" s="323">
        <f t="shared" si="42"/>
        <v>9.6806670437517095</v>
      </c>
      <c r="AB88" s="310">
        <f>L88*1440*'STS Design Calcs'!$C$284</f>
        <v>53.620202371927626</v>
      </c>
      <c r="AC88" s="310">
        <f t="shared" si="43"/>
        <v>9.785686932876791</v>
      </c>
      <c r="AD88" s="114">
        <f>H88*'STS Design Calcs'!$C$343</f>
        <v>7758.4322205120498</v>
      </c>
      <c r="AE88" s="114">
        <f>H88*'STS Design Calcs'!$C$352</f>
        <v>2586.1440735040169</v>
      </c>
      <c r="AF88" s="309">
        <f>H88*'STS Design Calcs'!$C$309</f>
        <v>2501.8595785368479</v>
      </c>
      <c r="AG88" s="309">
        <f>H88*'STS Design Calcs'!$C$317</f>
        <v>2501.8595785368479</v>
      </c>
      <c r="AH88" s="114">
        <f>H88*'STS Design Calcs'!$C$326</f>
        <v>416.97659642280797</v>
      </c>
      <c r="AI88" s="319">
        <f>H88*'STS Design Calcs'!$C$334</f>
        <v>416.97659642280797</v>
      </c>
      <c r="AJ88" s="321">
        <f>'STS Design Calcs'!$C$381*H88</f>
        <v>722227.53592600592</v>
      </c>
      <c r="AK88" s="321">
        <f>'STS Design Calcs'!$C$390*D88</f>
        <v>176677.45455344906</v>
      </c>
      <c r="AL88" s="322">
        <f t="shared" si="27"/>
        <v>898904.99047945498</v>
      </c>
    </row>
    <row r="89" spans="1:38" s="94" customFormat="1" ht="15" customHeight="1" x14ac:dyDescent="0.25">
      <c r="A89" s="113">
        <v>79</v>
      </c>
      <c r="B89" s="343">
        <v>405.14956073542498</v>
      </c>
      <c r="C89" s="343">
        <v>266.5</v>
      </c>
      <c r="D89" s="309">
        <f t="shared" si="28"/>
        <v>577.07834594504175</v>
      </c>
      <c r="E89" s="309">
        <f>3*U89/'STS Design Calcs'!$I$97/'STS Design Calcs'!$L$97/'STS Design Calcs'!$O$97/'STS Design Calcs'!$R$97</f>
        <v>36.23497169247797</v>
      </c>
      <c r="F89" s="309">
        <f t="shared" si="34"/>
        <v>323.16387372922338</v>
      </c>
      <c r="G89" s="309">
        <f t="shared" si="35"/>
        <v>253.91447221581836</v>
      </c>
      <c r="H89" s="309">
        <f t="shared" si="36"/>
        <v>589.66387372922338</v>
      </c>
      <c r="I89" s="309">
        <f t="shared" si="37"/>
        <v>454.04118277150201</v>
      </c>
      <c r="J89" s="309">
        <f t="shared" si="29"/>
        <v>135.62269095772137</v>
      </c>
      <c r="K89" s="309">
        <v>135.69381351713878</v>
      </c>
      <c r="L89" s="309">
        <f t="shared" si="38"/>
        <v>671.64956073542498</v>
      </c>
      <c r="M89" s="114">
        <v>2242</v>
      </c>
      <c r="N89" s="114">
        <v>1100</v>
      </c>
      <c r="O89" s="114">
        <f t="shared" si="30"/>
        <v>3178.336801956721</v>
      </c>
      <c r="P89" s="114">
        <v>1600</v>
      </c>
      <c r="Q89" s="114">
        <f t="shared" si="31"/>
        <v>1374.0238024804128</v>
      </c>
      <c r="R89" s="114">
        <f t="shared" si="32"/>
        <v>5974.0165325235348</v>
      </c>
      <c r="S89" s="309">
        <f t="shared" si="33"/>
        <v>375.7</v>
      </c>
      <c r="T89" s="114">
        <f>O89*'STS Design Calcs'!$C$147*(J89+B89)*3.785*1440/454000</f>
        <v>43159.104046412693</v>
      </c>
      <c r="U89" s="114">
        <v>43154.112007100019</v>
      </c>
      <c r="V89" s="114">
        <f t="shared" si="39"/>
        <v>86318.208092825385</v>
      </c>
      <c r="W89" s="114">
        <f t="shared" si="40"/>
        <v>11668.94294588195</v>
      </c>
      <c r="X89" s="114">
        <f>O89*'STS Design Calcs'!$C$224*('STS Calculation Summary'!D89-J89)*3.785*1440/454000</f>
        <v>8841.7132615419796</v>
      </c>
      <c r="Y89" s="114">
        <f t="shared" si="41"/>
        <v>1613.6126702314111</v>
      </c>
      <c r="Z89" s="114">
        <f>'STS Design Calcs'!$C$269*('STS Calculation Summary'!D89-'STS Calculation Summary'!J89)/365</f>
        <v>53.0447509246669</v>
      </c>
      <c r="AA89" s="323">
        <f t="shared" si="42"/>
        <v>9.6806670437517095</v>
      </c>
      <c r="AB89" s="310">
        <f>L89*1440*'STS Design Calcs'!$C$284</f>
        <v>53.620202371927626</v>
      </c>
      <c r="AC89" s="310">
        <f t="shared" si="43"/>
        <v>9.785686932876791</v>
      </c>
      <c r="AD89" s="114">
        <f>H89*'STS Design Calcs'!$C$343</f>
        <v>7758.4322205120498</v>
      </c>
      <c r="AE89" s="114">
        <f>H89*'STS Design Calcs'!$C$352</f>
        <v>2586.1440735040169</v>
      </c>
      <c r="AF89" s="309">
        <f>H89*'STS Design Calcs'!$C$309</f>
        <v>2501.8595785368479</v>
      </c>
      <c r="AG89" s="309">
        <f>H89*'STS Design Calcs'!$C$317</f>
        <v>2501.8595785368479</v>
      </c>
      <c r="AH89" s="114">
        <f>H89*'STS Design Calcs'!$C$326</f>
        <v>416.97659642280797</v>
      </c>
      <c r="AI89" s="319">
        <f>H89*'STS Design Calcs'!$C$334</f>
        <v>416.97659642280797</v>
      </c>
      <c r="AJ89" s="321">
        <f>'STS Design Calcs'!$C$381*H89</f>
        <v>722227.53592600592</v>
      </c>
      <c r="AK89" s="321">
        <f>'STS Design Calcs'!$C$390*D89</f>
        <v>176677.45455344906</v>
      </c>
      <c r="AL89" s="322">
        <f t="shared" si="27"/>
        <v>898904.99047945498</v>
      </c>
    </row>
    <row r="90" spans="1:38" s="94" customFormat="1" ht="15" customHeight="1" x14ac:dyDescent="0.25">
      <c r="A90" s="113">
        <v>80</v>
      </c>
      <c r="B90" s="343">
        <v>405.14956073542498</v>
      </c>
      <c r="C90" s="343">
        <v>266.5</v>
      </c>
      <c r="D90" s="309">
        <f t="shared" si="28"/>
        <v>577.07834594504175</v>
      </c>
      <c r="E90" s="309">
        <f>3*U90/'STS Design Calcs'!$I$97/'STS Design Calcs'!$L$97/'STS Design Calcs'!$O$97/'STS Design Calcs'!$R$97</f>
        <v>36.23497169247797</v>
      </c>
      <c r="F90" s="309">
        <f t="shared" si="34"/>
        <v>323.16387372922338</v>
      </c>
      <c r="G90" s="309">
        <f t="shared" si="35"/>
        <v>253.91447221581836</v>
      </c>
      <c r="H90" s="309">
        <f t="shared" si="36"/>
        <v>589.66387372922338</v>
      </c>
      <c r="I90" s="309">
        <f t="shared" si="37"/>
        <v>454.04118277150201</v>
      </c>
      <c r="J90" s="309">
        <f t="shared" si="29"/>
        <v>135.62269095772137</v>
      </c>
      <c r="K90" s="309">
        <v>135.69381351713878</v>
      </c>
      <c r="L90" s="309">
        <f t="shared" si="38"/>
        <v>671.64956073542498</v>
      </c>
      <c r="M90" s="114">
        <v>2242</v>
      </c>
      <c r="N90" s="114">
        <v>1100</v>
      </c>
      <c r="O90" s="114">
        <f t="shared" si="30"/>
        <v>3178.336801956721</v>
      </c>
      <c r="P90" s="114">
        <v>1600</v>
      </c>
      <c r="Q90" s="114">
        <f t="shared" si="31"/>
        <v>1374.0238024804128</v>
      </c>
      <c r="R90" s="114">
        <f t="shared" si="32"/>
        <v>5974.0165325235348</v>
      </c>
      <c r="S90" s="309">
        <f t="shared" si="33"/>
        <v>375.7</v>
      </c>
      <c r="T90" s="114">
        <f>O90*'STS Design Calcs'!$C$147*(J90+B90)*3.785*1440/454000</f>
        <v>43159.104046412693</v>
      </c>
      <c r="U90" s="114">
        <v>43154.112007100019</v>
      </c>
      <c r="V90" s="114">
        <f t="shared" si="39"/>
        <v>86318.208092825385</v>
      </c>
      <c r="W90" s="114">
        <f t="shared" si="40"/>
        <v>11668.94294588195</v>
      </c>
      <c r="X90" s="114">
        <f>O90*'STS Design Calcs'!$C$224*('STS Calculation Summary'!D90-J90)*3.785*1440/454000</f>
        <v>8841.7132615419796</v>
      </c>
      <c r="Y90" s="114">
        <f t="shared" si="41"/>
        <v>1613.6126702314111</v>
      </c>
      <c r="Z90" s="114">
        <f>'STS Design Calcs'!$C$269*('STS Calculation Summary'!D90-'STS Calculation Summary'!J90)/365</f>
        <v>53.0447509246669</v>
      </c>
      <c r="AA90" s="323">
        <f t="shared" si="42"/>
        <v>9.6806670437517095</v>
      </c>
      <c r="AB90" s="310">
        <f>L90*1440*'STS Design Calcs'!$C$284</f>
        <v>53.620202371927626</v>
      </c>
      <c r="AC90" s="310">
        <f t="shared" si="43"/>
        <v>9.785686932876791</v>
      </c>
      <c r="AD90" s="114">
        <f>H90*'STS Design Calcs'!$C$343</f>
        <v>7758.4322205120498</v>
      </c>
      <c r="AE90" s="114">
        <f>H90*'STS Design Calcs'!$C$352</f>
        <v>2586.1440735040169</v>
      </c>
      <c r="AF90" s="309">
        <f>H90*'STS Design Calcs'!$C$309</f>
        <v>2501.8595785368479</v>
      </c>
      <c r="AG90" s="309">
        <f>H90*'STS Design Calcs'!$C$317</f>
        <v>2501.8595785368479</v>
      </c>
      <c r="AH90" s="114">
        <f>H90*'STS Design Calcs'!$C$326</f>
        <v>416.97659642280797</v>
      </c>
      <c r="AI90" s="319">
        <f>H90*'STS Design Calcs'!$C$334</f>
        <v>416.97659642280797</v>
      </c>
      <c r="AJ90" s="321">
        <f>'STS Design Calcs'!$C$381*H90</f>
        <v>722227.53592600592</v>
      </c>
      <c r="AK90" s="321">
        <f>'STS Design Calcs'!$C$390*D90</f>
        <v>176677.45455344906</v>
      </c>
      <c r="AL90" s="322">
        <f t="shared" si="27"/>
        <v>898904.99047945498</v>
      </c>
    </row>
    <row r="91" spans="1:38" s="94" customFormat="1" ht="15" customHeight="1" x14ac:dyDescent="0.25">
      <c r="A91" s="113">
        <v>81</v>
      </c>
      <c r="B91" s="343">
        <v>405.14956073542498</v>
      </c>
      <c r="C91" s="343">
        <v>266.5</v>
      </c>
      <c r="D91" s="309">
        <f t="shared" si="28"/>
        <v>577.07834594504175</v>
      </c>
      <c r="E91" s="309">
        <f>3*U91/'STS Design Calcs'!$I$97/'STS Design Calcs'!$L$97/'STS Design Calcs'!$O$97/'STS Design Calcs'!$R$97</f>
        <v>36.23497169247797</v>
      </c>
      <c r="F91" s="309">
        <f t="shared" si="34"/>
        <v>323.16387372922338</v>
      </c>
      <c r="G91" s="309">
        <f t="shared" si="35"/>
        <v>253.91447221581836</v>
      </c>
      <c r="H91" s="309">
        <f t="shared" si="36"/>
        <v>589.66387372922338</v>
      </c>
      <c r="I91" s="309">
        <f t="shared" si="37"/>
        <v>454.04118277150201</v>
      </c>
      <c r="J91" s="309">
        <f t="shared" si="29"/>
        <v>135.62269095772137</v>
      </c>
      <c r="K91" s="309">
        <v>135.69381351713878</v>
      </c>
      <c r="L91" s="309">
        <f t="shared" si="38"/>
        <v>671.64956073542498</v>
      </c>
      <c r="M91" s="114">
        <v>2242</v>
      </c>
      <c r="N91" s="114">
        <v>1100</v>
      </c>
      <c r="O91" s="114">
        <f t="shared" si="30"/>
        <v>3178.336801956721</v>
      </c>
      <c r="P91" s="114">
        <v>1600</v>
      </c>
      <c r="Q91" s="114">
        <f t="shared" si="31"/>
        <v>1374.0238024804128</v>
      </c>
      <c r="R91" s="114">
        <f t="shared" si="32"/>
        <v>5974.0165325235348</v>
      </c>
      <c r="S91" s="309">
        <f t="shared" si="33"/>
        <v>375.7</v>
      </c>
      <c r="T91" s="114">
        <f>O91*'STS Design Calcs'!$C$147*(J91+B91)*3.785*1440/454000</f>
        <v>43159.104046412693</v>
      </c>
      <c r="U91" s="114">
        <v>43154.112007100019</v>
      </c>
      <c r="V91" s="114">
        <f t="shared" si="39"/>
        <v>86318.208092825385</v>
      </c>
      <c r="W91" s="114">
        <f t="shared" si="40"/>
        <v>11668.94294588195</v>
      </c>
      <c r="X91" s="114">
        <f>O91*'STS Design Calcs'!$C$224*('STS Calculation Summary'!D91-J91)*3.785*1440/454000</f>
        <v>8841.7132615419796</v>
      </c>
      <c r="Y91" s="114">
        <f t="shared" si="41"/>
        <v>1613.6126702314111</v>
      </c>
      <c r="Z91" s="114">
        <f>'STS Design Calcs'!$C$269*('STS Calculation Summary'!D91-'STS Calculation Summary'!J91)/365</f>
        <v>53.0447509246669</v>
      </c>
      <c r="AA91" s="323">
        <f t="shared" si="42"/>
        <v>9.6806670437517095</v>
      </c>
      <c r="AB91" s="310">
        <f>L91*1440*'STS Design Calcs'!$C$284</f>
        <v>53.620202371927626</v>
      </c>
      <c r="AC91" s="310">
        <f t="shared" si="43"/>
        <v>9.785686932876791</v>
      </c>
      <c r="AD91" s="114">
        <f>H91*'STS Design Calcs'!$C$343</f>
        <v>7758.4322205120498</v>
      </c>
      <c r="AE91" s="114">
        <f>H91*'STS Design Calcs'!$C$352</f>
        <v>2586.1440735040169</v>
      </c>
      <c r="AF91" s="309">
        <f>H91*'STS Design Calcs'!$C$309</f>
        <v>2501.8595785368479</v>
      </c>
      <c r="AG91" s="309">
        <f>H91*'STS Design Calcs'!$C$317</f>
        <v>2501.8595785368479</v>
      </c>
      <c r="AH91" s="114">
        <f>H91*'STS Design Calcs'!$C$326</f>
        <v>416.97659642280797</v>
      </c>
      <c r="AI91" s="319">
        <f>H91*'STS Design Calcs'!$C$334</f>
        <v>416.97659642280797</v>
      </c>
      <c r="AJ91" s="321">
        <f>'STS Design Calcs'!$C$381*H91</f>
        <v>722227.53592600592</v>
      </c>
      <c r="AK91" s="321">
        <f>'STS Design Calcs'!$C$390*D91</f>
        <v>176677.45455344906</v>
      </c>
      <c r="AL91" s="322">
        <f t="shared" si="27"/>
        <v>898904.99047945498</v>
      </c>
    </row>
    <row r="92" spans="1:38" s="94" customFormat="1" ht="15" customHeight="1" x14ac:dyDescent="0.25">
      <c r="A92" s="113">
        <v>82</v>
      </c>
      <c r="B92" s="343">
        <v>405.14956073542498</v>
      </c>
      <c r="C92" s="343">
        <v>266.5</v>
      </c>
      <c r="D92" s="309">
        <f t="shared" si="28"/>
        <v>577.07834333198446</v>
      </c>
      <c r="E92" s="309">
        <f>3*U92/'STS Design Calcs'!$I$97/'STS Design Calcs'!$L$97/'STS Design Calcs'!$O$97/'STS Design Calcs'!$R$97</f>
        <v>36.234971507796594</v>
      </c>
      <c r="F92" s="309">
        <f t="shared" si="34"/>
        <v>323.16387226591132</v>
      </c>
      <c r="G92" s="309">
        <f t="shared" si="35"/>
        <v>253.91447106607316</v>
      </c>
      <c r="H92" s="309">
        <f t="shared" si="36"/>
        <v>589.66387226591132</v>
      </c>
      <c r="I92" s="309">
        <f t="shared" si="37"/>
        <v>454.0411816447517</v>
      </c>
      <c r="J92" s="309">
        <f t="shared" si="29"/>
        <v>135.62269062115962</v>
      </c>
      <c r="K92" s="309">
        <v>135.69381108876291</v>
      </c>
      <c r="L92" s="309">
        <f t="shared" si="38"/>
        <v>671.64956073542498</v>
      </c>
      <c r="M92" s="114">
        <v>2242</v>
      </c>
      <c r="N92" s="114">
        <v>1100</v>
      </c>
      <c r="O92" s="114">
        <f t="shared" si="30"/>
        <v>3178.3367887924501</v>
      </c>
      <c r="P92" s="114">
        <v>1600</v>
      </c>
      <c r="Q92" s="114">
        <f t="shared" si="31"/>
        <v>1374.0238019196292</v>
      </c>
      <c r="R92" s="114">
        <f t="shared" si="32"/>
        <v>5974.016530085345</v>
      </c>
      <c r="S92" s="309">
        <f t="shared" si="33"/>
        <v>375.70000000000005</v>
      </c>
      <c r="T92" s="114">
        <f>O92*'STS Design Calcs'!$C$147*(J92+B92)*3.785*1440/454000</f>
        <v>43159.103840792071</v>
      </c>
      <c r="U92" s="114">
        <v>43154.111787153364</v>
      </c>
      <c r="V92" s="114">
        <f t="shared" si="39"/>
        <v>86318.207681584143</v>
      </c>
      <c r="W92" s="114">
        <f t="shared" si="40"/>
        <v>11668.942890288228</v>
      </c>
      <c r="X92" s="114">
        <f>O92*'STS Design Calcs'!$C$224*('STS Calculation Summary'!D92-J92)*3.785*1440/454000</f>
        <v>8841.7131793258286</v>
      </c>
      <c r="Y92" s="114">
        <f t="shared" si="41"/>
        <v>1613.6126552269639</v>
      </c>
      <c r="Z92" s="114">
        <f>'STS Design Calcs'!$C$269*('STS Calculation Summary'!D92-'STS Calculation Summary'!J92)/365</f>
        <v>53.044750651126087</v>
      </c>
      <c r="AA92" s="323">
        <f t="shared" si="42"/>
        <v>9.6806669938305117</v>
      </c>
      <c r="AB92" s="310">
        <f>L92*1440*'STS Design Calcs'!$C$284</f>
        <v>53.620202371927626</v>
      </c>
      <c r="AC92" s="310">
        <f t="shared" si="43"/>
        <v>9.785686932876791</v>
      </c>
      <c r="AD92" s="114">
        <f>H92*'STS Design Calcs'!$C$343</f>
        <v>7758.4322012586954</v>
      </c>
      <c r="AE92" s="114">
        <f>H92*'STS Design Calcs'!$C$352</f>
        <v>2586.1440670862321</v>
      </c>
      <c r="AF92" s="309">
        <f>H92*'STS Design Calcs'!$C$309</f>
        <v>2501.8595723282237</v>
      </c>
      <c r="AG92" s="309">
        <f>H92*'STS Design Calcs'!$C$317</f>
        <v>2501.8595723282237</v>
      </c>
      <c r="AH92" s="114">
        <f>H92*'STS Design Calcs'!$C$326</f>
        <v>416.97659538803731</v>
      </c>
      <c r="AI92" s="319">
        <f>H92*'STS Design Calcs'!$C$334</f>
        <v>416.97659538803731</v>
      </c>
      <c r="AJ92" s="321">
        <f>'STS Design Calcs'!$C$381*H92</f>
        <v>722227.53413372347</v>
      </c>
      <c r="AK92" s="321">
        <f>'STS Design Calcs'!$C$390*D92</f>
        <v>176677.45375343927</v>
      </c>
      <c r="AL92" s="322">
        <f t="shared" si="27"/>
        <v>898904.98788716272</v>
      </c>
    </row>
    <row r="93" spans="1:38" s="94" customFormat="1" ht="15" customHeight="1" x14ac:dyDescent="0.25">
      <c r="A93" s="113">
        <v>83</v>
      </c>
      <c r="B93" s="343">
        <v>405.14956073542498</v>
      </c>
      <c r="C93" s="343">
        <v>266.5</v>
      </c>
      <c r="D93" s="309">
        <f t="shared" si="28"/>
        <v>577.07834594504175</v>
      </c>
      <c r="E93" s="309">
        <f>3*U93/'STS Design Calcs'!$I$97/'STS Design Calcs'!$L$97/'STS Design Calcs'!$O$97/'STS Design Calcs'!$R$97</f>
        <v>36.23497169247797</v>
      </c>
      <c r="F93" s="309">
        <f t="shared" si="34"/>
        <v>323.16387372922338</v>
      </c>
      <c r="G93" s="309">
        <f t="shared" si="35"/>
        <v>253.91447221581836</v>
      </c>
      <c r="H93" s="309">
        <f t="shared" si="36"/>
        <v>589.66387372922338</v>
      </c>
      <c r="I93" s="309">
        <f t="shared" si="37"/>
        <v>454.04118277150201</v>
      </c>
      <c r="J93" s="309">
        <f t="shared" si="29"/>
        <v>135.62269095772137</v>
      </c>
      <c r="K93" s="309">
        <v>135.69381351713878</v>
      </c>
      <c r="L93" s="309">
        <f t="shared" si="38"/>
        <v>671.64956073542498</v>
      </c>
      <c r="M93" s="114">
        <v>2242</v>
      </c>
      <c r="N93" s="114">
        <v>1100</v>
      </c>
      <c r="O93" s="114">
        <f t="shared" si="30"/>
        <v>3178.336801956721</v>
      </c>
      <c r="P93" s="114">
        <v>1600</v>
      </c>
      <c r="Q93" s="114">
        <f t="shared" si="31"/>
        <v>1374.0238024804128</v>
      </c>
      <c r="R93" s="114">
        <f t="shared" si="32"/>
        <v>5974.0165325235348</v>
      </c>
      <c r="S93" s="309">
        <f t="shared" si="33"/>
        <v>375.7</v>
      </c>
      <c r="T93" s="114">
        <f>O93*'STS Design Calcs'!$C$147*(J93+B93)*3.785*1440/454000</f>
        <v>43159.104046412693</v>
      </c>
      <c r="U93" s="114">
        <v>43154.112007100019</v>
      </c>
      <c r="V93" s="114">
        <f t="shared" si="39"/>
        <v>86318.208092825385</v>
      </c>
      <c r="W93" s="114">
        <f t="shared" si="40"/>
        <v>11668.94294588195</v>
      </c>
      <c r="X93" s="114">
        <f>O93*'STS Design Calcs'!$C$224*('STS Calculation Summary'!D93-J93)*3.785*1440/454000</f>
        <v>8841.7132615419796</v>
      </c>
      <c r="Y93" s="114">
        <f t="shared" si="41"/>
        <v>1613.6126702314111</v>
      </c>
      <c r="Z93" s="114">
        <f>'STS Design Calcs'!$C$269*('STS Calculation Summary'!D93-'STS Calculation Summary'!J93)/365</f>
        <v>53.0447509246669</v>
      </c>
      <c r="AA93" s="323">
        <f t="shared" si="42"/>
        <v>9.6806670437517095</v>
      </c>
      <c r="AB93" s="310">
        <f>L93*1440*'STS Design Calcs'!$C$284</f>
        <v>53.620202371927626</v>
      </c>
      <c r="AC93" s="310">
        <f t="shared" si="43"/>
        <v>9.785686932876791</v>
      </c>
      <c r="AD93" s="114">
        <f>H93*'STS Design Calcs'!$C$343</f>
        <v>7758.4322205120498</v>
      </c>
      <c r="AE93" s="114">
        <f>H93*'STS Design Calcs'!$C$352</f>
        <v>2586.1440735040169</v>
      </c>
      <c r="AF93" s="309">
        <f>H93*'STS Design Calcs'!$C$309</f>
        <v>2501.8595785368479</v>
      </c>
      <c r="AG93" s="309">
        <f>H93*'STS Design Calcs'!$C$317</f>
        <v>2501.8595785368479</v>
      </c>
      <c r="AH93" s="114">
        <f>H93*'STS Design Calcs'!$C$326</f>
        <v>416.97659642280797</v>
      </c>
      <c r="AI93" s="319">
        <f>H93*'STS Design Calcs'!$C$334</f>
        <v>416.97659642280797</v>
      </c>
      <c r="AJ93" s="321">
        <f>'STS Design Calcs'!$C$381*H93</f>
        <v>722227.53592600592</v>
      </c>
      <c r="AK93" s="321">
        <f>'STS Design Calcs'!$C$390*D93</f>
        <v>176677.45455344906</v>
      </c>
      <c r="AL93" s="322">
        <f t="shared" si="27"/>
        <v>898904.99047945498</v>
      </c>
    </row>
    <row r="94" spans="1:38" s="94" customFormat="1" ht="15" customHeight="1" x14ac:dyDescent="0.25">
      <c r="A94" s="113">
        <v>84</v>
      </c>
      <c r="B94" s="343">
        <v>405.14956073542498</v>
      </c>
      <c r="C94" s="343">
        <v>266.5</v>
      </c>
      <c r="D94" s="309">
        <f t="shared" si="28"/>
        <v>577.07834333198446</v>
      </c>
      <c r="E94" s="309">
        <f>3*U94/'STS Design Calcs'!$I$97/'STS Design Calcs'!$L$97/'STS Design Calcs'!$O$97/'STS Design Calcs'!$R$97</f>
        <v>36.234971507796594</v>
      </c>
      <c r="F94" s="309">
        <f t="shared" si="34"/>
        <v>323.16387226591132</v>
      </c>
      <c r="G94" s="309">
        <f t="shared" si="35"/>
        <v>253.91447106607316</v>
      </c>
      <c r="H94" s="309">
        <f t="shared" si="36"/>
        <v>589.66387226591132</v>
      </c>
      <c r="I94" s="309">
        <f t="shared" si="37"/>
        <v>454.0411816447517</v>
      </c>
      <c r="J94" s="309">
        <f t="shared" si="29"/>
        <v>135.62269062115962</v>
      </c>
      <c r="K94" s="309">
        <v>135.69381108876291</v>
      </c>
      <c r="L94" s="309">
        <f t="shared" si="38"/>
        <v>671.64956073542498</v>
      </c>
      <c r="M94" s="114">
        <v>2242</v>
      </c>
      <c r="N94" s="114">
        <v>1100</v>
      </c>
      <c r="O94" s="114">
        <f t="shared" si="30"/>
        <v>3178.3367887924501</v>
      </c>
      <c r="P94" s="114">
        <v>1600</v>
      </c>
      <c r="Q94" s="114">
        <f t="shared" si="31"/>
        <v>1374.0238019196292</v>
      </c>
      <c r="R94" s="114">
        <f t="shared" si="32"/>
        <v>5974.016530085345</v>
      </c>
      <c r="S94" s="309">
        <f t="shared" si="33"/>
        <v>375.70000000000005</v>
      </c>
      <c r="T94" s="114">
        <f>O94*'STS Design Calcs'!$C$147*(J94+B94)*3.785*1440/454000</f>
        <v>43159.103840792071</v>
      </c>
      <c r="U94" s="114">
        <v>43154.111787153364</v>
      </c>
      <c r="V94" s="114">
        <f t="shared" si="39"/>
        <v>86318.207681584143</v>
      </c>
      <c r="W94" s="114">
        <f t="shared" si="40"/>
        <v>11668.942890288228</v>
      </c>
      <c r="X94" s="114">
        <f>O94*'STS Design Calcs'!$C$224*('STS Calculation Summary'!D94-J94)*3.785*1440/454000</f>
        <v>8841.7131793258286</v>
      </c>
      <c r="Y94" s="114">
        <f t="shared" si="41"/>
        <v>1613.6126552269639</v>
      </c>
      <c r="Z94" s="114">
        <f>'STS Design Calcs'!$C$269*('STS Calculation Summary'!D94-'STS Calculation Summary'!J94)/365</f>
        <v>53.044750651126087</v>
      </c>
      <c r="AA94" s="323">
        <f t="shared" si="42"/>
        <v>9.6806669938305117</v>
      </c>
      <c r="AB94" s="310">
        <f>L94*1440*'STS Design Calcs'!$C$284</f>
        <v>53.620202371927626</v>
      </c>
      <c r="AC94" s="310">
        <f t="shared" si="43"/>
        <v>9.785686932876791</v>
      </c>
      <c r="AD94" s="114">
        <f>H94*'STS Design Calcs'!$C$343</f>
        <v>7758.4322012586954</v>
      </c>
      <c r="AE94" s="114">
        <f>H94*'STS Design Calcs'!$C$352</f>
        <v>2586.1440670862321</v>
      </c>
      <c r="AF94" s="309">
        <f>H94*'STS Design Calcs'!$C$309</f>
        <v>2501.8595723282237</v>
      </c>
      <c r="AG94" s="309">
        <f>H94*'STS Design Calcs'!$C$317</f>
        <v>2501.8595723282237</v>
      </c>
      <c r="AH94" s="114">
        <f>H94*'STS Design Calcs'!$C$326</f>
        <v>416.97659538803731</v>
      </c>
      <c r="AI94" s="319">
        <f>H94*'STS Design Calcs'!$C$334</f>
        <v>416.97659538803731</v>
      </c>
      <c r="AJ94" s="321">
        <f>'STS Design Calcs'!$C$381*H94</f>
        <v>722227.53413372347</v>
      </c>
      <c r="AK94" s="321">
        <f>'STS Design Calcs'!$C$390*D94</f>
        <v>176677.45375343927</v>
      </c>
      <c r="AL94" s="322">
        <f t="shared" si="27"/>
        <v>898904.98788716272</v>
      </c>
    </row>
    <row r="95" spans="1:38" s="94" customFormat="1" ht="15" customHeight="1" x14ac:dyDescent="0.25">
      <c r="A95" s="113">
        <v>85</v>
      </c>
      <c r="B95" s="343">
        <v>405.14956073542498</v>
      </c>
      <c r="C95" s="343">
        <v>266.5</v>
      </c>
      <c r="D95" s="309">
        <f t="shared" si="28"/>
        <v>577.07834594504175</v>
      </c>
      <c r="E95" s="309">
        <f>3*U95/'STS Design Calcs'!$I$97/'STS Design Calcs'!$L$97/'STS Design Calcs'!$O$97/'STS Design Calcs'!$R$97</f>
        <v>36.23497169247797</v>
      </c>
      <c r="F95" s="309">
        <f t="shared" si="34"/>
        <v>323.16387372922338</v>
      </c>
      <c r="G95" s="309">
        <f t="shared" si="35"/>
        <v>253.91447221581836</v>
      </c>
      <c r="H95" s="309">
        <f t="shared" si="36"/>
        <v>589.66387372922338</v>
      </c>
      <c r="I95" s="309">
        <f t="shared" si="37"/>
        <v>454.04118277150201</v>
      </c>
      <c r="J95" s="309">
        <f t="shared" si="29"/>
        <v>135.62269095772137</v>
      </c>
      <c r="K95" s="309">
        <v>135.69381351713878</v>
      </c>
      <c r="L95" s="309">
        <f t="shared" si="38"/>
        <v>671.64956073542498</v>
      </c>
      <c r="M95" s="114">
        <v>2242</v>
      </c>
      <c r="N95" s="114">
        <v>1100</v>
      </c>
      <c r="O95" s="114">
        <f t="shared" si="30"/>
        <v>3178.336801956721</v>
      </c>
      <c r="P95" s="114">
        <v>1600</v>
      </c>
      <c r="Q95" s="114">
        <f t="shared" si="31"/>
        <v>1374.0238024804128</v>
      </c>
      <c r="R95" s="114">
        <f t="shared" si="32"/>
        <v>5974.0165325235348</v>
      </c>
      <c r="S95" s="309">
        <f t="shared" si="33"/>
        <v>375.7</v>
      </c>
      <c r="T95" s="114">
        <f>O95*'STS Design Calcs'!$C$147*(J95+B95)*3.785*1440/454000</f>
        <v>43159.104046412693</v>
      </c>
      <c r="U95" s="114">
        <v>43154.112007100019</v>
      </c>
      <c r="V95" s="114">
        <f t="shared" si="39"/>
        <v>86318.208092825385</v>
      </c>
      <c r="W95" s="114">
        <f t="shared" si="40"/>
        <v>11668.94294588195</v>
      </c>
      <c r="X95" s="114">
        <f>O95*'STS Design Calcs'!$C$224*('STS Calculation Summary'!D95-J95)*3.785*1440/454000</f>
        <v>8841.7132615419796</v>
      </c>
      <c r="Y95" s="114">
        <f t="shared" si="41"/>
        <v>1613.6126702314111</v>
      </c>
      <c r="Z95" s="114">
        <f>'STS Design Calcs'!$C$269*('STS Calculation Summary'!D95-'STS Calculation Summary'!J95)/365</f>
        <v>53.0447509246669</v>
      </c>
      <c r="AA95" s="323">
        <f t="shared" si="42"/>
        <v>9.6806670437517095</v>
      </c>
      <c r="AB95" s="310">
        <f>L95*1440*'STS Design Calcs'!$C$284</f>
        <v>53.620202371927626</v>
      </c>
      <c r="AC95" s="310">
        <f t="shared" si="43"/>
        <v>9.785686932876791</v>
      </c>
      <c r="AD95" s="114">
        <f>H95*'STS Design Calcs'!$C$343</f>
        <v>7758.4322205120498</v>
      </c>
      <c r="AE95" s="114">
        <f>H95*'STS Design Calcs'!$C$352</f>
        <v>2586.1440735040169</v>
      </c>
      <c r="AF95" s="309">
        <f>H95*'STS Design Calcs'!$C$309</f>
        <v>2501.8595785368479</v>
      </c>
      <c r="AG95" s="309">
        <f>H95*'STS Design Calcs'!$C$317</f>
        <v>2501.8595785368479</v>
      </c>
      <c r="AH95" s="114">
        <f>H95*'STS Design Calcs'!$C$326</f>
        <v>416.97659642280797</v>
      </c>
      <c r="AI95" s="319">
        <f>H95*'STS Design Calcs'!$C$334</f>
        <v>416.97659642280797</v>
      </c>
      <c r="AJ95" s="321">
        <f>'STS Design Calcs'!$C$381*H95</f>
        <v>722227.53592600592</v>
      </c>
      <c r="AK95" s="321">
        <f>'STS Design Calcs'!$C$390*D95</f>
        <v>176677.45455344906</v>
      </c>
      <c r="AL95" s="322">
        <f t="shared" si="27"/>
        <v>898904.99047945498</v>
      </c>
    </row>
    <row r="96" spans="1:38" s="94" customFormat="1" ht="15" customHeight="1" x14ac:dyDescent="0.25">
      <c r="A96" s="113">
        <v>86</v>
      </c>
      <c r="B96" s="343">
        <v>405.14956073542498</v>
      </c>
      <c r="C96" s="343">
        <v>266.5</v>
      </c>
      <c r="D96" s="309">
        <f t="shared" si="28"/>
        <v>577.07834594504175</v>
      </c>
      <c r="E96" s="309">
        <f>3*U96/'STS Design Calcs'!$I$97/'STS Design Calcs'!$L$97/'STS Design Calcs'!$O$97/'STS Design Calcs'!$R$97</f>
        <v>36.23497169247797</v>
      </c>
      <c r="F96" s="309">
        <f t="shared" si="34"/>
        <v>323.16387372922338</v>
      </c>
      <c r="G96" s="309">
        <f t="shared" si="35"/>
        <v>253.91447221581836</v>
      </c>
      <c r="H96" s="309">
        <f t="shared" si="36"/>
        <v>589.66387372922338</v>
      </c>
      <c r="I96" s="309">
        <f t="shared" si="37"/>
        <v>454.04118277150201</v>
      </c>
      <c r="J96" s="309">
        <f t="shared" si="29"/>
        <v>135.62269095772137</v>
      </c>
      <c r="K96" s="309">
        <v>135.69381351713878</v>
      </c>
      <c r="L96" s="309">
        <f t="shared" si="38"/>
        <v>671.64956073542498</v>
      </c>
      <c r="M96" s="114">
        <v>2242</v>
      </c>
      <c r="N96" s="114">
        <v>1100</v>
      </c>
      <c r="O96" s="114">
        <f t="shared" si="30"/>
        <v>3178.336801956721</v>
      </c>
      <c r="P96" s="114">
        <v>1600</v>
      </c>
      <c r="Q96" s="114">
        <f t="shared" si="31"/>
        <v>1374.0238024804128</v>
      </c>
      <c r="R96" s="114">
        <f t="shared" si="32"/>
        <v>5974.0165325235348</v>
      </c>
      <c r="S96" s="309">
        <f t="shared" si="33"/>
        <v>375.7</v>
      </c>
      <c r="T96" s="114">
        <f>O96*'STS Design Calcs'!$C$147*(J96+B96)*3.785*1440/454000</f>
        <v>43159.104046412693</v>
      </c>
      <c r="U96" s="114">
        <v>43154.112007100019</v>
      </c>
      <c r="V96" s="114">
        <f t="shared" si="39"/>
        <v>86318.208092825385</v>
      </c>
      <c r="W96" s="114">
        <f t="shared" si="40"/>
        <v>11668.94294588195</v>
      </c>
      <c r="X96" s="114">
        <f>O96*'STS Design Calcs'!$C$224*('STS Calculation Summary'!D96-J96)*3.785*1440/454000</f>
        <v>8841.7132615419796</v>
      </c>
      <c r="Y96" s="114">
        <f t="shared" si="41"/>
        <v>1613.6126702314111</v>
      </c>
      <c r="Z96" s="114">
        <f>'STS Design Calcs'!$C$269*('STS Calculation Summary'!D96-'STS Calculation Summary'!J96)/365</f>
        <v>53.0447509246669</v>
      </c>
      <c r="AA96" s="323">
        <f t="shared" si="42"/>
        <v>9.6806670437517095</v>
      </c>
      <c r="AB96" s="310">
        <f>L96*1440*'STS Design Calcs'!$C$284</f>
        <v>53.620202371927626</v>
      </c>
      <c r="AC96" s="310">
        <f t="shared" si="43"/>
        <v>9.785686932876791</v>
      </c>
      <c r="AD96" s="114">
        <f>H96*'STS Design Calcs'!$C$343</f>
        <v>7758.4322205120498</v>
      </c>
      <c r="AE96" s="114">
        <f>H96*'STS Design Calcs'!$C$352</f>
        <v>2586.1440735040169</v>
      </c>
      <c r="AF96" s="309">
        <f>H96*'STS Design Calcs'!$C$309</f>
        <v>2501.8595785368479</v>
      </c>
      <c r="AG96" s="309">
        <f>H96*'STS Design Calcs'!$C$317</f>
        <v>2501.8595785368479</v>
      </c>
      <c r="AH96" s="114">
        <f>H96*'STS Design Calcs'!$C$326</f>
        <v>416.97659642280797</v>
      </c>
      <c r="AI96" s="319">
        <f>H96*'STS Design Calcs'!$C$334</f>
        <v>416.97659642280797</v>
      </c>
      <c r="AJ96" s="321">
        <f>'STS Design Calcs'!$C$381*H96</f>
        <v>722227.53592600592</v>
      </c>
      <c r="AK96" s="321">
        <f>'STS Design Calcs'!$C$390*D96</f>
        <v>176677.45455344906</v>
      </c>
      <c r="AL96" s="322">
        <f t="shared" si="27"/>
        <v>898904.99047945498</v>
      </c>
    </row>
    <row r="97" spans="1:38" s="94" customFormat="1" ht="15" customHeight="1" x14ac:dyDescent="0.25">
      <c r="A97" s="113">
        <v>87</v>
      </c>
      <c r="B97" s="343">
        <v>405.14956073542498</v>
      </c>
      <c r="C97" s="343">
        <v>266.5</v>
      </c>
      <c r="D97" s="309">
        <f t="shared" si="28"/>
        <v>577.07834333198446</v>
      </c>
      <c r="E97" s="309">
        <f>3*U97/'STS Design Calcs'!$I$97/'STS Design Calcs'!$L$97/'STS Design Calcs'!$O$97/'STS Design Calcs'!$R$97</f>
        <v>36.234971507796594</v>
      </c>
      <c r="F97" s="309">
        <f t="shared" si="34"/>
        <v>323.16387226591132</v>
      </c>
      <c r="G97" s="309">
        <f t="shared" si="35"/>
        <v>253.91447106607316</v>
      </c>
      <c r="H97" s="309">
        <f t="shared" si="36"/>
        <v>589.66387226591132</v>
      </c>
      <c r="I97" s="309">
        <f t="shared" si="37"/>
        <v>454.0411816447517</v>
      </c>
      <c r="J97" s="309">
        <f t="shared" si="29"/>
        <v>135.62269062115962</v>
      </c>
      <c r="K97" s="309">
        <v>135.69381108876291</v>
      </c>
      <c r="L97" s="309">
        <f t="shared" si="38"/>
        <v>671.64956073542498</v>
      </c>
      <c r="M97" s="114">
        <v>2242</v>
      </c>
      <c r="N97" s="114">
        <v>1100</v>
      </c>
      <c r="O97" s="114">
        <f t="shared" si="30"/>
        <v>3178.3367887924501</v>
      </c>
      <c r="P97" s="114">
        <v>1600</v>
      </c>
      <c r="Q97" s="114">
        <f t="shared" si="31"/>
        <v>1374.0238019196292</v>
      </c>
      <c r="R97" s="114">
        <f t="shared" si="32"/>
        <v>5974.016530085345</v>
      </c>
      <c r="S97" s="309">
        <f t="shared" si="33"/>
        <v>375.70000000000005</v>
      </c>
      <c r="T97" s="114">
        <f>O97*'STS Design Calcs'!$C$147*(J97+B97)*3.785*1440/454000</f>
        <v>43159.103840792071</v>
      </c>
      <c r="U97" s="114">
        <v>43154.111787153364</v>
      </c>
      <c r="V97" s="114">
        <f t="shared" si="39"/>
        <v>86318.207681584143</v>
      </c>
      <c r="W97" s="114">
        <f t="shared" si="40"/>
        <v>11668.942890288228</v>
      </c>
      <c r="X97" s="114">
        <f>O97*'STS Design Calcs'!$C$224*('STS Calculation Summary'!D97-J97)*3.785*1440/454000</f>
        <v>8841.7131793258286</v>
      </c>
      <c r="Y97" s="114">
        <f t="shared" si="41"/>
        <v>1613.6126552269639</v>
      </c>
      <c r="Z97" s="114">
        <f>'STS Design Calcs'!$C$269*('STS Calculation Summary'!D97-'STS Calculation Summary'!J97)/365</f>
        <v>53.044750651126087</v>
      </c>
      <c r="AA97" s="323">
        <f t="shared" si="42"/>
        <v>9.6806669938305117</v>
      </c>
      <c r="AB97" s="310">
        <f>L97*1440*'STS Design Calcs'!$C$284</f>
        <v>53.620202371927626</v>
      </c>
      <c r="AC97" s="310">
        <f t="shared" si="43"/>
        <v>9.785686932876791</v>
      </c>
      <c r="AD97" s="114">
        <f>H97*'STS Design Calcs'!$C$343</f>
        <v>7758.4322012586954</v>
      </c>
      <c r="AE97" s="114">
        <f>H97*'STS Design Calcs'!$C$352</f>
        <v>2586.1440670862321</v>
      </c>
      <c r="AF97" s="309">
        <f>H97*'STS Design Calcs'!$C$309</f>
        <v>2501.8595723282237</v>
      </c>
      <c r="AG97" s="309">
        <f>H97*'STS Design Calcs'!$C$317</f>
        <v>2501.8595723282237</v>
      </c>
      <c r="AH97" s="114">
        <f>H97*'STS Design Calcs'!$C$326</f>
        <v>416.97659538803731</v>
      </c>
      <c r="AI97" s="319">
        <f>H97*'STS Design Calcs'!$C$334</f>
        <v>416.97659538803731</v>
      </c>
      <c r="AJ97" s="321">
        <f>'STS Design Calcs'!$C$381*H97</f>
        <v>722227.53413372347</v>
      </c>
      <c r="AK97" s="321">
        <f>'STS Design Calcs'!$C$390*D97</f>
        <v>176677.45375343927</v>
      </c>
      <c r="AL97" s="322">
        <f t="shared" si="27"/>
        <v>898904.98788716272</v>
      </c>
    </row>
    <row r="98" spans="1:38" s="94" customFormat="1" ht="15" customHeight="1" x14ac:dyDescent="0.25">
      <c r="A98" s="113">
        <v>88</v>
      </c>
      <c r="B98" s="343">
        <v>405.14956073542498</v>
      </c>
      <c r="C98" s="343">
        <v>266.5</v>
      </c>
      <c r="D98" s="309">
        <f t="shared" si="28"/>
        <v>577.07834333198446</v>
      </c>
      <c r="E98" s="309">
        <f>3*U98/'STS Design Calcs'!$I$97/'STS Design Calcs'!$L$97/'STS Design Calcs'!$O$97/'STS Design Calcs'!$R$97</f>
        <v>36.234971507796594</v>
      </c>
      <c r="F98" s="309">
        <f t="shared" si="34"/>
        <v>323.16387226591132</v>
      </c>
      <c r="G98" s="309">
        <f t="shared" si="35"/>
        <v>253.91447106607316</v>
      </c>
      <c r="H98" s="309">
        <f t="shared" si="36"/>
        <v>589.66387226591132</v>
      </c>
      <c r="I98" s="309">
        <f t="shared" si="37"/>
        <v>454.0411816447517</v>
      </c>
      <c r="J98" s="309">
        <f t="shared" si="29"/>
        <v>135.62269062115962</v>
      </c>
      <c r="K98" s="309">
        <v>135.69381108876291</v>
      </c>
      <c r="L98" s="309">
        <f t="shared" si="38"/>
        <v>671.64956073542498</v>
      </c>
      <c r="M98" s="114">
        <v>2242</v>
      </c>
      <c r="N98" s="114">
        <v>1100</v>
      </c>
      <c r="O98" s="114">
        <f t="shared" si="30"/>
        <v>3178.3367887924501</v>
      </c>
      <c r="P98" s="114">
        <v>1600</v>
      </c>
      <c r="Q98" s="114">
        <f t="shared" si="31"/>
        <v>1374.0238019196292</v>
      </c>
      <c r="R98" s="114">
        <f t="shared" si="32"/>
        <v>5974.016530085345</v>
      </c>
      <c r="S98" s="309">
        <f t="shared" si="33"/>
        <v>375.70000000000005</v>
      </c>
      <c r="T98" s="114">
        <f>O98*'STS Design Calcs'!$C$147*(J98+B98)*3.785*1440/454000</f>
        <v>43159.103840792071</v>
      </c>
      <c r="U98" s="114">
        <v>43154.111787153364</v>
      </c>
      <c r="V98" s="114">
        <f t="shared" si="39"/>
        <v>86318.207681584143</v>
      </c>
      <c r="W98" s="114">
        <f t="shared" si="40"/>
        <v>11668.942890288228</v>
      </c>
      <c r="X98" s="114">
        <f>O98*'STS Design Calcs'!$C$224*('STS Calculation Summary'!D98-J98)*3.785*1440/454000</f>
        <v>8841.7131793258286</v>
      </c>
      <c r="Y98" s="114">
        <f t="shared" si="41"/>
        <v>1613.6126552269639</v>
      </c>
      <c r="Z98" s="114">
        <f>'STS Design Calcs'!$C$269*('STS Calculation Summary'!D98-'STS Calculation Summary'!J98)/365</f>
        <v>53.044750651126087</v>
      </c>
      <c r="AA98" s="323">
        <f t="shared" si="42"/>
        <v>9.6806669938305117</v>
      </c>
      <c r="AB98" s="310">
        <f>L98*1440*'STS Design Calcs'!$C$284</f>
        <v>53.620202371927626</v>
      </c>
      <c r="AC98" s="310">
        <f t="shared" si="43"/>
        <v>9.785686932876791</v>
      </c>
      <c r="AD98" s="114">
        <f>H98*'STS Design Calcs'!$C$343</f>
        <v>7758.4322012586954</v>
      </c>
      <c r="AE98" s="114">
        <f>H98*'STS Design Calcs'!$C$352</f>
        <v>2586.1440670862321</v>
      </c>
      <c r="AF98" s="309">
        <f>H98*'STS Design Calcs'!$C$309</f>
        <v>2501.8595723282237</v>
      </c>
      <c r="AG98" s="309">
        <f>H98*'STS Design Calcs'!$C$317</f>
        <v>2501.8595723282237</v>
      </c>
      <c r="AH98" s="114">
        <f>H98*'STS Design Calcs'!$C$326</f>
        <v>416.97659538803731</v>
      </c>
      <c r="AI98" s="319">
        <f>H98*'STS Design Calcs'!$C$334</f>
        <v>416.97659538803731</v>
      </c>
      <c r="AJ98" s="321">
        <f>'STS Design Calcs'!$C$381*H98</f>
        <v>722227.53413372347</v>
      </c>
      <c r="AK98" s="321">
        <f>'STS Design Calcs'!$C$390*D98</f>
        <v>176677.45375343927</v>
      </c>
      <c r="AL98" s="322">
        <f t="shared" si="27"/>
        <v>898904.98788716272</v>
      </c>
    </row>
    <row r="99" spans="1:38" s="94" customFormat="1" ht="15" customHeight="1" x14ac:dyDescent="0.25">
      <c r="A99" s="113">
        <v>89</v>
      </c>
      <c r="B99" s="343">
        <v>405.14956073542498</v>
      </c>
      <c r="C99" s="343">
        <v>266.5</v>
      </c>
      <c r="D99" s="309">
        <f t="shared" si="28"/>
        <v>577.07834594504175</v>
      </c>
      <c r="E99" s="309">
        <f>3*U99/'STS Design Calcs'!$I$97/'STS Design Calcs'!$L$97/'STS Design Calcs'!$O$97/'STS Design Calcs'!$R$97</f>
        <v>36.23497169247797</v>
      </c>
      <c r="F99" s="309">
        <f t="shared" si="34"/>
        <v>323.16387372922338</v>
      </c>
      <c r="G99" s="309">
        <f t="shared" si="35"/>
        <v>253.91447221581836</v>
      </c>
      <c r="H99" s="309">
        <f t="shared" si="36"/>
        <v>589.66387372922338</v>
      </c>
      <c r="I99" s="309">
        <f t="shared" si="37"/>
        <v>454.04118277150201</v>
      </c>
      <c r="J99" s="309">
        <f t="shared" si="29"/>
        <v>135.62269095772137</v>
      </c>
      <c r="K99" s="309">
        <v>135.69381351713878</v>
      </c>
      <c r="L99" s="309">
        <f t="shared" si="38"/>
        <v>671.64956073542498</v>
      </c>
      <c r="M99" s="114">
        <v>2242</v>
      </c>
      <c r="N99" s="114">
        <v>1100</v>
      </c>
      <c r="O99" s="114">
        <f t="shared" si="30"/>
        <v>3178.336801956721</v>
      </c>
      <c r="P99" s="114">
        <v>1600</v>
      </c>
      <c r="Q99" s="114">
        <f t="shared" si="31"/>
        <v>1374.0238024804128</v>
      </c>
      <c r="R99" s="114">
        <f t="shared" si="32"/>
        <v>5974.0165325235348</v>
      </c>
      <c r="S99" s="309">
        <f t="shared" si="33"/>
        <v>375.7</v>
      </c>
      <c r="T99" s="114">
        <f>O99*'STS Design Calcs'!$C$147*(J99+B99)*3.785*1440/454000</f>
        <v>43159.104046412693</v>
      </c>
      <c r="U99" s="114">
        <v>43154.112007100019</v>
      </c>
      <c r="V99" s="114">
        <f t="shared" si="39"/>
        <v>86318.208092825385</v>
      </c>
      <c r="W99" s="114">
        <f t="shared" si="40"/>
        <v>11668.94294588195</v>
      </c>
      <c r="X99" s="114">
        <f>O99*'STS Design Calcs'!$C$224*('STS Calculation Summary'!D99-J99)*3.785*1440/454000</f>
        <v>8841.7132615419796</v>
      </c>
      <c r="Y99" s="114">
        <f t="shared" si="41"/>
        <v>1613.6126702314111</v>
      </c>
      <c r="Z99" s="114">
        <f>'STS Design Calcs'!$C$269*('STS Calculation Summary'!D99-'STS Calculation Summary'!J99)/365</f>
        <v>53.0447509246669</v>
      </c>
      <c r="AA99" s="323">
        <f t="shared" si="42"/>
        <v>9.6806670437517095</v>
      </c>
      <c r="AB99" s="310">
        <f>L99*1440*'STS Design Calcs'!$C$284</f>
        <v>53.620202371927626</v>
      </c>
      <c r="AC99" s="310">
        <f t="shared" si="43"/>
        <v>9.785686932876791</v>
      </c>
      <c r="AD99" s="114">
        <f>H99*'STS Design Calcs'!$C$343</f>
        <v>7758.4322205120498</v>
      </c>
      <c r="AE99" s="114">
        <f>H99*'STS Design Calcs'!$C$352</f>
        <v>2586.1440735040169</v>
      </c>
      <c r="AF99" s="309">
        <f>H99*'STS Design Calcs'!$C$309</f>
        <v>2501.8595785368479</v>
      </c>
      <c r="AG99" s="309">
        <f>H99*'STS Design Calcs'!$C$317</f>
        <v>2501.8595785368479</v>
      </c>
      <c r="AH99" s="114">
        <f>H99*'STS Design Calcs'!$C$326</f>
        <v>416.97659642280797</v>
      </c>
      <c r="AI99" s="319">
        <f>H99*'STS Design Calcs'!$C$334</f>
        <v>416.97659642280797</v>
      </c>
      <c r="AJ99" s="321">
        <f>'STS Design Calcs'!$C$381*H99</f>
        <v>722227.53592600592</v>
      </c>
      <c r="AK99" s="321">
        <f>'STS Design Calcs'!$C$390*D99</f>
        <v>176677.45455344906</v>
      </c>
      <c r="AL99" s="322">
        <f t="shared" si="27"/>
        <v>898904.99047945498</v>
      </c>
    </row>
    <row r="100" spans="1:38" s="94" customFormat="1" ht="15" customHeight="1" x14ac:dyDescent="0.25">
      <c r="A100" s="113">
        <v>90</v>
      </c>
      <c r="B100" s="343">
        <v>405.14956073542498</v>
      </c>
      <c r="C100" s="343">
        <v>266.5</v>
      </c>
      <c r="D100" s="309">
        <f t="shared" si="28"/>
        <v>577.07834594504175</v>
      </c>
      <c r="E100" s="309">
        <f>3*U100/'STS Design Calcs'!$I$97/'STS Design Calcs'!$L$97/'STS Design Calcs'!$O$97/'STS Design Calcs'!$R$97</f>
        <v>36.23497169247797</v>
      </c>
      <c r="F100" s="309">
        <f t="shared" si="34"/>
        <v>323.16387372922338</v>
      </c>
      <c r="G100" s="309">
        <f t="shared" si="35"/>
        <v>253.91447221581836</v>
      </c>
      <c r="H100" s="309">
        <f t="shared" si="36"/>
        <v>589.66387372922338</v>
      </c>
      <c r="I100" s="309">
        <f t="shared" si="37"/>
        <v>454.04118277150201</v>
      </c>
      <c r="J100" s="309">
        <f t="shared" si="29"/>
        <v>135.62269095772137</v>
      </c>
      <c r="K100" s="309">
        <v>135.69381351713878</v>
      </c>
      <c r="L100" s="309">
        <f t="shared" si="38"/>
        <v>671.64956073542498</v>
      </c>
      <c r="M100" s="114">
        <v>2242</v>
      </c>
      <c r="N100" s="114">
        <v>1100</v>
      </c>
      <c r="O100" s="114">
        <f t="shared" si="30"/>
        <v>3178.336801956721</v>
      </c>
      <c r="P100" s="114">
        <v>1600</v>
      </c>
      <c r="Q100" s="114">
        <f t="shared" si="31"/>
        <v>1374.0238024804128</v>
      </c>
      <c r="R100" s="114">
        <f t="shared" si="32"/>
        <v>5974.0165325235348</v>
      </c>
      <c r="S100" s="309">
        <f t="shared" si="33"/>
        <v>375.7</v>
      </c>
      <c r="T100" s="114">
        <f>O100*'STS Design Calcs'!$C$147*(J100+B100)*3.785*1440/454000</f>
        <v>43159.104046412693</v>
      </c>
      <c r="U100" s="114">
        <v>43154.112007100019</v>
      </c>
      <c r="V100" s="114">
        <f t="shared" si="39"/>
        <v>86318.208092825385</v>
      </c>
      <c r="W100" s="114">
        <f t="shared" si="40"/>
        <v>11668.94294588195</v>
      </c>
      <c r="X100" s="114">
        <f>O100*'STS Design Calcs'!$C$224*('STS Calculation Summary'!D100-J100)*3.785*1440/454000</f>
        <v>8841.7132615419796</v>
      </c>
      <c r="Y100" s="114">
        <f t="shared" si="41"/>
        <v>1613.6126702314111</v>
      </c>
      <c r="Z100" s="114">
        <f>'STS Design Calcs'!$C$269*('STS Calculation Summary'!D100-'STS Calculation Summary'!J100)/365</f>
        <v>53.0447509246669</v>
      </c>
      <c r="AA100" s="323">
        <f t="shared" si="42"/>
        <v>9.6806670437517095</v>
      </c>
      <c r="AB100" s="310">
        <f>L100*1440*'STS Design Calcs'!$C$284</f>
        <v>53.620202371927626</v>
      </c>
      <c r="AC100" s="310">
        <f t="shared" si="43"/>
        <v>9.785686932876791</v>
      </c>
      <c r="AD100" s="114">
        <f>H100*'STS Design Calcs'!$C$343</f>
        <v>7758.4322205120498</v>
      </c>
      <c r="AE100" s="114">
        <f>H100*'STS Design Calcs'!$C$352</f>
        <v>2586.1440735040169</v>
      </c>
      <c r="AF100" s="309">
        <f>H100*'STS Design Calcs'!$C$309</f>
        <v>2501.8595785368479</v>
      </c>
      <c r="AG100" s="309">
        <f>H100*'STS Design Calcs'!$C$317</f>
        <v>2501.8595785368479</v>
      </c>
      <c r="AH100" s="114">
        <f>H100*'STS Design Calcs'!$C$326</f>
        <v>416.97659642280797</v>
      </c>
      <c r="AI100" s="319">
        <f>H100*'STS Design Calcs'!$C$334</f>
        <v>416.97659642280797</v>
      </c>
      <c r="AJ100" s="321">
        <f>'STS Design Calcs'!$C$381*H100</f>
        <v>722227.53592600592</v>
      </c>
      <c r="AK100" s="321">
        <f>'STS Design Calcs'!$C$390*D100</f>
        <v>176677.45455344906</v>
      </c>
      <c r="AL100" s="322">
        <f t="shared" si="27"/>
        <v>898904.99047945498</v>
      </c>
    </row>
    <row r="101" spans="1:38" s="94" customFormat="1" ht="15" customHeight="1" x14ac:dyDescent="0.25">
      <c r="A101" s="113">
        <v>91</v>
      </c>
      <c r="B101" s="343">
        <v>405.14956073542498</v>
      </c>
      <c r="C101" s="343">
        <v>266.5</v>
      </c>
      <c r="D101" s="309">
        <f t="shared" si="28"/>
        <v>577.07834594504175</v>
      </c>
      <c r="E101" s="309">
        <f>3*U101/'STS Design Calcs'!$I$97/'STS Design Calcs'!$L$97/'STS Design Calcs'!$O$97/'STS Design Calcs'!$R$97</f>
        <v>36.23497169247797</v>
      </c>
      <c r="F101" s="309">
        <f t="shared" si="34"/>
        <v>323.16387372922338</v>
      </c>
      <c r="G101" s="309">
        <f t="shared" si="35"/>
        <v>253.91447221581836</v>
      </c>
      <c r="H101" s="309">
        <f t="shared" si="36"/>
        <v>589.66387372922338</v>
      </c>
      <c r="I101" s="309">
        <f t="shared" si="37"/>
        <v>454.04118277150201</v>
      </c>
      <c r="J101" s="309">
        <f t="shared" si="29"/>
        <v>135.62269095772137</v>
      </c>
      <c r="K101" s="309">
        <v>135.69381351713878</v>
      </c>
      <c r="L101" s="309">
        <f t="shared" si="38"/>
        <v>671.64956073542498</v>
      </c>
      <c r="M101" s="114">
        <v>2242</v>
      </c>
      <c r="N101" s="114">
        <v>1100</v>
      </c>
      <c r="O101" s="114">
        <f t="shared" si="30"/>
        <v>3178.336801956721</v>
      </c>
      <c r="P101" s="114">
        <v>1600</v>
      </c>
      <c r="Q101" s="114">
        <f t="shared" si="31"/>
        <v>1374.0238024804128</v>
      </c>
      <c r="R101" s="114">
        <f t="shared" si="32"/>
        <v>5974.0165325235348</v>
      </c>
      <c r="S101" s="309">
        <f t="shared" si="33"/>
        <v>375.7</v>
      </c>
      <c r="T101" s="114">
        <f>O101*'STS Design Calcs'!$C$147*(J101+B101)*3.785*1440/454000</f>
        <v>43159.104046412693</v>
      </c>
      <c r="U101" s="114">
        <v>43154.112007100019</v>
      </c>
      <c r="V101" s="114">
        <f t="shared" si="39"/>
        <v>86318.208092825385</v>
      </c>
      <c r="W101" s="114">
        <f t="shared" si="40"/>
        <v>11668.94294588195</v>
      </c>
      <c r="X101" s="114">
        <f>O101*'STS Design Calcs'!$C$224*('STS Calculation Summary'!D101-J101)*3.785*1440/454000</f>
        <v>8841.7132615419796</v>
      </c>
      <c r="Y101" s="114">
        <f t="shared" si="41"/>
        <v>1613.6126702314111</v>
      </c>
      <c r="Z101" s="114">
        <f>'STS Design Calcs'!$C$269*('STS Calculation Summary'!D101-'STS Calculation Summary'!J101)/365</f>
        <v>53.0447509246669</v>
      </c>
      <c r="AA101" s="323">
        <f t="shared" si="42"/>
        <v>9.6806670437517095</v>
      </c>
      <c r="AB101" s="310">
        <f>L101*1440*'STS Design Calcs'!$C$284</f>
        <v>53.620202371927626</v>
      </c>
      <c r="AC101" s="310">
        <f t="shared" si="43"/>
        <v>9.785686932876791</v>
      </c>
      <c r="AD101" s="114">
        <f>H101*'STS Design Calcs'!$C$343</f>
        <v>7758.4322205120498</v>
      </c>
      <c r="AE101" s="114">
        <f>H101*'STS Design Calcs'!$C$352</f>
        <v>2586.1440735040169</v>
      </c>
      <c r="AF101" s="309">
        <f>H101*'STS Design Calcs'!$C$309</f>
        <v>2501.8595785368479</v>
      </c>
      <c r="AG101" s="309">
        <f>H101*'STS Design Calcs'!$C$317</f>
        <v>2501.8595785368479</v>
      </c>
      <c r="AH101" s="114">
        <f>H101*'STS Design Calcs'!$C$326</f>
        <v>416.97659642280797</v>
      </c>
      <c r="AI101" s="319">
        <f>H101*'STS Design Calcs'!$C$334</f>
        <v>416.97659642280797</v>
      </c>
      <c r="AJ101" s="321">
        <f>'STS Design Calcs'!$C$381*H101</f>
        <v>722227.53592600592</v>
      </c>
      <c r="AK101" s="321">
        <f>'STS Design Calcs'!$C$390*D101</f>
        <v>176677.45455344906</v>
      </c>
      <c r="AL101" s="322">
        <f t="shared" si="27"/>
        <v>898904.99047945498</v>
      </c>
    </row>
    <row r="102" spans="1:38" s="94" customFormat="1" ht="15" customHeight="1" x14ac:dyDescent="0.25">
      <c r="A102" s="113">
        <v>92</v>
      </c>
      <c r="B102" s="343">
        <v>405.14956073542498</v>
      </c>
      <c r="C102" s="343">
        <v>266.5</v>
      </c>
      <c r="D102" s="309">
        <f t="shared" si="28"/>
        <v>577.07834594504175</v>
      </c>
      <c r="E102" s="309">
        <f>3*U102/'STS Design Calcs'!$I$97/'STS Design Calcs'!$L$97/'STS Design Calcs'!$O$97/'STS Design Calcs'!$R$97</f>
        <v>36.23497169247797</v>
      </c>
      <c r="F102" s="309">
        <f t="shared" si="34"/>
        <v>323.16387372922338</v>
      </c>
      <c r="G102" s="309">
        <f t="shared" si="35"/>
        <v>253.91447221581836</v>
      </c>
      <c r="H102" s="309">
        <f t="shared" si="36"/>
        <v>589.66387372922338</v>
      </c>
      <c r="I102" s="309">
        <f t="shared" si="37"/>
        <v>454.04118277150201</v>
      </c>
      <c r="J102" s="309">
        <f t="shared" si="29"/>
        <v>135.62269095772137</v>
      </c>
      <c r="K102" s="309">
        <v>135.69381351713878</v>
      </c>
      <c r="L102" s="309">
        <f t="shared" si="38"/>
        <v>671.64956073542498</v>
      </c>
      <c r="M102" s="114">
        <v>2242</v>
      </c>
      <c r="N102" s="114">
        <v>1100</v>
      </c>
      <c r="O102" s="114">
        <f t="shared" si="30"/>
        <v>3178.336801956721</v>
      </c>
      <c r="P102" s="114">
        <v>1600</v>
      </c>
      <c r="Q102" s="114">
        <f t="shared" si="31"/>
        <v>1374.0238024804128</v>
      </c>
      <c r="R102" s="114">
        <f t="shared" si="32"/>
        <v>5974.0165325235348</v>
      </c>
      <c r="S102" s="309">
        <f t="shared" si="33"/>
        <v>375.7</v>
      </c>
      <c r="T102" s="114">
        <f>O102*'STS Design Calcs'!$C$147*(J102+B102)*3.785*1440/454000</f>
        <v>43159.104046412693</v>
      </c>
      <c r="U102" s="114">
        <v>43154.112007100019</v>
      </c>
      <c r="V102" s="114">
        <f t="shared" si="39"/>
        <v>86318.208092825385</v>
      </c>
      <c r="W102" s="114">
        <f t="shared" si="40"/>
        <v>11668.94294588195</v>
      </c>
      <c r="X102" s="114">
        <f>O102*'STS Design Calcs'!$C$224*('STS Calculation Summary'!D102-J102)*3.785*1440/454000</f>
        <v>8841.7132615419796</v>
      </c>
      <c r="Y102" s="114">
        <f t="shared" si="41"/>
        <v>1613.6126702314111</v>
      </c>
      <c r="Z102" s="114">
        <f>'STS Design Calcs'!$C$269*('STS Calculation Summary'!D102-'STS Calculation Summary'!J102)/365</f>
        <v>53.0447509246669</v>
      </c>
      <c r="AA102" s="323">
        <f t="shared" si="42"/>
        <v>9.6806670437517095</v>
      </c>
      <c r="AB102" s="310">
        <f>L102*1440*'STS Design Calcs'!$C$284</f>
        <v>53.620202371927626</v>
      </c>
      <c r="AC102" s="310">
        <f t="shared" si="43"/>
        <v>9.785686932876791</v>
      </c>
      <c r="AD102" s="114">
        <f>H102*'STS Design Calcs'!$C$343</f>
        <v>7758.4322205120498</v>
      </c>
      <c r="AE102" s="114">
        <f>H102*'STS Design Calcs'!$C$352</f>
        <v>2586.1440735040169</v>
      </c>
      <c r="AF102" s="309">
        <f>H102*'STS Design Calcs'!$C$309</f>
        <v>2501.8595785368479</v>
      </c>
      <c r="AG102" s="309">
        <f>H102*'STS Design Calcs'!$C$317</f>
        <v>2501.8595785368479</v>
      </c>
      <c r="AH102" s="114">
        <f>H102*'STS Design Calcs'!$C$326</f>
        <v>416.97659642280797</v>
      </c>
      <c r="AI102" s="319">
        <f>H102*'STS Design Calcs'!$C$334</f>
        <v>416.97659642280797</v>
      </c>
      <c r="AJ102" s="321">
        <f>'STS Design Calcs'!$C$381*H102</f>
        <v>722227.53592600592</v>
      </c>
      <c r="AK102" s="321">
        <f>'STS Design Calcs'!$C$390*D102</f>
        <v>176677.45455344906</v>
      </c>
      <c r="AL102" s="322">
        <f t="shared" si="27"/>
        <v>898904.99047945498</v>
      </c>
    </row>
    <row r="103" spans="1:38" s="94" customFormat="1" ht="15" customHeight="1" x14ac:dyDescent="0.25">
      <c r="A103" s="113">
        <v>93</v>
      </c>
      <c r="B103" s="343">
        <v>405.14956073542498</v>
      </c>
      <c r="C103" s="343">
        <v>266.5</v>
      </c>
      <c r="D103" s="309">
        <f t="shared" si="28"/>
        <v>577.07834594504175</v>
      </c>
      <c r="E103" s="309">
        <f>3*U103/'STS Design Calcs'!$I$97/'STS Design Calcs'!$L$97/'STS Design Calcs'!$O$97/'STS Design Calcs'!$R$97</f>
        <v>36.23497169247797</v>
      </c>
      <c r="F103" s="309">
        <f t="shared" si="34"/>
        <v>323.16387372922338</v>
      </c>
      <c r="G103" s="309">
        <f t="shared" si="35"/>
        <v>253.91447221581836</v>
      </c>
      <c r="H103" s="309">
        <f t="shared" si="36"/>
        <v>589.66387372922338</v>
      </c>
      <c r="I103" s="309">
        <f t="shared" si="37"/>
        <v>454.04118277150201</v>
      </c>
      <c r="J103" s="309">
        <f t="shared" si="29"/>
        <v>135.62269095772137</v>
      </c>
      <c r="K103" s="309">
        <v>135.69381351713878</v>
      </c>
      <c r="L103" s="309">
        <f t="shared" si="38"/>
        <v>671.64956073542498</v>
      </c>
      <c r="M103" s="114">
        <v>2242</v>
      </c>
      <c r="N103" s="114">
        <v>1100</v>
      </c>
      <c r="O103" s="114">
        <f t="shared" si="30"/>
        <v>3178.336801956721</v>
      </c>
      <c r="P103" s="114">
        <v>1600</v>
      </c>
      <c r="Q103" s="114">
        <f t="shared" si="31"/>
        <v>1374.0238024804128</v>
      </c>
      <c r="R103" s="114">
        <f t="shared" si="32"/>
        <v>5974.0165325235348</v>
      </c>
      <c r="S103" s="309">
        <f t="shared" si="33"/>
        <v>375.7</v>
      </c>
      <c r="T103" s="114">
        <f>O103*'STS Design Calcs'!$C$147*(J103+B103)*3.785*1440/454000</f>
        <v>43159.104046412693</v>
      </c>
      <c r="U103" s="114">
        <v>43154.112007100019</v>
      </c>
      <c r="V103" s="114">
        <f t="shared" si="39"/>
        <v>86318.208092825385</v>
      </c>
      <c r="W103" s="114">
        <f t="shared" si="40"/>
        <v>11668.94294588195</v>
      </c>
      <c r="X103" s="114">
        <f>O103*'STS Design Calcs'!$C$224*('STS Calculation Summary'!D103-J103)*3.785*1440/454000</f>
        <v>8841.7132615419796</v>
      </c>
      <c r="Y103" s="114">
        <f t="shared" si="41"/>
        <v>1613.6126702314111</v>
      </c>
      <c r="Z103" s="114">
        <f>'STS Design Calcs'!$C$269*('STS Calculation Summary'!D103-'STS Calculation Summary'!J103)/365</f>
        <v>53.0447509246669</v>
      </c>
      <c r="AA103" s="323">
        <f t="shared" si="42"/>
        <v>9.6806670437517095</v>
      </c>
      <c r="AB103" s="310">
        <f>L103*1440*'STS Design Calcs'!$C$284</f>
        <v>53.620202371927626</v>
      </c>
      <c r="AC103" s="310">
        <f t="shared" si="43"/>
        <v>9.785686932876791</v>
      </c>
      <c r="AD103" s="114">
        <f>H103*'STS Design Calcs'!$C$343</f>
        <v>7758.4322205120498</v>
      </c>
      <c r="AE103" s="114">
        <f>H103*'STS Design Calcs'!$C$352</f>
        <v>2586.1440735040169</v>
      </c>
      <c r="AF103" s="309">
        <f>H103*'STS Design Calcs'!$C$309</f>
        <v>2501.8595785368479</v>
      </c>
      <c r="AG103" s="309">
        <f>H103*'STS Design Calcs'!$C$317</f>
        <v>2501.8595785368479</v>
      </c>
      <c r="AH103" s="114">
        <f>H103*'STS Design Calcs'!$C$326</f>
        <v>416.97659642280797</v>
      </c>
      <c r="AI103" s="319">
        <f>H103*'STS Design Calcs'!$C$334</f>
        <v>416.97659642280797</v>
      </c>
      <c r="AJ103" s="321">
        <f>'STS Design Calcs'!$C$381*H103</f>
        <v>722227.53592600592</v>
      </c>
      <c r="AK103" s="321">
        <f>'STS Design Calcs'!$C$390*D103</f>
        <v>176677.45455344906</v>
      </c>
      <c r="AL103" s="322">
        <f t="shared" si="27"/>
        <v>898904.99047945498</v>
      </c>
    </row>
    <row r="104" spans="1:38" s="94" customFormat="1" ht="15" customHeight="1" x14ac:dyDescent="0.25">
      <c r="A104" s="113">
        <v>94</v>
      </c>
      <c r="B104" s="343">
        <v>405.14956073542498</v>
      </c>
      <c r="C104" s="343">
        <v>266.5</v>
      </c>
      <c r="D104" s="309">
        <f t="shared" si="28"/>
        <v>577.07834594504175</v>
      </c>
      <c r="E104" s="309">
        <f>3*U104/'STS Design Calcs'!$I$97/'STS Design Calcs'!$L$97/'STS Design Calcs'!$O$97/'STS Design Calcs'!$R$97</f>
        <v>36.23497169247797</v>
      </c>
      <c r="F104" s="309">
        <f t="shared" si="34"/>
        <v>323.16387372922338</v>
      </c>
      <c r="G104" s="309">
        <f t="shared" si="35"/>
        <v>253.91447221581836</v>
      </c>
      <c r="H104" s="309">
        <f t="shared" si="36"/>
        <v>589.66387372922338</v>
      </c>
      <c r="I104" s="309">
        <f t="shared" si="37"/>
        <v>454.04118277150201</v>
      </c>
      <c r="J104" s="309">
        <f t="shared" si="29"/>
        <v>135.62269095772137</v>
      </c>
      <c r="K104" s="309">
        <v>135.69381351713878</v>
      </c>
      <c r="L104" s="309">
        <f t="shared" si="38"/>
        <v>671.64956073542498</v>
      </c>
      <c r="M104" s="114">
        <v>2242</v>
      </c>
      <c r="N104" s="114">
        <v>1100</v>
      </c>
      <c r="O104" s="114">
        <f t="shared" si="30"/>
        <v>3178.336801956721</v>
      </c>
      <c r="P104" s="114">
        <v>1600</v>
      </c>
      <c r="Q104" s="114">
        <f t="shared" si="31"/>
        <v>1374.0238024804128</v>
      </c>
      <c r="R104" s="114">
        <f t="shared" si="32"/>
        <v>5974.0165325235348</v>
      </c>
      <c r="S104" s="309">
        <f t="shared" si="33"/>
        <v>375.7</v>
      </c>
      <c r="T104" s="114">
        <f>O104*'STS Design Calcs'!$C$147*(J104+B104)*3.785*1440/454000</f>
        <v>43159.104046412693</v>
      </c>
      <c r="U104" s="114">
        <v>43154.112007100019</v>
      </c>
      <c r="V104" s="114">
        <f t="shared" si="39"/>
        <v>86318.208092825385</v>
      </c>
      <c r="W104" s="114">
        <f t="shared" si="40"/>
        <v>11668.94294588195</v>
      </c>
      <c r="X104" s="114">
        <f>O104*'STS Design Calcs'!$C$224*('STS Calculation Summary'!D104-J104)*3.785*1440/454000</f>
        <v>8841.7132615419796</v>
      </c>
      <c r="Y104" s="114">
        <f t="shared" si="41"/>
        <v>1613.6126702314111</v>
      </c>
      <c r="Z104" s="114">
        <f>'STS Design Calcs'!$C$269*('STS Calculation Summary'!D104-'STS Calculation Summary'!J104)/365</f>
        <v>53.0447509246669</v>
      </c>
      <c r="AA104" s="323">
        <f t="shared" si="42"/>
        <v>9.6806670437517095</v>
      </c>
      <c r="AB104" s="310">
        <f>L104*1440*'STS Design Calcs'!$C$284</f>
        <v>53.620202371927626</v>
      </c>
      <c r="AC104" s="310">
        <f t="shared" si="43"/>
        <v>9.785686932876791</v>
      </c>
      <c r="AD104" s="114">
        <f>H104*'STS Design Calcs'!$C$343</f>
        <v>7758.4322205120498</v>
      </c>
      <c r="AE104" s="114">
        <f>H104*'STS Design Calcs'!$C$352</f>
        <v>2586.1440735040169</v>
      </c>
      <c r="AF104" s="309">
        <f>H104*'STS Design Calcs'!$C$309</f>
        <v>2501.8595785368479</v>
      </c>
      <c r="AG104" s="309">
        <f>H104*'STS Design Calcs'!$C$317</f>
        <v>2501.8595785368479</v>
      </c>
      <c r="AH104" s="114">
        <f>H104*'STS Design Calcs'!$C$326</f>
        <v>416.97659642280797</v>
      </c>
      <c r="AI104" s="319">
        <f>H104*'STS Design Calcs'!$C$334</f>
        <v>416.97659642280797</v>
      </c>
      <c r="AJ104" s="321">
        <f>'STS Design Calcs'!$C$381*H104</f>
        <v>722227.53592600592</v>
      </c>
      <c r="AK104" s="321">
        <f>'STS Design Calcs'!$C$390*D104</f>
        <v>176677.45455344906</v>
      </c>
      <c r="AL104" s="322">
        <f t="shared" si="27"/>
        <v>898904.99047945498</v>
      </c>
    </row>
    <row r="105" spans="1:38" s="94" customFormat="1" ht="15" customHeight="1" x14ac:dyDescent="0.25">
      <c r="A105" s="113">
        <v>95</v>
      </c>
      <c r="B105" s="343">
        <v>405.14956073542498</v>
      </c>
      <c r="C105" s="343">
        <v>266.5</v>
      </c>
      <c r="D105" s="309">
        <f t="shared" si="28"/>
        <v>577.07834594504175</v>
      </c>
      <c r="E105" s="309">
        <f>3*U105/'STS Design Calcs'!$I$97/'STS Design Calcs'!$L$97/'STS Design Calcs'!$O$97/'STS Design Calcs'!$R$97</f>
        <v>36.23497169247797</v>
      </c>
      <c r="F105" s="309">
        <f t="shared" si="34"/>
        <v>323.16387372922338</v>
      </c>
      <c r="G105" s="309">
        <f t="shared" si="35"/>
        <v>253.91447221581836</v>
      </c>
      <c r="H105" s="309">
        <f t="shared" si="36"/>
        <v>589.66387372922338</v>
      </c>
      <c r="I105" s="309">
        <f t="shared" si="37"/>
        <v>454.04118277150201</v>
      </c>
      <c r="J105" s="309">
        <f t="shared" si="29"/>
        <v>135.62269095772137</v>
      </c>
      <c r="K105" s="309">
        <v>135.69381351713878</v>
      </c>
      <c r="L105" s="309">
        <f t="shared" si="38"/>
        <v>671.64956073542498</v>
      </c>
      <c r="M105" s="114">
        <v>2242</v>
      </c>
      <c r="N105" s="114">
        <v>1100</v>
      </c>
      <c r="O105" s="114">
        <f t="shared" si="30"/>
        <v>3178.336801956721</v>
      </c>
      <c r="P105" s="114">
        <v>1600</v>
      </c>
      <c r="Q105" s="114">
        <f t="shared" si="31"/>
        <v>1374.0238024804128</v>
      </c>
      <c r="R105" s="114">
        <f t="shared" si="32"/>
        <v>5974.0165325235348</v>
      </c>
      <c r="S105" s="309">
        <f t="shared" si="33"/>
        <v>375.7</v>
      </c>
      <c r="T105" s="114">
        <f>O105*'STS Design Calcs'!$C$147*(J105+B105)*3.785*1440/454000</f>
        <v>43159.104046412693</v>
      </c>
      <c r="U105" s="114">
        <v>43154.112007100019</v>
      </c>
      <c r="V105" s="114">
        <f t="shared" si="39"/>
        <v>86318.208092825385</v>
      </c>
      <c r="W105" s="114">
        <f t="shared" si="40"/>
        <v>11668.94294588195</v>
      </c>
      <c r="X105" s="114">
        <f>O105*'STS Design Calcs'!$C$224*('STS Calculation Summary'!D105-J105)*3.785*1440/454000</f>
        <v>8841.7132615419796</v>
      </c>
      <c r="Y105" s="114">
        <f t="shared" si="41"/>
        <v>1613.6126702314111</v>
      </c>
      <c r="Z105" s="114">
        <f>'STS Design Calcs'!$C$269*('STS Calculation Summary'!D105-'STS Calculation Summary'!J105)/365</f>
        <v>53.0447509246669</v>
      </c>
      <c r="AA105" s="323">
        <f t="shared" si="42"/>
        <v>9.6806670437517095</v>
      </c>
      <c r="AB105" s="310">
        <f>L105*1440*'STS Design Calcs'!$C$284</f>
        <v>53.620202371927626</v>
      </c>
      <c r="AC105" s="310">
        <f t="shared" si="43"/>
        <v>9.785686932876791</v>
      </c>
      <c r="AD105" s="114">
        <f>H105*'STS Design Calcs'!$C$343</f>
        <v>7758.4322205120498</v>
      </c>
      <c r="AE105" s="114">
        <f>H105*'STS Design Calcs'!$C$352</f>
        <v>2586.1440735040169</v>
      </c>
      <c r="AF105" s="309">
        <f>H105*'STS Design Calcs'!$C$309</f>
        <v>2501.8595785368479</v>
      </c>
      <c r="AG105" s="309">
        <f>H105*'STS Design Calcs'!$C$317</f>
        <v>2501.8595785368479</v>
      </c>
      <c r="AH105" s="114">
        <f>H105*'STS Design Calcs'!$C$326</f>
        <v>416.97659642280797</v>
      </c>
      <c r="AI105" s="319">
        <f>H105*'STS Design Calcs'!$C$334</f>
        <v>416.97659642280797</v>
      </c>
      <c r="AJ105" s="321">
        <f>'STS Design Calcs'!$C$381*H105</f>
        <v>722227.53592600592</v>
      </c>
      <c r="AK105" s="321">
        <f>'STS Design Calcs'!$C$390*D105</f>
        <v>176677.45455344906</v>
      </c>
      <c r="AL105" s="322">
        <f t="shared" si="27"/>
        <v>898904.99047945498</v>
      </c>
    </row>
    <row r="106" spans="1:38" s="94" customFormat="1" ht="15" customHeight="1" x14ac:dyDescent="0.25">
      <c r="A106" s="113">
        <v>96</v>
      </c>
      <c r="B106" s="343">
        <v>405.14956073542498</v>
      </c>
      <c r="C106" s="343">
        <v>266.5</v>
      </c>
      <c r="D106" s="309">
        <f t="shared" si="28"/>
        <v>577.07834333198446</v>
      </c>
      <c r="E106" s="309">
        <f>3*U106/'STS Design Calcs'!$I$97/'STS Design Calcs'!$L$97/'STS Design Calcs'!$O$97/'STS Design Calcs'!$R$97</f>
        <v>36.234971507796594</v>
      </c>
      <c r="F106" s="309">
        <f t="shared" si="34"/>
        <v>323.16387226591132</v>
      </c>
      <c r="G106" s="309">
        <f t="shared" si="35"/>
        <v>253.91447106607316</v>
      </c>
      <c r="H106" s="309">
        <f t="shared" si="36"/>
        <v>589.66387226591132</v>
      </c>
      <c r="I106" s="309">
        <f t="shared" si="37"/>
        <v>454.0411816447517</v>
      </c>
      <c r="J106" s="309">
        <f t="shared" si="29"/>
        <v>135.62269062115962</v>
      </c>
      <c r="K106" s="309">
        <v>135.69381108876291</v>
      </c>
      <c r="L106" s="309">
        <f t="shared" si="38"/>
        <v>671.64956073542498</v>
      </c>
      <c r="M106" s="114">
        <v>2242</v>
      </c>
      <c r="N106" s="114">
        <v>1100</v>
      </c>
      <c r="O106" s="114">
        <f t="shared" si="30"/>
        <v>3178.3367887924501</v>
      </c>
      <c r="P106" s="114">
        <v>1600</v>
      </c>
      <c r="Q106" s="114">
        <f t="shared" si="31"/>
        <v>1374.0238019196292</v>
      </c>
      <c r="R106" s="114">
        <f t="shared" si="32"/>
        <v>5974.016530085345</v>
      </c>
      <c r="S106" s="309">
        <f t="shared" si="33"/>
        <v>375.70000000000005</v>
      </c>
      <c r="T106" s="114">
        <f>O106*'STS Design Calcs'!$C$147*(J106+B106)*3.785*1440/454000</f>
        <v>43159.103840792071</v>
      </c>
      <c r="U106" s="114">
        <v>43154.111787153364</v>
      </c>
      <c r="V106" s="114">
        <f t="shared" si="39"/>
        <v>86318.207681584143</v>
      </c>
      <c r="W106" s="114">
        <f t="shared" si="40"/>
        <v>11668.942890288228</v>
      </c>
      <c r="X106" s="114">
        <f>O106*'STS Design Calcs'!$C$224*('STS Calculation Summary'!D106-J106)*3.785*1440/454000</f>
        <v>8841.7131793258286</v>
      </c>
      <c r="Y106" s="114">
        <f t="shared" si="41"/>
        <v>1613.6126552269639</v>
      </c>
      <c r="Z106" s="114">
        <f>'STS Design Calcs'!$C$269*('STS Calculation Summary'!D106-'STS Calculation Summary'!J106)/365</f>
        <v>53.044750651126087</v>
      </c>
      <c r="AA106" s="323">
        <f t="shared" si="42"/>
        <v>9.6806669938305117</v>
      </c>
      <c r="AB106" s="310">
        <f>L106*1440*'STS Design Calcs'!$C$284</f>
        <v>53.620202371927626</v>
      </c>
      <c r="AC106" s="310">
        <f t="shared" si="43"/>
        <v>9.785686932876791</v>
      </c>
      <c r="AD106" s="114">
        <f>H106*'STS Design Calcs'!$C$343</f>
        <v>7758.4322012586954</v>
      </c>
      <c r="AE106" s="114">
        <f>H106*'STS Design Calcs'!$C$352</f>
        <v>2586.1440670862321</v>
      </c>
      <c r="AF106" s="309">
        <f>H106*'STS Design Calcs'!$C$309</f>
        <v>2501.8595723282237</v>
      </c>
      <c r="AG106" s="309">
        <f>H106*'STS Design Calcs'!$C$317</f>
        <v>2501.8595723282237</v>
      </c>
      <c r="AH106" s="114">
        <f>H106*'STS Design Calcs'!$C$326</f>
        <v>416.97659538803731</v>
      </c>
      <c r="AI106" s="319">
        <f>H106*'STS Design Calcs'!$C$334</f>
        <v>416.97659538803731</v>
      </c>
      <c r="AJ106" s="321">
        <f>'STS Design Calcs'!$C$381*H106</f>
        <v>722227.53413372347</v>
      </c>
      <c r="AK106" s="321">
        <f>'STS Design Calcs'!$C$390*D106</f>
        <v>176677.45375343927</v>
      </c>
      <c r="AL106" s="322">
        <f>SUM(AJ106,AK106)</f>
        <v>898904.98788716272</v>
      </c>
    </row>
    <row r="107" spans="1:38" s="94" customFormat="1" ht="15" customHeight="1" x14ac:dyDescent="0.25">
      <c r="A107" s="113">
        <v>97</v>
      </c>
      <c r="B107" s="343">
        <v>405.14956073542498</v>
      </c>
      <c r="C107" s="343">
        <v>266.5</v>
      </c>
      <c r="D107" s="309">
        <f t="shared" si="28"/>
        <v>577.07834594504175</v>
      </c>
      <c r="E107" s="309">
        <f>3*U107/'STS Design Calcs'!$I$97/'STS Design Calcs'!$L$97/'STS Design Calcs'!$O$97/'STS Design Calcs'!$R$97</f>
        <v>36.23497169247797</v>
      </c>
      <c r="F107" s="309">
        <f t="shared" si="34"/>
        <v>323.16387372922338</v>
      </c>
      <c r="G107" s="309">
        <f t="shared" si="35"/>
        <v>253.91447221581836</v>
      </c>
      <c r="H107" s="309">
        <f t="shared" si="36"/>
        <v>589.66387372922338</v>
      </c>
      <c r="I107" s="309">
        <f t="shared" si="37"/>
        <v>454.04118277150201</v>
      </c>
      <c r="J107" s="309">
        <f t="shared" si="29"/>
        <v>135.62269095772137</v>
      </c>
      <c r="K107" s="309">
        <v>135.69381351713878</v>
      </c>
      <c r="L107" s="309">
        <f t="shared" si="38"/>
        <v>671.64956073542498</v>
      </c>
      <c r="M107" s="114">
        <v>2242</v>
      </c>
      <c r="N107" s="114">
        <v>1100</v>
      </c>
      <c r="O107" s="114">
        <f t="shared" si="30"/>
        <v>3178.336801956721</v>
      </c>
      <c r="P107" s="114">
        <v>1600</v>
      </c>
      <c r="Q107" s="114">
        <f t="shared" si="31"/>
        <v>1374.0238024804128</v>
      </c>
      <c r="R107" s="114">
        <f t="shared" si="32"/>
        <v>5974.0165325235348</v>
      </c>
      <c r="S107" s="309">
        <f t="shared" si="33"/>
        <v>375.7</v>
      </c>
      <c r="T107" s="114">
        <f>O107*'STS Design Calcs'!$C$147*(J107+B107)*3.785*1440/454000</f>
        <v>43159.104046412693</v>
      </c>
      <c r="U107" s="114">
        <v>43154.112007100019</v>
      </c>
      <c r="V107" s="114">
        <f t="shared" si="39"/>
        <v>86318.208092825385</v>
      </c>
      <c r="W107" s="114">
        <f t="shared" si="40"/>
        <v>11668.94294588195</v>
      </c>
      <c r="X107" s="114">
        <f>O107*'STS Design Calcs'!$C$224*('STS Calculation Summary'!D107-J107)*3.785*1440/454000</f>
        <v>8841.7132615419796</v>
      </c>
      <c r="Y107" s="114">
        <f t="shared" si="41"/>
        <v>1613.6126702314111</v>
      </c>
      <c r="Z107" s="114">
        <f>'STS Design Calcs'!$C$269*('STS Calculation Summary'!D107-'STS Calculation Summary'!J107)/365</f>
        <v>53.0447509246669</v>
      </c>
      <c r="AA107" s="323">
        <f t="shared" si="42"/>
        <v>9.6806670437517095</v>
      </c>
      <c r="AB107" s="310">
        <f>L107*1440*'STS Design Calcs'!$C$284</f>
        <v>53.620202371927626</v>
      </c>
      <c r="AC107" s="310">
        <f t="shared" si="43"/>
        <v>9.785686932876791</v>
      </c>
      <c r="AD107" s="114">
        <f>H107*'STS Design Calcs'!$C$343</f>
        <v>7758.4322205120498</v>
      </c>
      <c r="AE107" s="114">
        <f>H107*'STS Design Calcs'!$C$352</f>
        <v>2586.1440735040169</v>
      </c>
      <c r="AF107" s="309">
        <f>H107*'STS Design Calcs'!$C$309</f>
        <v>2501.8595785368479</v>
      </c>
      <c r="AG107" s="309">
        <f>H107*'STS Design Calcs'!$C$317</f>
        <v>2501.8595785368479</v>
      </c>
      <c r="AH107" s="114">
        <f>H107*'STS Design Calcs'!$C$326</f>
        <v>416.97659642280797</v>
      </c>
      <c r="AI107" s="319">
        <f>H107*'STS Design Calcs'!$C$334</f>
        <v>416.97659642280797</v>
      </c>
      <c r="AJ107" s="321">
        <f>'STS Design Calcs'!$C$381*H107</f>
        <v>722227.53592600592</v>
      </c>
      <c r="AK107" s="321">
        <f>'STS Design Calcs'!$C$390*D107</f>
        <v>176677.45455344906</v>
      </c>
      <c r="AL107" s="322">
        <f t="shared" ref="AL107:AL110" si="44">SUM(AJ107,AK107)</f>
        <v>898904.99047945498</v>
      </c>
    </row>
    <row r="108" spans="1:38" s="94" customFormat="1" ht="15" customHeight="1" x14ac:dyDescent="0.25">
      <c r="A108" s="113">
        <v>98</v>
      </c>
      <c r="B108" s="343">
        <v>405.14956073542498</v>
      </c>
      <c r="C108" s="343">
        <v>266.5</v>
      </c>
      <c r="D108" s="309">
        <f t="shared" si="28"/>
        <v>577.07834594504175</v>
      </c>
      <c r="E108" s="309">
        <f>3*U108/'STS Design Calcs'!$I$97/'STS Design Calcs'!$L$97/'STS Design Calcs'!$O$97/'STS Design Calcs'!$R$97</f>
        <v>36.23497169247797</v>
      </c>
      <c r="F108" s="309">
        <f t="shared" si="34"/>
        <v>323.16387372922338</v>
      </c>
      <c r="G108" s="309">
        <f t="shared" si="35"/>
        <v>253.91447221581836</v>
      </c>
      <c r="H108" s="309">
        <f t="shared" si="36"/>
        <v>589.66387372922338</v>
      </c>
      <c r="I108" s="309">
        <f t="shared" si="37"/>
        <v>454.04118277150201</v>
      </c>
      <c r="J108" s="309">
        <f t="shared" si="29"/>
        <v>135.62269095772137</v>
      </c>
      <c r="K108" s="309">
        <v>135.69381351713878</v>
      </c>
      <c r="L108" s="309">
        <f t="shared" si="38"/>
        <v>671.64956073542498</v>
      </c>
      <c r="M108" s="114">
        <v>2242</v>
      </c>
      <c r="N108" s="114">
        <v>1100</v>
      </c>
      <c r="O108" s="114">
        <f t="shared" si="30"/>
        <v>3178.336801956721</v>
      </c>
      <c r="P108" s="114">
        <v>1600</v>
      </c>
      <c r="Q108" s="114">
        <f t="shared" si="31"/>
        <v>1374.0238024804128</v>
      </c>
      <c r="R108" s="114">
        <f t="shared" si="32"/>
        <v>5974.0165325235348</v>
      </c>
      <c r="S108" s="309">
        <f t="shared" si="33"/>
        <v>375.7</v>
      </c>
      <c r="T108" s="114">
        <f>O108*'STS Design Calcs'!$C$147*(J108+B108)*3.785*1440/454000</f>
        <v>43159.104046412693</v>
      </c>
      <c r="U108" s="114">
        <v>43154.112007100019</v>
      </c>
      <c r="V108" s="114">
        <f t="shared" si="39"/>
        <v>86318.208092825385</v>
      </c>
      <c r="W108" s="114">
        <f t="shared" si="40"/>
        <v>11668.94294588195</v>
      </c>
      <c r="X108" s="114">
        <f>O108*'STS Design Calcs'!$C$224*('STS Calculation Summary'!D108-J108)*3.785*1440/454000</f>
        <v>8841.7132615419796</v>
      </c>
      <c r="Y108" s="114">
        <f t="shared" si="41"/>
        <v>1613.6126702314111</v>
      </c>
      <c r="Z108" s="114">
        <f>'STS Design Calcs'!$C$269*('STS Calculation Summary'!D108-'STS Calculation Summary'!J108)/365</f>
        <v>53.0447509246669</v>
      </c>
      <c r="AA108" s="323">
        <f t="shared" si="42"/>
        <v>9.6806670437517095</v>
      </c>
      <c r="AB108" s="310">
        <f>L108*1440*'STS Design Calcs'!$C$284</f>
        <v>53.620202371927626</v>
      </c>
      <c r="AC108" s="310">
        <f t="shared" si="43"/>
        <v>9.785686932876791</v>
      </c>
      <c r="AD108" s="114">
        <f>H108*'STS Design Calcs'!$C$343</f>
        <v>7758.4322205120498</v>
      </c>
      <c r="AE108" s="114">
        <f>H108*'STS Design Calcs'!$C$352</f>
        <v>2586.1440735040169</v>
      </c>
      <c r="AF108" s="309">
        <f>H108*'STS Design Calcs'!$C$309</f>
        <v>2501.8595785368479</v>
      </c>
      <c r="AG108" s="309">
        <f>H108*'STS Design Calcs'!$C$317</f>
        <v>2501.8595785368479</v>
      </c>
      <c r="AH108" s="114">
        <f>H108*'STS Design Calcs'!$C$326</f>
        <v>416.97659642280797</v>
      </c>
      <c r="AI108" s="319">
        <f>H108*'STS Design Calcs'!$C$334</f>
        <v>416.97659642280797</v>
      </c>
      <c r="AJ108" s="321">
        <f>'STS Design Calcs'!$C$381*H108</f>
        <v>722227.53592600592</v>
      </c>
      <c r="AK108" s="321">
        <f>'STS Design Calcs'!$C$390*D108</f>
        <v>176677.45455344906</v>
      </c>
      <c r="AL108" s="322">
        <f t="shared" si="44"/>
        <v>898904.99047945498</v>
      </c>
    </row>
    <row r="109" spans="1:38" s="94" customFormat="1" ht="15" customHeight="1" x14ac:dyDescent="0.25">
      <c r="A109" s="113">
        <v>99</v>
      </c>
      <c r="B109" s="343">
        <v>405.14956073542498</v>
      </c>
      <c r="C109" s="343">
        <v>266.5</v>
      </c>
      <c r="D109" s="309">
        <f t="shared" si="28"/>
        <v>577.07834594504175</v>
      </c>
      <c r="E109" s="309">
        <f>3*U109/'STS Design Calcs'!$I$97/'STS Design Calcs'!$L$97/'STS Design Calcs'!$O$97/'STS Design Calcs'!$R$97</f>
        <v>36.23497169247797</v>
      </c>
      <c r="F109" s="309">
        <f t="shared" si="34"/>
        <v>323.16387372922338</v>
      </c>
      <c r="G109" s="309">
        <f t="shared" si="35"/>
        <v>253.91447221581836</v>
      </c>
      <c r="H109" s="309">
        <f t="shared" si="36"/>
        <v>589.66387372922338</v>
      </c>
      <c r="I109" s="309">
        <f t="shared" si="37"/>
        <v>454.04118277150201</v>
      </c>
      <c r="J109" s="309">
        <f t="shared" si="29"/>
        <v>135.62269095772137</v>
      </c>
      <c r="K109" s="309">
        <v>135.69381351713878</v>
      </c>
      <c r="L109" s="309">
        <f t="shared" si="38"/>
        <v>671.64956073542498</v>
      </c>
      <c r="M109" s="114">
        <v>2242</v>
      </c>
      <c r="N109" s="114">
        <v>1100</v>
      </c>
      <c r="O109" s="114">
        <f t="shared" si="30"/>
        <v>3178.336801956721</v>
      </c>
      <c r="P109" s="114">
        <v>1600</v>
      </c>
      <c r="Q109" s="114">
        <f t="shared" si="31"/>
        <v>1374.0238024804128</v>
      </c>
      <c r="R109" s="114">
        <f t="shared" si="32"/>
        <v>5974.0165325235348</v>
      </c>
      <c r="S109" s="309">
        <f t="shared" si="33"/>
        <v>375.7</v>
      </c>
      <c r="T109" s="114">
        <f>O109*'STS Design Calcs'!$C$147*(J109+B109)*3.785*1440/454000</f>
        <v>43159.104046412693</v>
      </c>
      <c r="U109" s="114">
        <v>43154.112007100019</v>
      </c>
      <c r="V109" s="114">
        <f t="shared" si="39"/>
        <v>86318.208092825385</v>
      </c>
      <c r="W109" s="114">
        <f t="shared" si="40"/>
        <v>11668.94294588195</v>
      </c>
      <c r="X109" s="114">
        <f>O109*'STS Design Calcs'!$C$224*('STS Calculation Summary'!D109-J109)*3.785*1440/454000</f>
        <v>8841.7132615419796</v>
      </c>
      <c r="Y109" s="114">
        <f t="shared" si="41"/>
        <v>1613.6126702314111</v>
      </c>
      <c r="Z109" s="114">
        <f>'STS Design Calcs'!$C$269*('STS Calculation Summary'!D109-'STS Calculation Summary'!J109)/365</f>
        <v>53.0447509246669</v>
      </c>
      <c r="AA109" s="323">
        <f t="shared" si="42"/>
        <v>9.6806670437517095</v>
      </c>
      <c r="AB109" s="310">
        <f>L109*1440*'STS Design Calcs'!$C$284</f>
        <v>53.620202371927626</v>
      </c>
      <c r="AC109" s="310">
        <f t="shared" si="43"/>
        <v>9.785686932876791</v>
      </c>
      <c r="AD109" s="114">
        <f>H109*'STS Design Calcs'!$C$343</f>
        <v>7758.4322205120498</v>
      </c>
      <c r="AE109" s="114">
        <f>H109*'STS Design Calcs'!$C$352</f>
        <v>2586.1440735040169</v>
      </c>
      <c r="AF109" s="309">
        <f>H109*'STS Design Calcs'!$C$309</f>
        <v>2501.8595785368479</v>
      </c>
      <c r="AG109" s="309">
        <f>H109*'STS Design Calcs'!$C$317</f>
        <v>2501.8595785368479</v>
      </c>
      <c r="AH109" s="114">
        <f>H109*'STS Design Calcs'!$C$326</f>
        <v>416.97659642280797</v>
      </c>
      <c r="AI109" s="319">
        <f>H109*'STS Design Calcs'!$C$334</f>
        <v>416.97659642280797</v>
      </c>
      <c r="AJ109" s="321">
        <f>'STS Design Calcs'!$C$381*H109</f>
        <v>722227.53592600592</v>
      </c>
      <c r="AK109" s="321">
        <f>'STS Design Calcs'!$C$390*D109</f>
        <v>176677.45455344906</v>
      </c>
      <c r="AL109" s="322">
        <f t="shared" si="44"/>
        <v>898904.99047945498</v>
      </c>
    </row>
    <row r="110" spans="1:38" s="94" customFormat="1" ht="12.5" x14ac:dyDescent="0.25">
      <c r="A110" s="113">
        <v>100</v>
      </c>
      <c r="B110" s="343">
        <v>405.14956073542498</v>
      </c>
      <c r="C110" s="343">
        <v>266.5</v>
      </c>
      <c r="D110" s="309">
        <f t="shared" si="28"/>
        <v>577.07834594504175</v>
      </c>
      <c r="E110" s="309">
        <f>3*U110/'STS Design Calcs'!$I$97/'STS Design Calcs'!$L$97/'STS Design Calcs'!$O$97/'STS Design Calcs'!$R$97</f>
        <v>36.23497169247797</v>
      </c>
      <c r="F110" s="309">
        <f t="shared" si="34"/>
        <v>323.16387372922338</v>
      </c>
      <c r="G110" s="309">
        <f t="shared" si="35"/>
        <v>253.91447221581836</v>
      </c>
      <c r="H110" s="309">
        <f t="shared" si="36"/>
        <v>589.66387372922338</v>
      </c>
      <c r="I110" s="309">
        <f t="shared" si="37"/>
        <v>454.04118277150201</v>
      </c>
      <c r="J110" s="309">
        <f t="shared" si="29"/>
        <v>135.62269095772137</v>
      </c>
      <c r="K110" s="309">
        <v>135.69381351713878</v>
      </c>
      <c r="L110" s="309">
        <f t="shared" si="38"/>
        <v>671.64956073542498</v>
      </c>
      <c r="M110" s="114">
        <v>2242</v>
      </c>
      <c r="N110" s="114">
        <v>1100</v>
      </c>
      <c r="O110" s="114">
        <f t="shared" si="30"/>
        <v>3178.336801956721</v>
      </c>
      <c r="P110" s="114">
        <v>1600</v>
      </c>
      <c r="Q110" s="114">
        <f t="shared" si="31"/>
        <v>1374.0238024804128</v>
      </c>
      <c r="R110" s="114">
        <f t="shared" si="32"/>
        <v>5974.0165325235348</v>
      </c>
      <c r="S110" s="309">
        <f t="shared" si="33"/>
        <v>375.7</v>
      </c>
      <c r="T110" s="114">
        <f>O110*'STS Design Calcs'!$C$147*(J110+B110)*3.785*1440/454000</f>
        <v>43159.104046412693</v>
      </c>
      <c r="U110" s="114">
        <v>43154.112007100019</v>
      </c>
      <c r="V110" s="114">
        <f t="shared" si="39"/>
        <v>86318.208092825385</v>
      </c>
      <c r="W110" s="114">
        <f t="shared" si="40"/>
        <v>11668.94294588195</v>
      </c>
      <c r="X110" s="114">
        <f>O110*'STS Design Calcs'!$C$224*('STS Calculation Summary'!D110-J110)*3.785*1440/454000</f>
        <v>8841.7132615419796</v>
      </c>
      <c r="Y110" s="114">
        <f t="shared" si="41"/>
        <v>1613.6126702314111</v>
      </c>
      <c r="Z110" s="114">
        <f>'STS Design Calcs'!$C$269*('STS Calculation Summary'!D110-'STS Calculation Summary'!J110)/365</f>
        <v>53.0447509246669</v>
      </c>
      <c r="AA110" s="323">
        <f t="shared" si="42"/>
        <v>9.6806670437517095</v>
      </c>
      <c r="AB110" s="310">
        <f>L110*1440*'STS Design Calcs'!$C$284</f>
        <v>53.620202371927626</v>
      </c>
      <c r="AC110" s="310">
        <f t="shared" si="43"/>
        <v>9.785686932876791</v>
      </c>
      <c r="AD110" s="114">
        <f>H110*'STS Design Calcs'!$C$343</f>
        <v>7758.4322205120498</v>
      </c>
      <c r="AE110" s="114">
        <f>H110*'STS Design Calcs'!$C$352</f>
        <v>2586.1440735040169</v>
      </c>
      <c r="AF110" s="309">
        <f>H110*'STS Design Calcs'!$C$309</f>
        <v>2501.8595785368479</v>
      </c>
      <c r="AG110" s="309">
        <f>H110*'STS Design Calcs'!$C$317</f>
        <v>2501.8595785368479</v>
      </c>
      <c r="AH110" s="114">
        <f>H110*'STS Design Calcs'!$C$326</f>
        <v>416.97659642280797</v>
      </c>
      <c r="AI110" s="319">
        <f>H110*'STS Design Calcs'!$C$334</f>
        <v>416.97659642280797</v>
      </c>
      <c r="AJ110" s="321">
        <f>'STS Design Calcs'!$C$381*H110</f>
        <v>722227.53592600592</v>
      </c>
      <c r="AK110" s="321">
        <f>'STS Design Calcs'!$C$390*D110</f>
        <v>176677.45455344906</v>
      </c>
      <c r="AL110" s="322">
        <f t="shared" si="44"/>
        <v>898904.99047945498</v>
      </c>
    </row>
    <row r="111" spans="1:38" s="94" customFormat="1" ht="13" x14ac:dyDescent="0.3">
      <c r="A111" s="311" t="s">
        <v>374</v>
      </c>
      <c r="B111" s="312">
        <f>AVERAGE(B16:B110)</f>
        <v>423.05249154591252</v>
      </c>
      <c r="C111" s="312">
        <f t="shared" ref="C111:AL111" si="45">AVERAGE(C16:C110)</f>
        <v>309.98849333349045</v>
      </c>
      <c r="D111" s="312">
        <f t="shared" si="45"/>
        <v>619.56460962171695</v>
      </c>
      <c r="E111" s="312">
        <f t="shared" si="45"/>
        <v>45.408349831084017</v>
      </c>
      <c r="F111" s="312">
        <f t="shared" si="45"/>
        <v>346.95618138816201</v>
      </c>
      <c r="G111" s="312">
        <f t="shared" si="45"/>
        <v>272.60842823355625</v>
      </c>
      <c r="H111" s="312">
        <f t="shared" si="45"/>
        <v>656.94467472165252</v>
      </c>
      <c r="I111" s="312">
        <f t="shared" si="45"/>
        <v>505.8473995356722</v>
      </c>
      <c r="J111" s="312">
        <f t="shared" si="45"/>
        <v>151.09727518598024</v>
      </c>
      <c r="K111" s="312">
        <f t="shared" si="45"/>
        <v>151.10376824472115</v>
      </c>
      <c r="L111" s="312">
        <f t="shared" si="45"/>
        <v>733.04098487940234</v>
      </c>
      <c r="M111" s="312">
        <f t="shared" si="45"/>
        <v>2866.242105263158</v>
      </c>
      <c r="N111" s="312">
        <f t="shared" si="45"/>
        <v>1100</v>
      </c>
      <c r="O111" s="312">
        <f t="shared" si="45"/>
        <v>3636.3839657221251</v>
      </c>
      <c r="P111" s="312">
        <f t="shared" si="45"/>
        <v>1600</v>
      </c>
      <c r="Q111" s="312">
        <f t="shared" si="45"/>
        <v>1368.2351474963655</v>
      </c>
      <c r="R111" s="312">
        <f t="shared" si="45"/>
        <v>5948.8484673755129</v>
      </c>
      <c r="S111" s="312">
        <f t="shared" si="45"/>
        <v>375.70000000000022</v>
      </c>
      <c r="T111" s="312">
        <f t="shared" si="45"/>
        <v>54169.805612410062</v>
      </c>
      <c r="U111" s="312">
        <f t="shared" si="45"/>
        <v>54079.165048029354</v>
      </c>
      <c r="V111" s="312">
        <f t="shared" si="45"/>
        <v>108339.61122482012</v>
      </c>
      <c r="W111" s="312">
        <f>AVERAGE(W16:W110)</f>
        <v>14645.9104063183</v>
      </c>
      <c r="X111" s="312">
        <f t="shared" si="45"/>
        <v>11071.614053180336</v>
      </c>
      <c r="Y111" s="312">
        <f t="shared" si="45"/>
        <v>2020.5695647054044</v>
      </c>
      <c r="Z111" s="312">
        <f t="shared" si="45"/>
        <v>56.290440026643417</v>
      </c>
      <c r="AA111" s="312">
        <f t="shared" si="45"/>
        <v>10.273005304862409</v>
      </c>
      <c r="AB111" s="312">
        <f t="shared" si="45"/>
        <v>58.521300770468329</v>
      </c>
      <c r="AC111" s="312">
        <f t="shared" si="45"/>
        <v>10.680137390610492</v>
      </c>
      <c r="AD111" s="312">
        <f t="shared" si="45"/>
        <v>8643.6713499507841</v>
      </c>
      <c r="AE111" s="312">
        <f t="shared" si="45"/>
        <v>2881.2237833169265</v>
      </c>
      <c r="AF111" s="312">
        <f t="shared" si="45"/>
        <v>2787.3224056047279</v>
      </c>
      <c r="AG111" s="312">
        <f t="shared" si="45"/>
        <v>2787.3224056047279</v>
      </c>
      <c r="AH111" s="312">
        <f t="shared" si="45"/>
        <v>464.55373426745331</v>
      </c>
      <c r="AI111" s="312">
        <f t="shared" si="45"/>
        <v>464.55373426745331</v>
      </c>
      <c r="AJ111" s="312">
        <f t="shared" si="45"/>
        <v>804633.88517134485</v>
      </c>
      <c r="AK111" s="312">
        <f t="shared" si="45"/>
        <v>189684.98632556785</v>
      </c>
      <c r="AL111" s="312">
        <f t="shared" si="45"/>
        <v>994318.87149691232</v>
      </c>
    </row>
    <row r="112" spans="1:38" s="94" customFormat="1" ht="13" x14ac:dyDescent="0.3">
      <c r="A112" s="311" t="s">
        <v>375</v>
      </c>
      <c r="B112" s="312">
        <f>MAX(B16:B110)</f>
        <v>618.10494344562346</v>
      </c>
      <c r="C112" s="312">
        <f t="shared" ref="C112:AL112" si="46">MAX(C16:C110)</f>
        <v>783.55501249999998</v>
      </c>
      <c r="D112" s="312">
        <f t="shared" si="46"/>
        <v>1057.4182792207619</v>
      </c>
      <c r="E112" s="312">
        <f t="shared" si="46"/>
        <v>123.50834769768119</v>
      </c>
      <c r="F112" s="312">
        <f t="shared" si="46"/>
        <v>592.15423636362675</v>
      </c>
      <c r="G112" s="312">
        <f t="shared" si="46"/>
        <v>465.26404285713522</v>
      </c>
      <c r="H112" s="312">
        <f t="shared" si="46"/>
        <v>1375.7092488636267</v>
      </c>
      <c r="I112" s="312">
        <f t="shared" si="46"/>
        <v>1059.2961216249926</v>
      </c>
      <c r="J112" s="312">
        <f t="shared" si="46"/>
        <v>316.41312723863416</v>
      </c>
      <c r="K112" s="312">
        <f t="shared" si="46"/>
        <v>315.80498807745721</v>
      </c>
      <c r="L112" s="312">
        <f t="shared" si="46"/>
        <v>1401.6599559456236</v>
      </c>
      <c r="M112" s="312">
        <f t="shared" si="46"/>
        <v>7416</v>
      </c>
      <c r="N112" s="312">
        <f t="shared" si="46"/>
        <v>1100</v>
      </c>
      <c r="O112" s="312">
        <f t="shared" si="46"/>
        <v>6858.393508587802</v>
      </c>
      <c r="P112" s="312">
        <f t="shared" si="46"/>
        <v>1600</v>
      </c>
      <c r="Q112" s="312">
        <f t="shared" si="46"/>
        <v>1383.0409115560733</v>
      </c>
      <c r="R112" s="312">
        <f t="shared" si="46"/>
        <v>6013.2213545916238</v>
      </c>
      <c r="S112" s="312">
        <f t="shared" si="46"/>
        <v>375.70000000000005</v>
      </c>
      <c r="T112" s="312">
        <f t="shared" si="46"/>
        <v>147726.49994785944</v>
      </c>
      <c r="U112" s="312">
        <f t="shared" si="46"/>
        <v>147092.51370724879</v>
      </c>
      <c r="V112" s="312">
        <f t="shared" si="46"/>
        <v>295452.99989571888</v>
      </c>
      <c r="W112" s="312">
        <f t="shared" si="46"/>
        <v>39940.868504421254</v>
      </c>
      <c r="X112" s="312">
        <f t="shared" si="46"/>
        <v>29395.662507127967</v>
      </c>
      <c r="Y112" s="312">
        <f t="shared" si="46"/>
        <v>5364.7084075508537</v>
      </c>
      <c r="Z112" s="312">
        <f t="shared" si="46"/>
        <v>89.038238103249299</v>
      </c>
      <c r="AA112" s="312">
        <f t="shared" si="46"/>
        <v>16.249478453842997</v>
      </c>
      <c r="AB112" s="312">
        <f t="shared" si="46"/>
        <v>111.89956025898054</v>
      </c>
      <c r="AC112" s="312">
        <f t="shared" si="46"/>
        <v>20.421669747263948</v>
      </c>
      <c r="AD112" s="312">
        <f t="shared" si="46"/>
        <v>18100.730667012587</v>
      </c>
      <c r="AE112" s="312">
        <f t="shared" si="46"/>
        <v>6033.5768890041963</v>
      </c>
      <c r="AF112" s="312">
        <f t="shared" si="46"/>
        <v>5836.9378130356736</v>
      </c>
      <c r="AG112" s="312">
        <f t="shared" si="46"/>
        <v>5836.9378130356736</v>
      </c>
      <c r="AH112" s="312">
        <f t="shared" si="46"/>
        <v>972.82296883927893</v>
      </c>
      <c r="AI112" s="312">
        <f t="shared" si="46"/>
        <v>972.82296883927893</v>
      </c>
      <c r="AJ112" s="312">
        <f t="shared" si="46"/>
        <v>1684985.5404464686</v>
      </c>
      <c r="AK112" s="312">
        <f t="shared" si="46"/>
        <v>323737.61948226782</v>
      </c>
      <c r="AL112" s="312">
        <f t="shared" si="46"/>
        <v>2008723.1599287365</v>
      </c>
    </row>
    <row r="113" spans="1:35" s="94" customFormat="1" ht="13" x14ac:dyDescent="0.3">
      <c r="A113" s="117"/>
      <c r="B113" s="313"/>
      <c r="C113" s="313"/>
      <c r="D113" s="313"/>
      <c r="E113" s="313"/>
      <c r="F113" s="313"/>
      <c r="G113" s="313"/>
      <c r="H113" s="313"/>
      <c r="I113" s="313"/>
      <c r="J113" s="313"/>
      <c r="K113" s="313"/>
      <c r="L113" s="313"/>
      <c r="M113" s="313"/>
      <c r="N113" s="313"/>
      <c r="O113" s="313"/>
      <c r="P113" s="313"/>
      <c r="Q113" s="313"/>
      <c r="R113" s="313"/>
      <c r="S113" s="313"/>
      <c r="T113" s="314"/>
      <c r="U113" s="313"/>
      <c r="V113" s="313" t="s">
        <v>0</v>
      </c>
      <c r="W113" s="313"/>
      <c r="X113" s="313"/>
      <c r="Y113" s="313"/>
      <c r="Z113" s="313"/>
      <c r="AA113" s="313"/>
      <c r="AB113" s="313"/>
      <c r="AC113" s="313"/>
      <c r="AD113" s="313"/>
      <c r="AE113" s="313"/>
      <c r="AF113" s="313"/>
      <c r="AG113" s="313"/>
      <c r="AH113" s="313"/>
      <c r="AI113" s="313"/>
    </row>
    <row r="114" spans="1:35" s="94" customFormat="1" ht="13" x14ac:dyDescent="0.3">
      <c r="A114" s="117" t="s">
        <v>69</v>
      </c>
      <c r="B114" s="315"/>
      <c r="C114" s="315"/>
      <c r="D114" s="315"/>
      <c r="E114" s="315"/>
      <c r="F114" s="315"/>
      <c r="G114" s="315"/>
      <c r="H114" s="315"/>
      <c r="I114" s="315"/>
      <c r="J114" s="315"/>
      <c r="K114" s="315"/>
      <c r="L114" s="315"/>
      <c r="M114" s="315"/>
      <c r="N114" s="315"/>
      <c r="O114" s="315"/>
      <c r="P114" s="315"/>
      <c r="Q114" s="315"/>
      <c r="R114" s="315"/>
      <c r="S114" s="315"/>
      <c r="T114" s="315"/>
      <c r="U114" s="315"/>
      <c r="V114" s="314" t="s">
        <v>0</v>
      </c>
      <c r="W114" s="314"/>
      <c r="X114" s="314"/>
      <c r="Y114" s="314"/>
      <c r="Z114" s="316"/>
      <c r="AA114" s="318"/>
      <c r="AB114" s="316"/>
      <c r="AC114" s="316"/>
      <c r="AD114" s="316"/>
      <c r="AE114" s="316"/>
      <c r="AF114" s="316"/>
      <c r="AG114" s="316"/>
      <c r="AH114" s="316"/>
      <c r="AI114" s="316"/>
    </row>
    <row r="115" spans="1:35" s="94" customFormat="1" ht="12.5" x14ac:dyDescent="0.25">
      <c r="A115" s="94" t="s">
        <v>376</v>
      </c>
      <c r="W115" s="314"/>
      <c r="X115" s="314"/>
    </row>
    <row r="116" spans="1:35" s="94" customFormat="1" ht="12.5" x14ac:dyDescent="0.25">
      <c r="A116" s="94" t="s">
        <v>377</v>
      </c>
    </row>
    <row r="117" spans="1:35" s="94" customFormat="1" ht="12.5" x14ac:dyDescent="0.25">
      <c r="A117" s="94" t="s">
        <v>378</v>
      </c>
    </row>
    <row r="118" spans="1:35" s="94" customFormat="1" ht="12.5" x14ac:dyDescent="0.25">
      <c r="A118" s="94" t="s">
        <v>379</v>
      </c>
    </row>
    <row r="119" spans="1:35" s="94" customFormat="1" ht="12.5" x14ac:dyDescent="0.25"/>
    <row r="120" spans="1:35" s="94" customFormat="1" ht="13" x14ac:dyDescent="0.3">
      <c r="A120" s="288">
        <v>0.44</v>
      </c>
      <c r="B120" s="94" t="s">
        <v>380</v>
      </c>
      <c r="D120" s="317" t="s">
        <v>381</v>
      </c>
    </row>
    <row r="121" spans="1:35" s="94" customFormat="1" ht="12.5" x14ac:dyDescent="0.25">
      <c r="A121" s="288">
        <v>0.77</v>
      </c>
      <c r="B121" s="94" t="s">
        <v>382</v>
      </c>
    </row>
    <row r="122" spans="1:35" s="94" customFormat="1" ht="12.5" x14ac:dyDescent="0.25">
      <c r="A122" s="318">
        <f>1/(1-A121)</f>
        <v>4.3478260869565224</v>
      </c>
      <c r="B122" s="94" t="s">
        <v>383</v>
      </c>
    </row>
    <row r="123" spans="1:35" s="94" customFormat="1" ht="12.5" x14ac:dyDescent="0.25"/>
    <row r="124" spans="1:35" s="94" customFormat="1" ht="12.5" x14ac:dyDescent="0.25"/>
    <row r="125" spans="1:35" s="94" customFormat="1" ht="12.5" x14ac:dyDescent="0.25"/>
    <row r="126" spans="1:35" s="94" customFormat="1" ht="12.5" x14ac:dyDescent="0.25"/>
    <row r="127" spans="1:35" s="94" customFormat="1" ht="12.5" x14ac:dyDescent="0.25"/>
    <row r="128" spans="1:35" s="94" customFormat="1" ht="12.5" x14ac:dyDescent="0.25"/>
    <row r="129" s="94" customFormat="1" ht="12.5" x14ac:dyDescent="0.25"/>
    <row r="130" s="94" customFormat="1" ht="12.5" x14ac:dyDescent="0.25"/>
    <row r="131" s="94" customFormat="1" ht="12.5" x14ac:dyDescent="0.25"/>
    <row r="132" s="94" customFormat="1" ht="12.5" x14ac:dyDescent="0.25"/>
    <row r="133" s="94" customFormat="1" ht="12.5" x14ac:dyDescent="0.25"/>
    <row r="134" s="94" customFormat="1" ht="12.5" x14ac:dyDescent="0.25"/>
    <row r="135" s="94" customFormat="1" ht="12.5" x14ac:dyDescent="0.25"/>
  </sheetData>
  <mergeCells count="6">
    <mergeCell ref="AJ9:AL9"/>
    <mergeCell ref="A9:A10"/>
    <mergeCell ref="M9:S9"/>
    <mergeCell ref="B9:L9"/>
    <mergeCell ref="T9:W9"/>
    <mergeCell ref="X9:AI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3921-CA36-47A2-99DA-27CAEAEEEE65}">
  <sheetPr>
    <tabColor rgb="FF00B050"/>
  </sheetPr>
  <dimension ref="A1:T118"/>
  <sheetViews>
    <sheetView tabSelected="1" view="pageBreakPreview" zoomScale="85" zoomScaleNormal="100" zoomScaleSheetLayoutView="85" workbookViewId="0">
      <pane ySplit="10" topLeftCell="A63" activePane="bottomLeft" state="frozen"/>
      <selection activeCell="C46" sqref="C46"/>
      <selection pane="bottomLeft" activeCell="X98" sqref="X98"/>
    </sheetView>
  </sheetViews>
  <sheetFormatPr defaultColWidth="9.1796875" defaultRowHeight="12.5" x14ac:dyDescent="0.25"/>
  <cols>
    <col min="1" max="1" width="9.453125" style="94" customWidth="1"/>
    <col min="2" max="2" width="9.26953125" style="94" bestFit="1" customWidth="1"/>
    <col min="3" max="3" width="12" style="94" bestFit="1" customWidth="1"/>
    <col min="4" max="5" width="9.26953125" style="94" bestFit="1" customWidth="1"/>
    <col min="6" max="6" width="12" style="94" bestFit="1" customWidth="1"/>
    <col min="7" max="8" width="9.26953125" style="94" bestFit="1" customWidth="1"/>
    <col min="9" max="9" width="12" style="94" bestFit="1" customWidth="1"/>
    <col min="10" max="10" width="9.26953125" style="94" bestFit="1" customWidth="1"/>
    <col min="11" max="11" width="13.26953125" style="94" customWidth="1"/>
    <col min="12" max="12" width="9.26953125" style="94" bestFit="1" customWidth="1"/>
    <col min="13" max="13" width="0" style="94" hidden="1" customWidth="1"/>
    <col min="14" max="14" width="13.453125" style="94" hidden="1" customWidth="1"/>
    <col min="15" max="15" width="10" style="94" customWidth="1"/>
    <col min="16" max="16" width="12.81640625" style="94" bestFit="1" customWidth="1"/>
    <col min="17" max="16384" width="9.1796875" style="94"/>
  </cols>
  <sheetData>
    <row r="1" spans="1:20" x14ac:dyDescent="0.25">
      <c r="E1" s="98"/>
    </row>
    <row r="2" spans="1:20" x14ac:dyDescent="0.25">
      <c r="E2" s="98"/>
    </row>
    <row r="3" spans="1:20" ht="25.5" customHeight="1" x14ac:dyDescent="0.35">
      <c r="A3" s="3"/>
      <c r="B3" s="3"/>
      <c r="C3" s="3"/>
      <c r="F3" s="94" t="s">
        <v>0</v>
      </c>
      <c r="G3" s="286" t="s">
        <v>0</v>
      </c>
      <c r="H3" s="334"/>
      <c r="T3" s="112"/>
    </row>
    <row r="4" spans="1:20" ht="13" x14ac:dyDescent="0.3">
      <c r="A4" s="455" t="s">
        <v>1</v>
      </c>
      <c r="C4" s="125">
        <f>'2019 CCP Summary'!B4</f>
        <v>43536</v>
      </c>
      <c r="S4" s="5"/>
      <c r="T4" s="24"/>
    </row>
    <row r="5" spans="1:20" ht="13" x14ac:dyDescent="0.3">
      <c r="A5" s="456" t="s">
        <v>2</v>
      </c>
      <c r="C5" s="6" t="s">
        <v>3</v>
      </c>
      <c r="S5" s="5"/>
      <c r="T5" s="24"/>
    </row>
    <row r="6" spans="1:20" ht="13" x14ac:dyDescent="0.3">
      <c r="A6" s="456" t="s">
        <v>4</v>
      </c>
      <c r="C6" s="6" t="s">
        <v>384</v>
      </c>
      <c r="G6" s="5" t="s">
        <v>0</v>
      </c>
      <c r="H6" s="24" t="s">
        <v>0</v>
      </c>
    </row>
    <row r="7" spans="1:20" ht="13" x14ac:dyDescent="0.3">
      <c r="A7" s="455" t="s">
        <v>6</v>
      </c>
      <c r="C7" s="6" t="s">
        <v>7</v>
      </c>
      <c r="G7" s="538"/>
      <c r="H7" s="538"/>
    </row>
    <row r="9" spans="1:20" ht="32.25" customHeight="1" x14ac:dyDescent="0.3">
      <c r="A9" s="461" t="s">
        <v>52</v>
      </c>
      <c r="B9" s="583" t="s">
        <v>385</v>
      </c>
      <c r="C9" s="584"/>
      <c r="D9" s="585"/>
      <c r="E9" s="583" t="s">
        <v>386</v>
      </c>
      <c r="F9" s="584"/>
      <c r="G9" s="585"/>
      <c r="H9" s="583" t="s">
        <v>387</v>
      </c>
      <c r="I9" s="584"/>
      <c r="J9" s="585"/>
      <c r="K9" s="460" t="s">
        <v>388</v>
      </c>
      <c r="L9" s="581" t="s">
        <v>389</v>
      </c>
      <c r="M9" s="460" t="s">
        <v>390</v>
      </c>
      <c r="N9" s="460" t="s">
        <v>391</v>
      </c>
      <c r="O9" s="581" t="s">
        <v>392</v>
      </c>
      <c r="P9" s="581" t="s">
        <v>391</v>
      </c>
    </row>
    <row r="10" spans="1:20" ht="13" x14ac:dyDescent="0.3">
      <c r="A10" s="462"/>
      <c r="B10" s="279" t="s">
        <v>393</v>
      </c>
      <c r="C10" s="279" t="s">
        <v>394</v>
      </c>
      <c r="D10" s="279" t="s">
        <v>395</v>
      </c>
      <c r="E10" s="279" t="s">
        <v>393</v>
      </c>
      <c r="F10" s="279" t="s">
        <v>394</v>
      </c>
      <c r="G10" s="279" t="s">
        <v>395</v>
      </c>
      <c r="H10" s="279" t="s">
        <v>393</v>
      </c>
      <c r="I10" s="279" t="s">
        <v>394</v>
      </c>
      <c r="J10" s="279" t="s">
        <v>395</v>
      </c>
      <c r="K10" s="279" t="s">
        <v>396</v>
      </c>
      <c r="L10" s="582"/>
      <c r="M10" s="460"/>
      <c r="N10" s="460"/>
      <c r="O10" s="582" t="s">
        <v>52</v>
      </c>
      <c r="P10" s="582" t="s">
        <v>52</v>
      </c>
    </row>
    <row r="11" spans="1:20" hidden="1" x14ac:dyDescent="0.25">
      <c r="A11" s="113">
        <v>0</v>
      </c>
      <c r="B11" s="114">
        <v>0</v>
      </c>
      <c r="C11" s="114">
        <v>0</v>
      </c>
      <c r="D11" s="114">
        <v>0</v>
      </c>
      <c r="E11" s="114">
        <v>0</v>
      </c>
      <c r="F11" s="114">
        <v>0</v>
      </c>
      <c r="G11" s="114">
        <v>0</v>
      </c>
      <c r="H11" s="114">
        <v>0</v>
      </c>
      <c r="I11" s="114">
        <v>0</v>
      </c>
      <c r="J11" s="114">
        <v>0</v>
      </c>
      <c r="K11" s="114">
        <v>0</v>
      </c>
      <c r="L11" s="114">
        <f>(B11+E11+H11)*4+(C11+F11+I11)*2+(D11+G11+J11)*1+(K11*12)</f>
        <v>0</v>
      </c>
      <c r="M11" s="115"/>
      <c r="N11" s="115">
        <v>0</v>
      </c>
      <c r="O11" s="115"/>
      <c r="P11" s="115">
        <v>0</v>
      </c>
    </row>
    <row r="12" spans="1:20" x14ac:dyDescent="0.25">
      <c r="A12" s="113">
        <v>1</v>
      </c>
      <c r="B12" s="114">
        <v>7</v>
      </c>
      <c r="C12" s="114">
        <v>0</v>
      </c>
      <c r="D12" s="114">
        <v>0</v>
      </c>
      <c r="E12" s="114">
        <v>1</v>
      </c>
      <c r="F12" s="114">
        <v>0</v>
      </c>
      <c r="G12" s="114">
        <v>0</v>
      </c>
      <c r="H12" s="114">
        <v>0</v>
      </c>
      <c r="I12" s="114">
        <v>0</v>
      </c>
      <c r="J12" s="114">
        <v>0</v>
      </c>
      <c r="K12" s="114">
        <v>0</v>
      </c>
      <c r="L12" s="114">
        <f>(B12+E12+H12)*4+(C12+F12+I12)*2+(D12+G12+J12)*1+(K12*12)</f>
        <v>32</v>
      </c>
      <c r="M12" s="115">
        <v>47000</v>
      </c>
      <c r="N12" s="115">
        <f t="shared" ref="N12:N75" si="0">M12/L12</f>
        <v>1468.75</v>
      </c>
      <c r="O12" s="115">
        <f>'STS O&amp;M Input'!$C$24</f>
        <v>403</v>
      </c>
      <c r="P12" s="116">
        <f>$O$12*L12</f>
        <v>12896</v>
      </c>
    </row>
    <row r="13" spans="1:20" x14ac:dyDescent="0.25">
      <c r="A13" s="113">
        <v>2</v>
      </c>
      <c r="B13" s="114">
        <v>7</v>
      </c>
      <c r="C13" s="114">
        <v>0</v>
      </c>
      <c r="D13" s="114">
        <v>0</v>
      </c>
      <c r="E13" s="114">
        <v>1</v>
      </c>
      <c r="F13" s="114">
        <v>0</v>
      </c>
      <c r="G13" s="114">
        <v>0</v>
      </c>
      <c r="H13" s="114">
        <v>0</v>
      </c>
      <c r="I13" s="114">
        <v>0</v>
      </c>
      <c r="J13" s="114">
        <v>0</v>
      </c>
      <c r="K13" s="114">
        <v>0</v>
      </c>
      <c r="L13" s="114">
        <f t="shared" ref="L13:L76" si="1">(B13+E13+H13)*4+(C13+F13+I13)*2+(D13+G13+J13)*1+(K13*12)</f>
        <v>32</v>
      </c>
      <c r="M13" s="115"/>
      <c r="N13" s="115">
        <f t="shared" si="0"/>
        <v>0</v>
      </c>
      <c r="O13" s="115">
        <f>'STS O&amp;M Input'!$C$24</f>
        <v>403</v>
      </c>
      <c r="P13" s="116">
        <f t="shared" ref="P13:P76" si="2">$O$12*L13</f>
        <v>12896</v>
      </c>
    </row>
    <row r="14" spans="1:20" x14ac:dyDescent="0.25">
      <c r="A14" s="113">
        <v>3</v>
      </c>
      <c r="B14" s="114">
        <v>7</v>
      </c>
      <c r="C14" s="114">
        <v>0</v>
      </c>
      <c r="D14" s="114">
        <v>0</v>
      </c>
      <c r="E14" s="114">
        <v>1</v>
      </c>
      <c r="F14" s="114">
        <v>0</v>
      </c>
      <c r="G14" s="114">
        <v>0</v>
      </c>
      <c r="H14" s="114">
        <v>0</v>
      </c>
      <c r="I14" s="114">
        <v>0</v>
      </c>
      <c r="J14" s="114">
        <v>0</v>
      </c>
      <c r="K14" s="114">
        <v>0</v>
      </c>
      <c r="L14" s="114">
        <f t="shared" si="1"/>
        <v>32</v>
      </c>
      <c r="M14" s="115"/>
      <c r="N14" s="115">
        <f t="shared" si="0"/>
        <v>0</v>
      </c>
      <c r="O14" s="115">
        <f>'STS O&amp;M Input'!$C$24</f>
        <v>403</v>
      </c>
      <c r="P14" s="116">
        <f t="shared" si="2"/>
        <v>12896</v>
      </c>
    </row>
    <row r="15" spans="1:20" x14ac:dyDescent="0.25">
      <c r="A15" s="113">
        <v>4</v>
      </c>
      <c r="B15" s="114">
        <v>7</v>
      </c>
      <c r="C15" s="114">
        <v>0</v>
      </c>
      <c r="D15" s="113">
        <v>0</v>
      </c>
      <c r="E15" s="113">
        <v>1</v>
      </c>
      <c r="F15" s="113">
        <v>0</v>
      </c>
      <c r="G15" s="113">
        <v>0</v>
      </c>
      <c r="H15" s="114">
        <v>0</v>
      </c>
      <c r="I15" s="114">
        <v>0</v>
      </c>
      <c r="J15" s="114">
        <v>0</v>
      </c>
      <c r="K15" s="114">
        <v>0</v>
      </c>
      <c r="L15" s="114">
        <f t="shared" si="1"/>
        <v>32</v>
      </c>
      <c r="M15" s="115"/>
      <c r="N15" s="115">
        <f t="shared" si="0"/>
        <v>0</v>
      </c>
      <c r="O15" s="115">
        <f>'STS O&amp;M Input'!$C$24</f>
        <v>403</v>
      </c>
      <c r="P15" s="116">
        <f t="shared" si="2"/>
        <v>12896</v>
      </c>
    </row>
    <row r="16" spans="1:20" x14ac:dyDescent="0.25">
      <c r="A16" s="113">
        <v>5</v>
      </c>
      <c r="B16" s="114">
        <v>7</v>
      </c>
      <c r="C16" s="113">
        <v>0</v>
      </c>
      <c r="D16" s="113">
        <v>0</v>
      </c>
      <c r="E16" s="113">
        <v>1</v>
      </c>
      <c r="F16" s="113">
        <v>0</v>
      </c>
      <c r="G16" s="113">
        <v>0</v>
      </c>
      <c r="H16" s="114">
        <v>0</v>
      </c>
      <c r="I16" s="113">
        <v>0</v>
      </c>
      <c r="J16" s="113">
        <v>0</v>
      </c>
      <c r="K16" s="113">
        <v>0</v>
      </c>
      <c r="L16" s="114">
        <f t="shared" si="1"/>
        <v>32</v>
      </c>
      <c r="M16" s="115">
        <v>53000</v>
      </c>
      <c r="N16" s="115">
        <f t="shared" si="0"/>
        <v>1656.25</v>
      </c>
      <c r="O16" s="115">
        <f>'STS O&amp;M Input'!$C$24</f>
        <v>403</v>
      </c>
      <c r="P16" s="116">
        <f t="shared" si="2"/>
        <v>12896</v>
      </c>
    </row>
    <row r="17" spans="1:16" x14ac:dyDescent="0.25">
      <c r="A17" s="113">
        <v>6</v>
      </c>
      <c r="B17" s="114">
        <v>8</v>
      </c>
      <c r="C17" s="113">
        <v>0</v>
      </c>
      <c r="D17" s="114">
        <v>0</v>
      </c>
      <c r="E17" s="114">
        <v>12</v>
      </c>
      <c r="F17" s="114">
        <v>0</v>
      </c>
      <c r="G17" s="114">
        <v>0</v>
      </c>
      <c r="H17" s="114">
        <v>3</v>
      </c>
      <c r="I17" s="113">
        <v>0</v>
      </c>
      <c r="J17" s="113">
        <v>0</v>
      </c>
      <c r="K17" s="113">
        <v>2</v>
      </c>
      <c r="L17" s="114">
        <f t="shared" si="1"/>
        <v>116</v>
      </c>
      <c r="M17" s="115"/>
      <c r="N17" s="115">
        <f t="shared" si="0"/>
        <v>0</v>
      </c>
      <c r="O17" s="115">
        <f>'STS O&amp;M Input'!$C$24</f>
        <v>403</v>
      </c>
      <c r="P17" s="116">
        <f t="shared" si="2"/>
        <v>46748</v>
      </c>
    </row>
    <row r="18" spans="1:16" x14ac:dyDescent="0.25">
      <c r="A18" s="113">
        <v>7</v>
      </c>
      <c r="B18" s="114">
        <v>8</v>
      </c>
      <c r="C18" s="113">
        <v>0</v>
      </c>
      <c r="D18" s="114">
        <v>0</v>
      </c>
      <c r="E18" s="114">
        <v>12</v>
      </c>
      <c r="F18" s="114">
        <v>0</v>
      </c>
      <c r="G18" s="114">
        <v>0</v>
      </c>
      <c r="H18" s="114">
        <v>3</v>
      </c>
      <c r="I18" s="113">
        <v>0</v>
      </c>
      <c r="J18" s="113">
        <v>0</v>
      </c>
      <c r="K18" s="113">
        <v>2</v>
      </c>
      <c r="L18" s="114">
        <f t="shared" si="1"/>
        <v>116</v>
      </c>
      <c r="M18" s="115"/>
      <c r="N18" s="115">
        <f t="shared" si="0"/>
        <v>0</v>
      </c>
      <c r="O18" s="115">
        <f>'STS O&amp;M Input'!$C$24</f>
        <v>403</v>
      </c>
      <c r="P18" s="116">
        <f t="shared" si="2"/>
        <v>46748</v>
      </c>
    </row>
    <row r="19" spans="1:16" x14ac:dyDescent="0.25">
      <c r="A19" s="113">
        <v>8</v>
      </c>
      <c r="B19" s="114">
        <v>8</v>
      </c>
      <c r="C19" s="113">
        <v>0</v>
      </c>
      <c r="D19" s="114">
        <v>0</v>
      </c>
      <c r="E19" s="114">
        <v>12</v>
      </c>
      <c r="F19" s="114">
        <v>0</v>
      </c>
      <c r="G19" s="114">
        <v>0</v>
      </c>
      <c r="H19" s="114">
        <v>3</v>
      </c>
      <c r="I19" s="113">
        <v>0</v>
      </c>
      <c r="J19" s="113">
        <v>0</v>
      </c>
      <c r="K19" s="113">
        <v>2</v>
      </c>
      <c r="L19" s="114">
        <f t="shared" si="1"/>
        <v>116</v>
      </c>
      <c r="M19" s="115"/>
      <c r="N19" s="115">
        <f t="shared" si="0"/>
        <v>0</v>
      </c>
      <c r="O19" s="115">
        <f>'STS O&amp;M Input'!$C$24</f>
        <v>403</v>
      </c>
      <c r="P19" s="116">
        <f t="shared" si="2"/>
        <v>46748</v>
      </c>
    </row>
    <row r="20" spans="1:16" x14ac:dyDescent="0.25">
      <c r="A20" s="113">
        <v>9</v>
      </c>
      <c r="B20" s="114">
        <v>8</v>
      </c>
      <c r="C20" s="113">
        <v>0</v>
      </c>
      <c r="D20" s="114">
        <v>0</v>
      </c>
      <c r="E20" s="114">
        <v>12</v>
      </c>
      <c r="F20" s="114">
        <v>0</v>
      </c>
      <c r="G20" s="114">
        <v>0</v>
      </c>
      <c r="H20" s="113">
        <v>3</v>
      </c>
      <c r="I20" s="113">
        <v>0</v>
      </c>
      <c r="J20" s="113">
        <v>0</v>
      </c>
      <c r="K20" s="113">
        <v>2</v>
      </c>
      <c r="L20" s="114">
        <f t="shared" si="1"/>
        <v>116</v>
      </c>
      <c r="M20" s="115"/>
      <c r="N20" s="115">
        <f t="shared" si="0"/>
        <v>0</v>
      </c>
      <c r="O20" s="115">
        <f>'STS O&amp;M Input'!$C$24</f>
        <v>403</v>
      </c>
      <c r="P20" s="116">
        <f t="shared" si="2"/>
        <v>46748</v>
      </c>
    </row>
    <row r="21" spans="1:16" x14ac:dyDescent="0.25">
      <c r="A21" s="113">
        <v>10</v>
      </c>
      <c r="B21" s="114">
        <v>8</v>
      </c>
      <c r="C21" s="113">
        <v>0</v>
      </c>
      <c r="D21" s="114">
        <v>0</v>
      </c>
      <c r="E21" s="114">
        <v>12</v>
      </c>
      <c r="F21" s="114">
        <v>0</v>
      </c>
      <c r="G21" s="114">
        <v>0</v>
      </c>
      <c r="H21" s="113">
        <v>3</v>
      </c>
      <c r="I21" s="113">
        <v>0</v>
      </c>
      <c r="J21" s="113">
        <v>0</v>
      </c>
      <c r="K21" s="113">
        <v>2</v>
      </c>
      <c r="L21" s="114">
        <f t="shared" si="1"/>
        <v>116</v>
      </c>
      <c r="M21" s="115">
        <v>48000</v>
      </c>
      <c r="N21" s="115">
        <f t="shared" si="0"/>
        <v>413.79310344827587</v>
      </c>
      <c r="O21" s="115">
        <f>'STS O&amp;M Input'!$C$24</f>
        <v>403</v>
      </c>
      <c r="P21" s="116">
        <f t="shared" si="2"/>
        <v>46748</v>
      </c>
    </row>
    <row r="22" spans="1:16" x14ac:dyDescent="0.25">
      <c r="A22" s="113">
        <v>11</v>
      </c>
      <c r="B22" s="114">
        <v>8</v>
      </c>
      <c r="C22" s="113">
        <v>0</v>
      </c>
      <c r="D22" s="114">
        <v>0</v>
      </c>
      <c r="E22" s="114">
        <v>10</v>
      </c>
      <c r="F22" s="114">
        <v>0</v>
      </c>
      <c r="G22" s="114">
        <v>0</v>
      </c>
      <c r="H22" s="114">
        <v>3</v>
      </c>
      <c r="I22" s="113">
        <v>0</v>
      </c>
      <c r="J22" s="113">
        <v>0</v>
      </c>
      <c r="K22" s="113">
        <v>2</v>
      </c>
      <c r="L22" s="114">
        <f t="shared" si="1"/>
        <v>108</v>
      </c>
      <c r="M22" s="115"/>
      <c r="N22" s="115">
        <f t="shared" si="0"/>
        <v>0</v>
      </c>
      <c r="O22" s="115">
        <f>'STS O&amp;M Input'!$C$24</f>
        <v>403</v>
      </c>
      <c r="P22" s="116">
        <f t="shared" si="2"/>
        <v>43524</v>
      </c>
    </row>
    <row r="23" spans="1:16" x14ac:dyDescent="0.25">
      <c r="A23" s="113">
        <v>12</v>
      </c>
      <c r="B23" s="114">
        <v>8</v>
      </c>
      <c r="C23" s="113">
        <v>0</v>
      </c>
      <c r="D23" s="114">
        <v>0</v>
      </c>
      <c r="E23" s="114">
        <v>10</v>
      </c>
      <c r="F23" s="114">
        <v>0</v>
      </c>
      <c r="G23" s="114">
        <v>0</v>
      </c>
      <c r="H23" s="113">
        <v>3</v>
      </c>
      <c r="I23" s="113">
        <v>0</v>
      </c>
      <c r="J23" s="113">
        <v>0</v>
      </c>
      <c r="K23" s="113">
        <v>2</v>
      </c>
      <c r="L23" s="114">
        <f t="shared" si="1"/>
        <v>108</v>
      </c>
      <c r="M23" s="115"/>
      <c r="N23" s="115">
        <f t="shared" si="0"/>
        <v>0</v>
      </c>
      <c r="O23" s="115">
        <f>'STS O&amp;M Input'!$C$24</f>
        <v>403</v>
      </c>
      <c r="P23" s="116">
        <f t="shared" si="2"/>
        <v>43524</v>
      </c>
    </row>
    <row r="24" spans="1:16" x14ac:dyDescent="0.25">
      <c r="A24" s="113">
        <v>13</v>
      </c>
      <c r="B24" s="114">
        <v>0</v>
      </c>
      <c r="C24" s="114">
        <v>8</v>
      </c>
      <c r="D24" s="114">
        <v>0</v>
      </c>
      <c r="E24" s="113">
        <v>0</v>
      </c>
      <c r="F24" s="113">
        <v>10</v>
      </c>
      <c r="G24" s="113">
        <v>0</v>
      </c>
      <c r="H24" s="113">
        <v>0</v>
      </c>
      <c r="I24" s="114">
        <v>3</v>
      </c>
      <c r="J24" s="113">
        <v>0</v>
      </c>
      <c r="K24" s="113">
        <v>2</v>
      </c>
      <c r="L24" s="114">
        <f t="shared" si="1"/>
        <v>66</v>
      </c>
      <c r="M24" s="115"/>
      <c r="N24" s="115">
        <f t="shared" si="0"/>
        <v>0</v>
      </c>
      <c r="O24" s="115">
        <f>'STS O&amp;M Input'!$C$24</f>
        <v>403</v>
      </c>
      <c r="P24" s="116">
        <f t="shared" si="2"/>
        <v>26598</v>
      </c>
    </row>
    <row r="25" spans="1:16" x14ac:dyDescent="0.25">
      <c r="A25" s="113">
        <v>14</v>
      </c>
      <c r="B25" s="113">
        <v>0</v>
      </c>
      <c r="C25" s="114">
        <v>8</v>
      </c>
      <c r="D25" s="114">
        <v>0</v>
      </c>
      <c r="E25" s="113">
        <v>0</v>
      </c>
      <c r="F25" s="113">
        <v>10</v>
      </c>
      <c r="G25" s="113">
        <v>0</v>
      </c>
      <c r="H25" s="114">
        <v>0</v>
      </c>
      <c r="I25" s="114">
        <v>3</v>
      </c>
      <c r="J25" s="113">
        <v>0</v>
      </c>
      <c r="K25" s="113">
        <v>2</v>
      </c>
      <c r="L25" s="114">
        <f t="shared" si="1"/>
        <v>66</v>
      </c>
      <c r="M25" s="115"/>
      <c r="N25" s="115">
        <f t="shared" si="0"/>
        <v>0</v>
      </c>
      <c r="O25" s="115">
        <f>'STS O&amp;M Input'!$C$24</f>
        <v>403</v>
      </c>
      <c r="P25" s="116">
        <f t="shared" si="2"/>
        <v>26598</v>
      </c>
    </row>
    <row r="26" spans="1:16" x14ac:dyDescent="0.25">
      <c r="A26" s="113">
        <v>15</v>
      </c>
      <c r="B26" s="113">
        <v>0</v>
      </c>
      <c r="C26" s="114">
        <v>8</v>
      </c>
      <c r="D26" s="114">
        <v>0</v>
      </c>
      <c r="E26" s="114">
        <v>0</v>
      </c>
      <c r="F26" s="114">
        <v>10</v>
      </c>
      <c r="G26" s="114">
        <v>0</v>
      </c>
      <c r="H26" s="113">
        <v>0</v>
      </c>
      <c r="I26" s="114">
        <v>3</v>
      </c>
      <c r="J26" s="113">
        <v>0</v>
      </c>
      <c r="K26" s="113">
        <v>2</v>
      </c>
      <c r="L26" s="114">
        <f t="shared" si="1"/>
        <v>66</v>
      </c>
      <c r="M26" s="115">
        <v>31000</v>
      </c>
      <c r="N26" s="115">
        <f t="shared" si="0"/>
        <v>469.69696969696969</v>
      </c>
      <c r="O26" s="115">
        <f>'STS O&amp;M Input'!$C$24</f>
        <v>403</v>
      </c>
      <c r="P26" s="116">
        <f t="shared" si="2"/>
        <v>26598</v>
      </c>
    </row>
    <row r="27" spans="1:16" x14ac:dyDescent="0.25">
      <c r="A27" s="113">
        <v>16</v>
      </c>
      <c r="B27" s="113">
        <v>0</v>
      </c>
      <c r="C27" s="114">
        <v>8</v>
      </c>
      <c r="D27" s="114">
        <v>0</v>
      </c>
      <c r="E27" s="114">
        <v>0</v>
      </c>
      <c r="F27" s="114">
        <v>10</v>
      </c>
      <c r="G27" s="114">
        <v>0</v>
      </c>
      <c r="H27" s="113">
        <v>0</v>
      </c>
      <c r="I27" s="114">
        <v>3</v>
      </c>
      <c r="J27" s="113">
        <v>0</v>
      </c>
      <c r="K27" s="113">
        <v>2</v>
      </c>
      <c r="L27" s="114">
        <f t="shared" si="1"/>
        <v>66</v>
      </c>
      <c r="M27" s="115"/>
      <c r="N27" s="115">
        <f t="shared" si="0"/>
        <v>0</v>
      </c>
      <c r="O27" s="115">
        <f>'STS O&amp;M Input'!$C$24</f>
        <v>403</v>
      </c>
      <c r="P27" s="116">
        <f t="shared" si="2"/>
        <v>26598</v>
      </c>
    </row>
    <row r="28" spans="1:16" x14ac:dyDescent="0.25">
      <c r="A28" s="113">
        <v>17</v>
      </c>
      <c r="B28" s="113">
        <v>0</v>
      </c>
      <c r="C28" s="114">
        <v>8</v>
      </c>
      <c r="D28" s="114">
        <v>0</v>
      </c>
      <c r="E28" s="114">
        <v>0</v>
      </c>
      <c r="F28" s="114">
        <v>10</v>
      </c>
      <c r="G28" s="114">
        <v>0</v>
      </c>
      <c r="H28" s="114">
        <v>0</v>
      </c>
      <c r="I28" s="114">
        <v>3</v>
      </c>
      <c r="J28" s="113">
        <v>0</v>
      </c>
      <c r="K28" s="113">
        <v>2</v>
      </c>
      <c r="L28" s="114">
        <f t="shared" si="1"/>
        <v>66</v>
      </c>
      <c r="M28" s="115"/>
      <c r="N28" s="115">
        <f t="shared" si="0"/>
        <v>0</v>
      </c>
      <c r="O28" s="115">
        <f>'STS O&amp;M Input'!$C$24</f>
        <v>403</v>
      </c>
      <c r="P28" s="116">
        <f t="shared" si="2"/>
        <v>26598</v>
      </c>
    </row>
    <row r="29" spans="1:16" x14ac:dyDescent="0.25">
      <c r="A29" s="113">
        <v>18</v>
      </c>
      <c r="B29" s="114">
        <v>0</v>
      </c>
      <c r="C29" s="114">
        <v>8</v>
      </c>
      <c r="D29" s="114">
        <v>0</v>
      </c>
      <c r="E29" s="114">
        <v>0</v>
      </c>
      <c r="F29" s="114">
        <v>10</v>
      </c>
      <c r="G29" s="114">
        <v>0</v>
      </c>
      <c r="H29" s="113">
        <v>0</v>
      </c>
      <c r="I29" s="114">
        <v>3</v>
      </c>
      <c r="J29" s="113">
        <v>0</v>
      </c>
      <c r="K29" s="113">
        <v>2</v>
      </c>
      <c r="L29" s="114">
        <f t="shared" si="1"/>
        <v>66</v>
      </c>
      <c r="M29" s="115"/>
      <c r="N29" s="115">
        <f t="shared" si="0"/>
        <v>0</v>
      </c>
      <c r="O29" s="115">
        <f>'STS O&amp;M Input'!$C$24</f>
        <v>403</v>
      </c>
      <c r="P29" s="116">
        <f t="shared" si="2"/>
        <v>26598</v>
      </c>
    </row>
    <row r="30" spans="1:16" x14ac:dyDescent="0.25">
      <c r="A30" s="113">
        <v>19</v>
      </c>
      <c r="B30" s="114">
        <v>0</v>
      </c>
      <c r="C30" s="114">
        <v>8</v>
      </c>
      <c r="D30" s="114">
        <v>0</v>
      </c>
      <c r="E30" s="114">
        <v>0</v>
      </c>
      <c r="F30" s="114">
        <v>10</v>
      </c>
      <c r="G30" s="114">
        <v>0</v>
      </c>
      <c r="H30" s="113">
        <v>0</v>
      </c>
      <c r="I30" s="114">
        <v>3</v>
      </c>
      <c r="J30" s="113">
        <v>0</v>
      </c>
      <c r="K30" s="113">
        <v>2</v>
      </c>
      <c r="L30" s="114">
        <f t="shared" si="1"/>
        <v>66</v>
      </c>
      <c r="M30" s="115"/>
      <c r="N30" s="115">
        <f t="shared" si="0"/>
        <v>0</v>
      </c>
      <c r="O30" s="115">
        <f>'STS O&amp;M Input'!$C$24</f>
        <v>403</v>
      </c>
      <c r="P30" s="116">
        <f t="shared" si="2"/>
        <v>26598</v>
      </c>
    </row>
    <row r="31" spans="1:16" x14ac:dyDescent="0.25">
      <c r="A31" s="113">
        <v>20</v>
      </c>
      <c r="B31" s="114">
        <v>0</v>
      </c>
      <c r="C31" s="114">
        <v>8</v>
      </c>
      <c r="D31" s="114">
        <v>0</v>
      </c>
      <c r="E31" s="114">
        <v>0</v>
      </c>
      <c r="F31" s="114">
        <v>10</v>
      </c>
      <c r="G31" s="114">
        <v>0</v>
      </c>
      <c r="H31" s="114">
        <v>0</v>
      </c>
      <c r="I31" s="114">
        <v>3</v>
      </c>
      <c r="J31" s="113">
        <v>0</v>
      </c>
      <c r="K31" s="113">
        <v>2</v>
      </c>
      <c r="L31" s="114">
        <f t="shared" si="1"/>
        <v>66</v>
      </c>
      <c r="M31" s="115"/>
      <c r="N31" s="115">
        <f t="shared" si="0"/>
        <v>0</v>
      </c>
      <c r="O31" s="115">
        <f>'STS O&amp;M Input'!$C$24</f>
        <v>403</v>
      </c>
      <c r="P31" s="116">
        <f t="shared" si="2"/>
        <v>26598</v>
      </c>
    </row>
    <row r="32" spans="1:16" x14ac:dyDescent="0.25">
      <c r="A32" s="113">
        <v>21</v>
      </c>
      <c r="B32" s="114">
        <v>0</v>
      </c>
      <c r="C32" s="114">
        <v>8</v>
      </c>
      <c r="D32" s="114">
        <v>0</v>
      </c>
      <c r="E32" s="114">
        <v>0</v>
      </c>
      <c r="F32" s="114">
        <v>10</v>
      </c>
      <c r="G32" s="114">
        <v>0</v>
      </c>
      <c r="H32" s="113">
        <v>0</v>
      </c>
      <c r="I32" s="114">
        <v>3</v>
      </c>
      <c r="J32" s="113">
        <v>0</v>
      </c>
      <c r="K32" s="113">
        <v>2</v>
      </c>
      <c r="L32" s="114">
        <f t="shared" si="1"/>
        <v>66</v>
      </c>
      <c r="M32" s="115"/>
      <c r="N32" s="115">
        <f t="shared" si="0"/>
        <v>0</v>
      </c>
      <c r="O32" s="115">
        <f>'STS O&amp;M Input'!$C$24</f>
        <v>403</v>
      </c>
      <c r="P32" s="116">
        <f t="shared" si="2"/>
        <v>26598</v>
      </c>
    </row>
    <row r="33" spans="1:16" x14ac:dyDescent="0.25">
      <c r="A33" s="113">
        <v>22</v>
      </c>
      <c r="B33" s="114">
        <v>0</v>
      </c>
      <c r="C33" s="114">
        <v>8</v>
      </c>
      <c r="D33" s="114">
        <v>0</v>
      </c>
      <c r="E33" s="113">
        <v>0</v>
      </c>
      <c r="F33" s="114">
        <v>10</v>
      </c>
      <c r="G33" s="114">
        <v>0</v>
      </c>
      <c r="H33" s="113">
        <v>0</v>
      </c>
      <c r="I33" s="114">
        <v>3</v>
      </c>
      <c r="J33" s="113">
        <v>0</v>
      </c>
      <c r="K33" s="113">
        <v>2</v>
      </c>
      <c r="L33" s="114">
        <f t="shared" si="1"/>
        <v>66</v>
      </c>
      <c r="M33" s="115"/>
      <c r="N33" s="115">
        <f t="shared" si="0"/>
        <v>0</v>
      </c>
      <c r="O33" s="115">
        <f>'STS O&amp;M Input'!$C$24</f>
        <v>403</v>
      </c>
      <c r="P33" s="116">
        <f t="shared" si="2"/>
        <v>26598</v>
      </c>
    </row>
    <row r="34" spans="1:16" x14ac:dyDescent="0.25">
      <c r="A34" s="113">
        <v>23</v>
      </c>
      <c r="B34" s="113">
        <v>0</v>
      </c>
      <c r="C34" s="114">
        <v>8</v>
      </c>
      <c r="D34" s="114">
        <v>0</v>
      </c>
      <c r="E34" s="113">
        <v>0</v>
      </c>
      <c r="F34" s="114">
        <v>10</v>
      </c>
      <c r="G34" s="114">
        <v>0</v>
      </c>
      <c r="H34" s="114">
        <v>0</v>
      </c>
      <c r="I34" s="114">
        <v>3</v>
      </c>
      <c r="J34" s="113">
        <v>0</v>
      </c>
      <c r="K34" s="113">
        <v>2</v>
      </c>
      <c r="L34" s="114">
        <f t="shared" si="1"/>
        <v>66</v>
      </c>
      <c r="M34" s="115"/>
      <c r="N34" s="115">
        <f t="shared" si="0"/>
        <v>0</v>
      </c>
      <c r="O34" s="115">
        <f>'STS O&amp;M Input'!$C$24</f>
        <v>403</v>
      </c>
      <c r="P34" s="116">
        <f t="shared" si="2"/>
        <v>26598</v>
      </c>
    </row>
    <row r="35" spans="1:16" x14ac:dyDescent="0.25">
      <c r="A35" s="113">
        <v>24</v>
      </c>
      <c r="B35" s="113">
        <v>0</v>
      </c>
      <c r="C35" s="114">
        <v>8</v>
      </c>
      <c r="D35" s="114">
        <v>0</v>
      </c>
      <c r="E35" s="114">
        <v>0</v>
      </c>
      <c r="F35" s="114">
        <v>10</v>
      </c>
      <c r="G35" s="114">
        <v>0</v>
      </c>
      <c r="H35" s="113">
        <v>0</v>
      </c>
      <c r="I35" s="114">
        <v>3</v>
      </c>
      <c r="J35" s="113">
        <v>0</v>
      </c>
      <c r="K35" s="113">
        <v>2</v>
      </c>
      <c r="L35" s="114">
        <f t="shared" si="1"/>
        <v>66</v>
      </c>
      <c r="M35" s="115"/>
      <c r="N35" s="115">
        <f t="shared" si="0"/>
        <v>0</v>
      </c>
      <c r="O35" s="115">
        <f>'STS O&amp;M Input'!$C$24</f>
        <v>403</v>
      </c>
      <c r="P35" s="116">
        <f t="shared" si="2"/>
        <v>26598</v>
      </c>
    </row>
    <row r="36" spans="1:16" x14ac:dyDescent="0.25">
      <c r="A36" s="113">
        <v>25</v>
      </c>
      <c r="B36" s="113">
        <v>0</v>
      </c>
      <c r="C36" s="114">
        <v>8</v>
      </c>
      <c r="D36" s="114">
        <v>0</v>
      </c>
      <c r="E36" s="114">
        <v>0</v>
      </c>
      <c r="F36" s="114">
        <v>10</v>
      </c>
      <c r="G36" s="114">
        <v>0</v>
      </c>
      <c r="H36" s="113">
        <v>0</v>
      </c>
      <c r="I36" s="114">
        <v>3</v>
      </c>
      <c r="J36" s="113">
        <v>0</v>
      </c>
      <c r="K36" s="113">
        <v>2</v>
      </c>
      <c r="L36" s="114">
        <f t="shared" si="1"/>
        <v>66</v>
      </c>
      <c r="M36" s="115">
        <v>18000</v>
      </c>
      <c r="N36" s="115">
        <f t="shared" si="0"/>
        <v>272.72727272727275</v>
      </c>
      <c r="O36" s="115">
        <f>'STS O&amp;M Input'!$C$24</f>
        <v>403</v>
      </c>
      <c r="P36" s="116">
        <f t="shared" si="2"/>
        <v>26598</v>
      </c>
    </row>
    <row r="37" spans="1:16" x14ac:dyDescent="0.25">
      <c r="A37" s="113">
        <v>26</v>
      </c>
      <c r="B37" s="113">
        <v>0</v>
      </c>
      <c r="C37" s="114">
        <v>8</v>
      </c>
      <c r="D37" s="114">
        <v>0</v>
      </c>
      <c r="E37" s="114">
        <v>0</v>
      </c>
      <c r="F37" s="114">
        <v>10</v>
      </c>
      <c r="G37" s="114">
        <v>0</v>
      </c>
      <c r="H37" s="114">
        <v>0</v>
      </c>
      <c r="I37" s="114">
        <v>3</v>
      </c>
      <c r="J37" s="113">
        <v>0</v>
      </c>
      <c r="K37" s="113">
        <v>2</v>
      </c>
      <c r="L37" s="114">
        <f t="shared" si="1"/>
        <v>66</v>
      </c>
      <c r="M37" s="115"/>
      <c r="N37" s="115">
        <f t="shared" si="0"/>
        <v>0</v>
      </c>
      <c r="O37" s="115">
        <f>'STS O&amp;M Input'!$C$24</f>
        <v>403</v>
      </c>
      <c r="P37" s="116">
        <f t="shared" si="2"/>
        <v>26598</v>
      </c>
    </row>
    <row r="38" spans="1:16" x14ac:dyDescent="0.25">
      <c r="A38" s="113">
        <v>27</v>
      </c>
      <c r="B38" s="114">
        <v>0</v>
      </c>
      <c r="C38" s="114">
        <v>8</v>
      </c>
      <c r="D38" s="114">
        <v>0</v>
      </c>
      <c r="E38" s="114">
        <v>0</v>
      </c>
      <c r="F38" s="114">
        <v>10</v>
      </c>
      <c r="G38" s="114">
        <v>0</v>
      </c>
      <c r="H38" s="113">
        <v>0</v>
      </c>
      <c r="I38" s="114">
        <v>3</v>
      </c>
      <c r="J38" s="113">
        <v>0</v>
      </c>
      <c r="K38" s="113">
        <v>2</v>
      </c>
      <c r="L38" s="114">
        <f t="shared" si="1"/>
        <v>66</v>
      </c>
      <c r="M38" s="115"/>
      <c r="N38" s="115">
        <f t="shared" si="0"/>
        <v>0</v>
      </c>
      <c r="O38" s="115">
        <f>'STS O&amp;M Input'!$C$24</f>
        <v>403</v>
      </c>
      <c r="P38" s="116">
        <f t="shared" si="2"/>
        <v>26598</v>
      </c>
    </row>
    <row r="39" spans="1:16" x14ac:dyDescent="0.25">
      <c r="A39" s="113">
        <v>28</v>
      </c>
      <c r="B39" s="114">
        <v>0</v>
      </c>
      <c r="C39" s="114">
        <v>8</v>
      </c>
      <c r="D39" s="114">
        <v>0</v>
      </c>
      <c r="E39" s="114">
        <v>0</v>
      </c>
      <c r="F39" s="114">
        <v>10</v>
      </c>
      <c r="G39" s="114">
        <v>0</v>
      </c>
      <c r="H39" s="113">
        <v>0</v>
      </c>
      <c r="I39" s="114">
        <v>3</v>
      </c>
      <c r="J39" s="113">
        <v>0</v>
      </c>
      <c r="K39" s="113">
        <v>2</v>
      </c>
      <c r="L39" s="114">
        <f t="shared" si="1"/>
        <v>66</v>
      </c>
      <c r="M39" s="115"/>
      <c r="N39" s="115">
        <f t="shared" si="0"/>
        <v>0</v>
      </c>
      <c r="O39" s="115">
        <f>'STS O&amp;M Input'!$C$24</f>
        <v>403</v>
      </c>
      <c r="P39" s="116">
        <f t="shared" si="2"/>
        <v>26598</v>
      </c>
    </row>
    <row r="40" spans="1:16" x14ac:dyDescent="0.25">
      <c r="A40" s="113">
        <v>29</v>
      </c>
      <c r="B40" s="114">
        <v>0</v>
      </c>
      <c r="C40" s="114">
        <v>8</v>
      </c>
      <c r="D40" s="114">
        <v>0</v>
      </c>
      <c r="E40" s="114">
        <v>0</v>
      </c>
      <c r="F40" s="114">
        <v>10</v>
      </c>
      <c r="G40" s="114">
        <v>0</v>
      </c>
      <c r="H40" s="114">
        <v>0</v>
      </c>
      <c r="I40" s="114">
        <v>3</v>
      </c>
      <c r="J40" s="113">
        <v>0</v>
      </c>
      <c r="K40" s="113">
        <v>2</v>
      </c>
      <c r="L40" s="114">
        <f t="shared" si="1"/>
        <v>66</v>
      </c>
      <c r="M40" s="115"/>
      <c r="N40" s="115">
        <f t="shared" si="0"/>
        <v>0</v>
      </c>
      <c r="O40" s="115">
        <f>'STS O&amp;M Input'!$C$24</f>
        <v>403</v>
      </c>
      <c r="P40" s="116">
        <f t="shared" si="2"/>
        <v>26598</v>
      </c>
    </row>
    <row r="41" spans="1:16" x14ac:dyDescent="0.25">
      <c r="A41" s="113">
        <v>30</v>
      </c>
      <c r="B41" s="114">
        <v>0</v>
      </c>
      <c r="C41" s="114">
        <v>8</v>
      </c>
      <c r="D41" s="114">
        <v>0</v>
      </c>
      <c r="E41" s="114">
        <v>0</v>
      </c>
      <c r="F41" s="114">
        <v>10</v>
      </c>
      <c r="G41" s="114">
        <v>0</v>
      </c>
      <c r="H41" s="113">
        <v>0</v>
      </c>
      <c r="I41" s="114">
        <v>3</v>
      </c>
      <c r="J41" s="113">
        <v>0</v>
      </c>
      <c r="K41" s="113">
        <v>2</v>
      </c>
      <c r="L41" s="114">
        <f t="shared" si="1"/>
        <v>66</v>
      </c>
      <c r="M41" s="115"/>
      <c r="N41" s="115">
        <f t="shared" si="0"/>
        <v>0</v>
      </c>
      <c r="O41" s="115">
        <f>'STS O&amp;M Input'!$C$24</f>
        <v>403</v>
      </c>
      <c r="P41" s="116">
        <f t="shared" si="2"/>
        <v>26598</v>
      </c>
    </row>
    <row r="42" spans="1:16" x14ac:dyDescent="0.25">
      <c r="A42" s="113">
        <v>31</v>
      </c>
      <c r="B42" s="114">
        <v>0</v>
      </c>
      <c r="C42" s="114">
        <v>8</v>
      </c>
      <c r="D42" s="114">
        <v>0</v>
      </c>
      <c r="E42" s="113">
        <v>0</v>
      </c>
      <c r="F42" s="114">
        <v>10</v>
      </c>
      <c r="G42" s="114">
        <v>0</v>
      </c>
      <c r="H42" s="113">
        <v>0</v>
      </c>
      <c r="I42" s="114">
        <v>3</v>
      </c>
      <c r="J42" s="113">
        <v>0</v>
      </c>
      <c r="K42" s="113">
        <v>2</v>
      </c>
      <c r="L42" s="114">
        <f t="shared" si="1"/>
        <v>66</v>
      </c>
      <c r="M42" s="115"/>
      <c r="N42" s="115">
        <f t="shared" si="0"/>
        <v>0</v>
      </c>
      <c r="O42" s="115">
        <f>'STS O&amp;M Input'!$C$24</f>
        <v>403</v>
      </c>
      <c r="P42" s="116">
        <f t="shared" si="2"/>
        <v>26598</v>
      </c>
    </row>
    <row r="43" spans="1:16" x14ac:dyDescent="0.25">
      <c r="A43" s="113">
        <v>32</v>
      </c>
      <c r="B43" s="113">
        <v>0</v>
      </c>
      <c r="C43" s="114">
        <v>8</v>
      </c>
      <c r="D43" s="114">
        <v>0</v>
      </c>
      <c r="E43" s="113">
        <v>0</v>
      </c>
      <c r="F43" s="114">
        <v>10</v>
      </c>
      <c r="G43" s="114">
        <v>0</v>
      </c>
      <c r="H43" s="114">
        <v>0</v>
      </c>
      <c r="I43" s="114">
        <v>3</v>
      </c>
      <c r="J43" s="113">
        <v>0</v>
      </c>
      <c r="K43" s="113">
        <v>2</v>
      </c>
      <c r="L43" s="114">
        <f t="shared" si="1"/>
        <v>66</v>
      </c>
      <c r="M43" s="115">
        <v>18000</v>
      </c>
      <c r="N43" s="115">
        <f t="shared" si="0"/>
        <v>272.72727272727275</v>
      </c>
      <c r="O43" s="115">
        <f>'STS O&amp;M Input'!$C$24</f>
        <v>403</v>
      </c>
      <c r="P43" s="116">
        <f t="shared" si="2"/>
        <v>26598</v>
      </c>
    </row>
    <row r="44" spans="1:16" x14ac:dyDescent="0.25">
      <c r="A44" s="113">
        <v>33</v>
      </c>
      <c r="B44" s="113">
        <v>0</v>
      </c>
      <c r="C44" s="114">
        <v>0</v>
      </c>
      <c r="D44" s="114">
        <v>8</v>
      </c>
      <c r="E44" s="114">
        <v>0</v>
      </c>
      <c r="F44" s="114">
        <v>0</v>
      </c>
      <c r="G44" s="114">
        <v>10</v>
      </c>
      <c r="H44" s="113">
        <v>0</v>
      </c>
      <c r="I44" s="114">
        <v>0</v>
      </c>
      <c r="J44" s="113">
        <v>3</v>
      </c>
      <c r="K44" s="113">
        <v>2</v>
      </c>
      <c r="L44" s="114">
        <f t="shared" si="1"/>
        <v>45</v>
      </c>
      <c r="M44" s="115"/>
      <c r="N44" s="115">
        <f t="shared" si="0"/>
        <v>0</v>
      </c>
      <c r="O44" s="115">
        <f>'STS O&amp;M Input'!$C$24</f>
        <v>403</v>
      </c>
      <c r="P44" s="116">
        <f t="shared" si="2"/>
        <v>18135</v>
      </c>
    </row>
    <row r="45" spans="1:16" x14ac:dyDescent="0.25">
      <c r="A45" s="113">
        <v>34</v>
      </c>
      <c r="B45" s="113">
        <v>0</v>
      </c>
      <c r="C45" s="114">
        <v>0</v>
      </c>
      <c r="D45" s="114">
        <v>8</v>
      </c>
      <c r="E45" s="114">
        <v>0</v>
      </c>
      <c r="F45" s="114">
        <v>0</v>
      </c>
      <c r="G45" s="114">
        <v>10</v>
      </c>
      <c r="H45" s="113">
        <v>0</v>
      </c>
      <c r="I45" s="114">
        <v>0</v>
      </c>
      <c r="J45" s="113">
        <v>3</v>
      </c>
      <c r="K45" s="113">
        <v>2</v>
      </c>
      <c r="L45" s="114">
        <f t="shared" si="1"/>
        <v>45</v>
      </c>
      <c r="M45" s="115"/>
      <c r="N45" s="115">
        <f t="shared" si="0"/>
        <v>0</v>
      </c>
      <c r="O45" s="115">
        <f>'STS O&amp;M Input'!$C$24</f>
        <v>403</v>
      </c>
      <c r="P45" s="116">
        <f t="shared" si="2"/>
        <v>18135</v>
      </c>
    </row>
    <row r="46" spans="1:16" x14ac:dyDescent="0.25">
      <c r="A46" s="113">
        <v>35</v>
      </c>
      <c r="B46" s="113">
        <v>0</v>
      </c>
      <c r="C46" s="113">
        <v>0</v>
      </c>
      <c r="D46" s="114">
        <v>8</v>
      </c>
      <c r="E46" s="114">
        <v>0</v>
      </c>
      <c r="F46" s="114">
        <v>0</v>
      </c>
      <c r="G46" s="114">
        <v>10</v>
      </c>
      <c r="H46" s="114">
        <v>0</v>
      </c>
      <c r="I46" s="114">
        <v>0</v>
      </c>
      <c r="J46" s="113">
        <v>3</v>
      </c>
      <c r="K46" s="113">
        <v>2</v>
      </c>
      <c r="L46" s="114">
        <f t="shared" si="1"/>
        <v>45</v>
      </c>
      <c r="M46" s="115"/>
      <c r="N46" s="115">
        <f t="shared" si="0"/>
        <v>0</v>
      </c>
      <c r="O46" s="115">
        <f>'STS O&amp;M Input'!$C$24</f>
        <v>403</v>
      </c>
      <c r="P46" s="116">
        <f t="shared" si="2"/>
        <v>18135</v>
      </c>
    </row>
    <row r="47" spans="1:16" x14ac:dyDescent="0.25">
      <c r="A47" s="113">
        <v>36</v>
      </c>
      <c r="B47" s="114">
        <v>0</v>
      </c>
      <c r="C47" s="113">
        <v>0</v>
      </c>
      <c r="D47" s="114">
        <v>8</v>
      </c>
      <c r="E47" s="114">
        <v>0</v>
      </c>
      <c r="F47" s="114">
        <v>0</v>
      </c>
      <c r="G47" s="114">
        <v>10</v>
      </c>
      <c r="H47" s="113">
        <v>0</v>
      </c>
      <c r="I47" s="114">
        <v>0</v>
      </c>
      <c r="J47" s="113">
        <v>3</v>
      </c>
      <c r="K47" s="113">
        <v>2</v>
      </c>
      <c r="L47" s="114">
        <f t="shared" si="1"/>
        <v>45</v>
      </c>
      <c r="M47" s="115"/>
      <c r="N47" s="115">
        <f t="shared" si="0"/>
        <v>0</v>
      </c>
      <c r="O47" s="115">
        <f>'STS O&amp;M Input'!$C$24</f>
        <v>403</v>
      </c>
      <c r="P47" s="116">
        <f t="shared" si="2"/>
        <v>18135</v>
      </c>
    </row>
    <row r="48" spans="1:16" x14ac:dyDescent="0.25">
      <c r="A48" s="113">
        <v>37</v>
      </c>
      <c r="B48" s="114">
        <v>0</v>
      </c>
      <c r="C48" s="114">
        <v>0</v>
      </c>
      <c r="D48" s="114">
        <v>8</v>
      </c>
      <c r="E48" s="114">
        <v>0</v>
      </c>
      <c r="F48" s="114">
        <v>0</v>
      </c>
      <c r="G48" s="114">
        <v>10</v>
      </c>
      <c r="H48" s="113">
        <v>0</v>
      </c>
      <c r="I48" s="114">
        <v>0</v>
      </c>
      <c r="J48" s="113">
        <v>3</v>
      </c>
      <c r="K48" s="113">
        <v>2</v>
      </c>
      <c r="L48" s="114">
        <f t="shared" si="1"/>
        <v>45</v>
      </c>
      <c r="M48" s="115"/>
      <c r="N48" s="115">
        <f t="shared" si="0"/>
        <v>0</v>
      </c>
      <c r="O48" s="115">
        <f>'STS O&amp;M Input'!$C$24</f>
        <v>403</v>
      </c>
      <c r="P48" s="116">
        <f t="shared" si="2"/>
        <v>18135</v>
      </c>
    </row>
    <row r="49" spans="1:16" x14ac:dyDescent="0.25">
      <c r="A49" s="113">
        <v>38</v>
      </c>
      <c r="B49" s="114">
        <v>0</v>
      </c>
      <c r="C49" s="114">
        <v>0</v>
      </c>
      <c r="D49" s="114">
        <v>8</v>
      </c>
      <c r="E49" s="114">
        <v>0</v>
      </c>
      <c r="F49" s="114">
        <v>0</v>
      </c>
      <c r="G49" s="114">
        <v>10</v>
      </c>
      <c r="H49" s="114">
        <v>0</v>
      </c>
      <c r="I49" s="114">
        <v>0</v>
      </c>
      <c r="J49" s="113">
        <v>3</v>
      </c>
      <c r="K49" s="113">
        <v>2</v>
      </c>
      <c r="L49" s="114">
        <f t="shared" si="1"/>
        <v>45</v>
      </c>
      <c r="M49" s="115"/>
      <c r="N49" s="115">
        <f t="shared" si="0"/>
        <v>0</v>
      </c>
      <c r="O49" s="115">
        <f>'STS O&amp;M Input'!$C$24</f>
        <v>403</v>
      </c>
      <c r="P49" s="116">
        <f t="shared" si="2"/>
        <v>18135</v>
      </c>
    </row>
    <row r="50" spans="1:16" x14ac:dyDescent="0.25">
      <c r="A50" s="113">
        <v>39</v>
      </c>
      <c r="B50" s="114">
        <v>0</v>
      </c>
      <c r="C50" s="114">
        <v>0</v>
      </c>
      <c r="D50" s="114">
        <v>8</v>
      </c>
      <c r="E50" s="114">
        <v>0</v>
      </c>
      <c r="F50" s="114">
        <v>0</v>
      </c>
      <c r="G50" s="114">
        <v>10</v>
      </c>
      <c r="H50" s="113">
        <v>0</v>
      </c>
      <c r="I50" s="114">
        <v>0</v>
      </c>
      <c r="J50" s="113">
        <v>3</v>
      </c>
      <c r="K50" s="113">
        <v>2</v>
      </c>
      <c r="L50" s="114">
        <f t="shared" si="1"/>
        <v>45</v>
      </c>
      <c r="M50" s="115"/>
      <c r="N50" s="115">
        <f t="shared" si="0"/>
        <v>0</v>
      </c>
      <c r="O50" s="115">
        <f>'STS O&amp;M Input'!$C$24</f>
        <v>403</v>
      </c>
      <c r="P50" s="116">
        <f t="shared" si="2"/>
        <v>18135</v>
      </c>
    </row>
    <row r="51" spans="1:16" x14ac:dyDescent="0.25">
      <c r="A51" s="113">
        <v>40</v>
      </c>
      <c r="B51" s="114">
        <v>0</v>
      </c>
      <c r="C51" s="114">
        <v>0</v>
      </c>
      <c r="D51" s="114">
        <v>8</v>
      </c>
      <c r="E51" s="113"/>
      <c r="F51" s="113"/>
      <c r="G51" s="114">
        <v>10</v>
      </c>
      <c r="H51" s="113">
        <v>0</v>
      </c>
      <c r="I51" s="114">
        <v>0</v>
      </c>
      <c r="J51" s="113">
        <v>3</v>
      </c>
      <c r="K51" s="113">
        <v>2</v>
      </c>
      <c r="L51" s="114">
        <f t="shared" si="1"/>
        <v>45</v>
      </c>
      <c r="M51" s="115">
        <v>18000</v>
      </c>
      <c r="N51" s="115">
        <f t="shared" si="0"/>
        <v>400</v>
      </c>
      <c r="O51" s="115">
        <f>'STS O&amp;M Input'!$C$24</f>
        <v>403</v>
      </c>
      <c r="P51" s="116">
        <f t="shared" si="2"/>
        <v>18135</v>
      </c>
    </row>
    <row r="52" spans="1:16" x14ac:dyDescent="0.25">
      <c r="A52" s="113">
        <v>41</v>
      </c>
      <c r="B52" s="113">
        <v>0</v>
      </c>
      <c r="C52" s="113">
        <v>0</v>
      </c>
      <c r="D52" s="114">
        <v>8</v>
      </c>
      <c r="E52" s="113"/>
      <c r="F52" s="113"/>
      <c r="G52" s="114">
        <v>10</v>
      </c>
      <c r="H52" s="114">
        <v>0</v>
      </c>
      <c r="I52" s="114">
        <v>0</v>
      </c>
      <c r="J52" s="113">
        <v>3</v>
      </c>
      <c r="K52" s="113">
        <v>2</v>
      </c>
      <c r="L52" s="114">
        <f t="shared" si="1"/>
        <v>45</v>
      </c>
      <c r="M52" s="115"/>
      <c r="N52" s="115">
        <f t="shared" si="0"/>
        <v>0</v>
      </c>
      <c r="O52" s="115">
        <f>'STS O&amp;M Input'!$C$24</f>
        <v>403</v>
      </c>
      <c r="P52" s="116">
        <f t="shared" si="2"/>
        <v>18135</v>
      </c>
    </row>
    <row r="53" spans="1:16" x14ac:dyDescent="0.25">
      <c r="A53" s="113">
        <v>42</v>
      </c>
      <c r="B53" s="113">
        <v>0</v>
      </c>
      <c r="C53" s="113">
        <v>0</v>
      </c>
      <c r="D53" s="114">
        <v>8</v>
      </c>
      <c r="E53" s="113"/>
      <c r="F53" s="113"/>
      <c r="G53" s="114">
        <v>10</v>
      </c>
      <c r="H53" s="113">
        <v>0</v>
      </c>
      <c r="I53" s="114">
        <v>0</v>
      </c>
      <c r="J53" s="113">
        <v>3</v>
      </c>
      <c r="K53" s="113">
        <v>2</v>
      </c>
      <c r="L53" s="114">
        <f t="shared" si="1"/>
        <v>45</v>
      </c>
      <c r="M53" s="115"/>
      <c r="N53" s="115">
        <f t="shared" si="0"/>
        <v>0</v>
      </c>
      <c r="O53" s="115">
        <f>'STS O&amp;M Input'!$C$24</f>
        <v>403</v>
      </c>
      <c r="P53" s="116">
        <f t="shared" si="2"/>
        <v>18135</v>
      </c>
    </row>
    <row r="54" spans="1:16" x14ac:dyDescent="0.25">
      <c r="A54" s="113">
        <v>43</v>
      </c>
      <c r="B54" s="113">
        <v>0</v>
      </c>
      <c r="C54" s="114">
        <v>0</v>
      </c>
      <c r="D54" s="114">
        <v>8</v>
      </c>
      <c r="E54" s="113"/>
      <c r="F54" s="113"/>
      <c r="G54" s="114">
        <v>10</v>
      </c>
      <c r="H54" s="113">
        <v>0</v>
      </c>
      <c r="I54" s="114">
        <v>0</v>
      </c>
      <c r="J54" s="113">
        <v>3</v>
      </c>
      <c r="K54" s="113">
        <v>2</v>
      </c>
      <c r="L54" s="114">
        <f t="shared" si="1"/>
        <v>45</v>
      </c>
      <c r="M54" s="115"/>
      <c r="N54" s="115">
        <f t="shared" si="0"/>
        <v>0</v>
      </c>
      <c r="O54" s="115">
        <f>'STS O&amp;M Input'!$C$24</f>
        <v>403</v>
      </c>
      <c r="P54" s="116">
        <f t="shared" si="2"/>
        <v>18135</v>
      </c>
    </row>
    <row r="55" spans="1:16" x14ac:dyDescent="0.25">
      <c r="A55" s="113">
        <v>44</v>
      </c>
      <c r="B55" s="113">
        <v>0</v>
      </c>
      <c r="C55" s="114">
        <v>0</v>
      </c>
      <c r="D55" s="114">
        <v>8</v>
      </c>
      <c r="E55" s="113"/>
      <c r="F55" s="113"/>
      <c r="G55" s="114">
        <v>10</v>
      </c>
      <c r="H55" s="114">
        <v>0</v>
      </c>
      <c r="I55" s="114">
        <v>0</v>
      </c>
      <c r="J55" s="113">
        <v>3</v>
      </c>
      <c r="K55" s="113">
        <v>2</v>
      </c>
      <c r="L55" s="114">
        <f t="shared" si="1"/>
        <v>45</v>
      </c>
      <c r="M55" s="115"/>
      <c r="N55" s="115">
        <f t="shared" si="0"/>
        <v>0</v>
      </c>
      <c r="O55" s="115">
        <f>'STS O&amp;M Input'!$C$24</f>
        <v>403</v>
      </c>
      <c r="P55" s="116">
        <f t="shared" si="2"/>
        <v>18135</v>
      </c>
    </row>
    <row r="56" spans="1:16" x14ac:dyDescent="0.25">
      <c r="A56" s="113">
        <v>45</v>
      </c>
      <c r="B56" s="114">
        <v>0</v>
      </c>
      <c r="C56" s="114">
        <v>0</v>
      </c>
      <c r="D56" s="114">
        <v>8</v>
      </c>
      <c r="E56" s="113"/>
      <c r="F56" s="113"/>
      <c r="G56" s="114">
        <v>10</v>
      </c>
      <c r="H56" s="113">
        <v>0</v>
      </c>
      <c r="I56" s="114">
        <v>0</v>
      </c>
      <c r="J56" s="113">
        <v>3</v>
      </c>
      <c r="K56" s="113">
        <v>2</v>
      </c>
      <c r="L56" s="114">
        <f t="shared" si="1"/>
        <v>45</v>
      </c>
      <c r="M56" s="115"/>
      <c r="N56" s="115">
        <f t="shared" si="0"/>
        <v>0</v>
      </c>
      <c r="O56" s="115">
        <f>'STS O&amp;M Input'!$C$24</f>
        <v>403</v>
      </c>
      <c r="P56" s="116">
        <f t="shared" si="2"/>
        <v>18135</v>
      </c>
    </row>
    <row r="57" spans="1:16" x14ac:dyDescent="0.25">
      <c r="A57" s="113">
        <v>46</v>
      </c>
      <c r="B57" s="114">
        <v>0</v>
      </c>
      <c r="C57" s="114">
        <v>0</v>
      </c>
      <c r="D57" s="114">
        <v>8</v>
      </c>
      <c r="E57" s="113"/>
      <c r="F57" s="113"/>
      <c r="G57" s="114">
        <v>10</v>
      </c>
      <c r="H57" s="113">
        <v>0</v>
      </c>
      <c r="I57" s="114">
        <v>0</v>
      </c>
      <c r="J57" s="113">
        <v>3</v>
      </c>
      <c r="K57" s="113">
        <v>2</v>
      </c>
      <c r="L57" s="114">
        <f t="shared" si="1"/>
        <v>45</v>
      </c>
      <c r="M57" s="115"/>
      <c r="N57" s="115">
        <f t="shared" si="0"/>
        <v>0</v>
      </c>
      <c r="O57" s="115">
        <f>'STS O&amp;M Input'!$C$24</f>
        <v>403</v>
      </c>
      <c r="P57" s="116">
        <f t="shared" si="2"/>
        <v>18135</v>
      </c>
    </row>
    <row r="58" spans="1:16" x14ac:dyDescent="0.25">
      <c r="A58" s="113">
        <v>47</v>
      </c>
      <c r="B58" s="114">
        <v>0</v>
      </c>
      <c r="C58" s="113">
        <v>0</v>
      </c>
      <c r="D58" s="114">
        <v>8</v>
      </c>
      <c r="E58" s="113"/>
      <c r="F58" s="113"/>
      <c r="G58" s="114">
        <v>10</v>
      </c>
      <c r="H58" s="114">
        <v>0</v>
      </c>
      <c r="I58" s="114">
        <v>0</v>
      </c>
      <c r="J58" s="113">
        <v>3</v>
      </c>
      <c r="K58" s="113">
        <v>2</v>
      </c>
      <c r="L58" s="114">
        <f t="shared" si="1"/>
        <v>45</v>
      </c>
      <c r="M58" s="115"/>
      <c r="N58" s="115">
        <f t="shared" si="0"/>
        <v>0</v>
      </c>
      <c r="O58" s="115">
        <f>'STS O&amp;M Input'!$C$24</f>
        <v>403</v>
      </c>
      <c r="P58" s="116">
        <f t="shared" si="2"/>
        <v>18135</v>
      </c>
    </row>
    <row r="59" spans="1:16" x14ac:dyDescent="0.25">
      <c r="A59" s="113">
        <v>48</v>
      </c>
      <c r="B59" s="114">
        <v>0</v>
      </c>
      <c r="C59" s="113">
        <v>0</v>
      </c>
      <c r="D59" s="114">
        <v>8</v>
      </c>
      <c r="E59" s="113"/>
      <c r="F59" s="113"/>
      <c r="G59" s="114">
        <v>10</v>
      </c>
      <c r="H59" s="113">
        <v>0</v>
      </c>
      <c r="I59" s="114">
        <v>0</v>
      </c>
      <c r="J59" s="113">
        <v>3</v>
      </c>
      <c r="K59" s="113">
        <v>2</v>
      </c>
      <c r="L59" s="114">
        <f t="shared" si="1"/>
        <v>45</v>
      </c>
      <c r="M59" s="115"/>
      <c r="N59" s="115">
        <f t="shared" si="0"/>
        <v>0</v>
      </c>
      <c r="O59" s="115">
        <f>'STS O&amp;M Input'!$C$24</f>
        <v>403</v>
      </c>
      <c r="P59" s="116">
        <f t="shared" si="2"/>
        <v>18135</v>
      </c>
    </row>
    <row r="60" spans="1:16" x14ac:dyDescent="0.25">
      <c r="A60" s="113">
        <v>49</v>
      </c>
      <c r="B60" s="114">
        <v>0</v>
      </c>
      <c r="C60" s="114">
        <v>0</v>
      </c>
      <c r="D60" s="114">
        <v>8</v>
      </c>
      <c r="E60" s="113"/>
      <c r="F60" s="113"/>
      <c r="G60" s="114">
        <v>10</v>
      </c>
      <c r="H60" s="113">
        <v>0</v>
      </c>
      <c r="I60" s="114">
        <v>0</v>
      </c>
      <c r="J60" s="113">
        <v>3</v>
      </c>
      <c r="K60" s="113">
        <v>2</v>
      </c>
      <c r="L60" s="114">
        <f t="shared" si="1"/>
        <v>45</v>
      </c>
      <c r="M60" s="115"/>
      <c r="N60" s="115">
        <f t="shared" si="0"/>
        <v>0</v>
      </c>
      <c r="O60" s="115">
        <f>'STS O&amp;M Input'!$C$24</f>
        <v>403</v>
      </c>
      <c r="P60" s="116">
        <f t="shared" si="2"/>
        <v>18135</v>
      </c>
    </row>
    <row r="61" spans="1:16" x14ac:dyDescent="0.25">
      <c r="A61" s="113">
        <v>50</v>
      </c>
      <c r="B61" s="113">
        <v>0</v>
      </c>
      <c r="C61" s="114">
        <v>0</v>
      </c>
      <c r="D61" s="114">
        <v>8</v>
      </c>
      <c r="E61" s="113"/>
      <c r="F61" s="113"/>
      <c r="G61" s="114">
        <v>10</v>
      </c>
      <c r="H61" s="114">
        <v>0</v>
      </c>
      <c r="I61" s="114">
        <v>0</v>
      </c>
      <c r="J61" s="113">
        <v>3</v>
      </c>
      <c r="K61" s="113">
        <v>2</v>
      </c>
      <c r="L61" s="114">
        <f t="shared" si="1"/>
        <v>45</v>
      </c>
      <c r="M61" s="115"/>
      <c r="N61" s="115">
        <f t="shared" si="0"/>
        <v>0</v>
      </c>
      <c r="O61" s="115">
        <f>'STS O&amp;M Input'!$C$24</f>
        <v>403</v>
      </c>
      <c r="P61" s="116">
        <f t="shared" si="2"/>
        <v>18135</v>
      </c>
    </row>
    <row r="62" spans="1:16" x14ac:dyDescent="0.25">
      <c r="A62" s="113">
        <v>51</v>
      </c>
      <c r="B62" s="113">
        <v>0</v>
      </c>
      <c r="C62" s="114">
        <v>0</v>
      </c>
      <c r="D62" s="114">
        <v>8</v>
      </c>
      <c r="E62" s="113"/>
      <c r="F62" s="113"/>
      <c r="G62" s="114">
        <v>10</v>
      </c>
      <c r="H62" s="113">
        <v>0</v>
      </c>
      <c r="I62" s="114">
        <v>0</v>
      </c>
      <c r="J62" s="113">
        <v>3</v>
      </c>
      <c r="K62" s="113">
        <v>2</v>
      </c>
      <c r="L62" s="114">
        <f t="shared" si="1"/>
        <v>45</v>
      </c>
      <c r="M62" s="115"/>
      <c r="N62" s="115">
        <f t="shared" si="0"/>
        <v>0</v>
      </c>
      <c r="O62" s="115">
        <f>'STS O&amp;M Input'!$C$24</f>
        <v>403</v>
      </c>
      <c r="P62" s="116">
        <f t="shared" si="2"/>
        <v>18135</v>
      </c>
    </row>
    <row r="63" spans="1:16" x14ac:dyDescent="0.25">
      <c r="A63" s="113">
        <v>52</v>
      </c>
      <c r="B63" s="113">
        <v>0</v>
      </c>
      <c r="C63" s="114">
        <v>0</v>
      </c>
      <c r="D63" s="114">
        <v>8</v>
      </c>
      <c r="E63" s="113"/>
      <c r="F63" s="113"/>
      <c r="G63" s="114">
        <v>10</v>
      </c>
      <c r="H63" s="113">
        <v>0</v>
      </c>
      <c r="I63" s="114">
        <v>0</v>
      </c>
      <c r="J63" s="113">
        <v>3</v>
      </c>
      <c r="K63" s="113">
        <v>2</v>
      </c>
      <c r="L63" s="114">
        <f t="shared" si="1"/>
        <v>45</v>
      </c>
      <c r="M63" s="115"/>
      <c r="N63" s="115">
        <f t="shared" si="0"/>
        <v>0</v>
      </c>
      <c r="O63" s="115">
        <f>'STS O&amp;M Input'!$C$24</f>
        <v>403</v>
      </c>
      <c r="P63" s="116">
        <f t="shared" si="2"/>
        <v>18135</v>
      </c>
    </row>
    <row r="64" spans="1:16" x14ac:dyDescent="0.25">
      <c r="A64" s="113">
        <v>53</v>
      </c>
      <c r="B64" s="113">
        <v>0</v>
      </c>
      <c r="C64" s="113">
        <v>0</v>
      </c>
      <c r="D64" s="114">
        <v>8</v>
      </c>
      <c r="E64" s="113"/>
      <c r="F64" s="113"/>
      <c r="G64" s="114">
        <v>10</v>
      </c>
      <c r="H64" s="114">
        <v>0</v>
      </c>
      <c r="I64" s="114">
        <v>0</v>
      </c>
      <c r="J64" s="113">
        <v>3</v>
      </c>
      <c r="K64" s="113">
        <v>2</v>
      </c>
      <c r="L64" s="114">
        <f t="shared" si="1"/>
        <v>45</v>
      </c>
      <c r="M64" s="115"/>
      <c r="N64" s="115">
        <f t="shared" si="0"/>
        <v>0</v>
      </c>
      <c r="O64" s="115">
        <f>'STS O&amp;M Input'!$C$24</f>
        <v>403</v>
      </c>
      <c r="P64" s="116">
        <f t="shared" si="2"/>
        <v>18135</v>
      </c>
    </row>
    <row r="65" spans="1:16" x14ac:dyDescent="0.25">
      <c r="A65" s="113">
        <v>54</v>
      </c>
      <c r="B65" s="114">
        <v>0</v>
      </c>
      <c r="C65" s="113">
        <v>0</v>
      </c>
      <c r="D65" s="114">
        <v>8</v>
      </c>
      <c r="E65" s="113"/>
      <c r="F65" s="113"/>
      <c r="G65" s="114">
        <v>10</v>
      </c>
      <c r="H65" s="113">
        <v>0</v>
      </c>
      <c r="I65" s="114">
        <v>0</v>
      </c>
      <c r="J65" s="113">
        <v>3</v>
      </c>
      <c r="K65" s="113">
        <v>2</v>
      </c>
      <c r="L65" s="114">
        <f t="shared" si="1"/>
        <v>45</v>
      </c>
      <c r="M65" s="115"/>
      <c r="N65" s="115">
        <f t="shared" si="0"/>
        <v>0</v>
      </c>
      <c r="O65" s="115">
        <f>'STS O&amp;M Input'!$C$24</f>
        <v>403</v>
      </c>
      <c r="P65" s="116">
        <f t="shared" si="2"/>
        <v>18135</v>
      </c>
    </row>
    <row r="66" spans="1:16" x14ac:dyDescent="0.25">
      <c r="A66" s="113">
        <v>55</v>
      </c>
      <c r="B66" s="114">
        <v>0</v>
      </c>
      <c r="C66" s="114">
        <v>0</v>
      </c>
      <c r="D66" s="114">
        <v>8</v>
      </c>
      <c r="E66" s="113"/>
      <c r="F66" s="113"/>
      <c r="G66" s="114">
        <v>10</v>
      </c>
      <c r="H66" s="113">
        <v>0</v>
      </c>
      <c r="I66" s="114">
        <v>0</v>
      </c>
      <c r="J66" s="113">
        <v>3</v>
      </c>
      <c r="K66" s="113">
        <v>2</v>
      </c>
      <c r="L66" s="114">
        <f t="shared" si="1"/>
        <v>45</v>
      </c>
      <c r="M66" s="115"/>
      <c r="N66" s="115">
        <f t="shared" si="0"/>
        <v>0</v>
      </c>
      <c r="O66" s="115">
        <f>'STS O&amp;M Input'!$C$24</f>
        <v>403</v>
      </c>
      <c r="P66" s="116">
        <f t="shared" si="2"/>
        <v>18135</v>
      </c>
    </row>
    <row r="67" spans="1:16" x14ac:dyDescent="0.25">
      <c r="A67" s="113">
        <v>56</v>
      </c>
      <c r="B67" s="114">
        <v>0</v>
      </c>
      <c r="C67" s="114">
        <v>0</v>
      </c>
      <c r="D67" s="114">
        <v>8</v>
      </c>
      <c r="E67" s="113"/>
      <c r="F67" s="113"/>
      <c r="G67" s="114">
        <v>10</v>
      </c>
      <c r="H67" s="114">
        <v>0</v>
      </c>
      <c r="I67" s="114">
        <v>0</v>
      </c>
      <c r="J67" s="113">
        <v>3</v>
      </c>
      <c r="K67" s="113">
        <v>2</v>
      </c>
      <c r="L67" s="114">
        <f t="shared" si="1"/>
        <v>45</v>
      </c>
      <c r="M67" s="115"/>
      <c r="N67" s="115">
        <f t="shared" si="0"/>
        <v>0</v>
      </c>
      <c r="O67" s="115">
        <f>'STS O&amp;M Input'!$C$24</f>
        <v>403</v>
      </c>
      <c r="P67" s="116">
        <f t="shared" si="2"/>
        <v>18135</v>
      </c>
    </row>
    <row r="68" spans="1:16" x14ac:dyDescent="0.25">
      <c r="A68" s="113">
        <v>57</v>
      </c>
      <c r="B68" s="114">
        <v>0</v>
      </c>
      <c r="C68" s="114">
        <v>0</v>
      </c>
      <c r="D68" s="114">
        <v>8</v>
      </c>
      <c r="E68" s="113"/>
      <c r="F68" s="113"/>
      <c r="G68" s="114">
        <v>10</v>
      </c>
      <c r="H68" s="113">
        <v>0</v>
      </c>
      <c r="I68" s="114">
        <v>0</v>
      </c>
      <c r="J68" s="113">
        <v>3</v>
      </c>
      <c r="K68" s="113">
        <v>2</v>
      </c>
      <c r="L68" s="114">
        <f t="shared" si="1"/>
        <v>45</v>
      </c>
      <c r="M68" s="115"/>
      <c r="N68" s="115">
        <f t="shared" si="0"/>
        <v>0</v>
      </c>
      <c r="O68" s="115">
        <f>'STS O&amp;M Input'!$C$24</f>
        <v>403</v>
      </c>
      <c r="P68" s="116">
        <f t="shared" si="2"/>
        <v>18135</v>
      </c>
    </row>
    <row r="69" spans="1:16" x14ac:dyDescent="0.25">
      <c r="A69" s="113">
        <v>58</v>
      </c>
      <c r="B69" s="114">
        <v>0</v>
      </c>
      <c r="C69" s="114">
        <v>0</v>
      </c>
      <c r="D69" s="114">
        <v>8</v>
      </c>
      <c r="E69" s="113"/>
      <c r="F69" s="113"/>
      <c r="G69" s="114">
        <v>10</v>
      </c>
      <c r="H69" s="113">
        <v>0</v>
      </c>
      <c r="I69" s="114">
        <v>0</v>
      </c>
      <c r="J69" s="113">
        <v>3</v>
      </c>
      <c r="K69" s="113">
        <v>2</v>
      </c>
      <c r="L69" s="114">
        <f t="shared" si="1"/>
        <v>45</v>
      </c>
      <c r="M69" s="115"/>
      <c r="N69" s="115">
        <f t="shared" si="0"/>
        <v>0</v>
      </c>
      <c r="O69" s="115">
        <f>'STS O&amp;M Input'!$C$24</f>
        <v>403</v>
      </c>
      <c r="P69" s="116">
        <f t="shared" si="2"/>
        <v>18135</v>
      </c>
    </row>
    <row r="70" spans="1:16" x14ac:dyDescent="0.25">
      <c r="A70" s="113">
        <v>59</v>
      </c>
      <c r="B70" s="113">
        <v>0</v>
      </c>
      <c r="C70" s="113">
        <v>0</v>
      </c>
      <c r="D70" s="114">
        <v>8</v>
      </c>
      <c r="E70" s="113"/>
      <c r="F70" s="113"/>
      <c r="G70" s="114">
        <v>10</v>
      </c>
      <c r="H70" s="114">
        <v>0</v>
      </c>
      <c r="I70" s="114">
        <v>0</v>
      </c>
      <c r="J70" s="113">
        <v>3</v>
      </c>
      <c r="K70" s="113">
        <v>2</v>
      </c>
      <c r="L70" s="114">
        <f t="shared" si="1"/>
        <v>45</v>
      </c>
      <c r="M70" s="115"/>
      <c r="N70" s="115">
        <f t="shared" si="0"/>
        <v>0</v>
      </c>
      <c r="O70" s="115">
        <f>'STS O&amp;M Input'!$C$24</f>
        <v>403</v>
      </c>
      <c r="P70" s="116">
        <f t="shared" si="2"/>
        <v>18135</v>
      </c>
    </row>
    <row r="71" spans="1:16" x14ac:dyDescent="0.25">
      <c r="A71" s="113">
        <v>60</v>
      </c>
      <c r="B71" s="113">
        <v>0</v>
      </c>
      <c r="C71" s="113">
        <v>0</v>
      </c>
      <c r="D71" s="114">
        <v>8</v>
      </c>
      <c r="E71" s="113"/>
      <c r="F71" s="113"/>
      <c r="G71" s="114">
        <v>10</v>
      </c>
      <c r="H71" s="113">
        <v>0</v>
      </c>
      <c r="I71" s="114">
        <v>0</v>
      </c>
      <c r="J71" s="113">
        <v>3</v>
      </c>
      <c r="K71" s="113">
        <v>2</v>
      </c>
      <c r="L71" s="114">
        <f t="shared" si="1"/>
        <v>45</v>
      </c>
      <c r="M71" s="115"/>
      <c r="N71" s="115">
        <f t="shared" si="0"/>
        <v>0</v>
      </c>
      <c r="O71" s="115">
        <f>'STS O&amp;M Input'!$C$24</f>
        <v>403</v>
      </c>
      <c r="P71" s="116">
        <f t="shared" si="2"/>
        <v>18135</v>
      </c>
    </row>
    <row r="72" spans="1:16" x14ac:dyDescent="0.25">
      <c r="A72" s="113">
        <v>61</v>
      </c>
      <c r="B72" s="113">
        <v>0</v>
      </c>
      <c r="C72" s="114">
        <v>0</v>
      </c>
      <c r="D72" s="114">
        <v>8</v>
      </c>
      <c r="E72" s="113"/>
      <c r="F72" s="113"/>
      <c r="G72" s="114">
        <v>10</v>
      </c>
      <c r="H72" s="113">
        <v>0</v>
      </c>
      <c r="I72" s="114">
        <v>0</v>
      </c>
      <c r="J72" s="113">
        <v>3</v>
      </c>
      <c r="K72" s="113">
        <v>2</v>
      </c>
      <c r="L72" s="114">
        <f t="shared" si="1"/>
        <v>45</v>
      </c>
      <c r="M72" s="115"/>
      <c r="N72" s="115">
        <f t="shared" si="0"/>
        <v>0</v>
      </c>
      <c r="O72" s="115">
        <f>'STS O&amp;M Input'!$C$24</f>
        <v>403</v>
      </c>
      <c r="P72" s="116">
        <f t="shared" si="2"/>
        <v>18135</v>
      </c>
    </row>
    <row r="73" spans="1:16" x14ac:dyDescent="0.25">
      <c r="A73" s="113">
        <v>62</v>
      </c>
      <c r="B73" s="113">
        <v>0</v>
      </c>
      <c r="C73" s="114">
        <v>0</v>
      </c>
      <c r="D73" s="114">
        <v>8</v>
      </c>
      <c r="E73" s="113"/>
      <c r="F73" s="113"/>
      <c r="G73" s="114">
        <v>10</v>
      </c>
      <c r="H73" s="114">
        <v>0</v>
      </c>
      <c r="I73" s="114">
        <v>0</v>
      </c>
      <c r="J73" s="113">
        <v>3</v>
      </c>
      <c r="K73" s="113">
        <v>2</v>
      </c>
      <c r="L73" s="114">
        <f t="shared" si="1"/>
        <v>45</v>
      </c>
      <c r="M73" s="115"/>
      <c r="N73" s="115">
        <f t="shared" si="0"/>
        <v>0</v>
      </c>
      <c r="O73" s="115">
        <f>'STS O&amp;M Input'!$C$24</f>
        <v>403</v>
      </c>
      <c r="P73" s="116">
        <f t="shared" si="2"/>
        <v>18135</v>
      </c>
    </row>
    <row r="74" spans="1:16" x14ac:dyDescent="0.25">
      <c r="A74" s="113">
        <v>63</v>
      </c>
      <c r="B74" s="114">
        <v>0</v>
      </c>
      <c r="C74" s="114">
        <v>0</v>
      </c>
      <c r="D74" s="114">
        <v>8</v>
      </c>
      <c r="E74" s="113"/>
      <c r="F74" s="113"/>
      <c r="G74" s="114">
        <v>10</v>
      </c>
      <c r="H74" s="113">
        <v>0</v>
      </c>
      <c r="I74" s="114">
        <v>0</v>
      </c>
      <c r="J74" s="113">
        <v>3</v>
      </c>
      <c r="K74" s="113">
        <v>2</v>
      </c>
      <c r="L74" s="114">
        <f t="shared" si="1"/>
        <v>45</v>
      </c>
      <c r="M74" s="115"/>
      <c r="N74" s="115">
        <f t="shared" si="0"/>
        <v>0</v>
      </c>
      <c r="O74" s="115">
        <f>'STS O&amp;M Input'!$C$24</f>
        <v>403</v>
      </c>
      <c r="P74" s="116">
        <f t="shared" si="2"/>
        <v>18135</v>
      </c>
    </row>
    <row r="75" spans="1:16" x14ac:dyDescent="0.25">
      <c r="A75" s="113">
        <v>64</v>
      </c>
      <c r="B75" s="114">
        <v>0</v>
      </c>
      <c r="C75" s="114">
        <v>0</v>
      </c>
      <c r="D75" s="114">
        <v>8</v>
      </c>
      <c r="E75" s="113"/>
      <c r="F75" s="113"/>
      <c r="G75" s="114">
        <v>10</v>
      </c>
      <c r="H75" s="113">
        <v>0</v>
      </c>
      <c r="I75" s="114">
        <v>0</v>
      </c>
      <c r="J75" s="113">
        <v>3</v>
      </c>
      <c r="K75" s="113">
        <v>2</v>
      </c>
      <c r="L75" s="114">
        <f t="shared" si="1"/>
        <v>45</v>
      </c>
      <c r="M75" s="115"/>
      <c r="N75" s="115">
        <f t="shared" si="0"/>
        <v>0</v>
      </c>
      <c r="O75" s="115">
        <f>'STS O&amp;M Input'!$C$24</f>
        <v>403</v>
      </c>
      <c r="P75" s="116">
        <f t="shared" si="2"/>
        <v>18135</v>
      </c>
    </row>
    <row r="76" spans="1:16" x14ac:dyDescent="0.25">
      <c r="A76" s="113">
        <v>65</v>
      </c>
      <c r="B76" s="114">
        <v>0</v>
      </c>
      <c r="C76" s="113">
        <v>0</v>
      </c>
      <c r="D76" s="114">
        <v>8</v>
      </c>
      <c r="E76" s="113"/>
      <c r="F76" s="113"/>
      <c r="G76" s="114">
        <v>10</v>
      </c>
      <c r="H76" s="114">
        <v>0</v>
      </c>
      <c r="I76" s="114">
        <v>0</v>
      </c>
      <c r="J76" s="113">
        <v>3</v>
      </c>
      <c r="K76" s="113">
        <v>2</v>
      </c>
      <c r="L76" s="114">
        <f t="shared" si="1"/>
        <v>45</v>
      </c>
      <c r="M76" s="115"/>
      <c r="N76" s="115">
        <f t="shared" ref="N76:N111" si="3">M76/L76</f>
        <v>0</v>
      </c>
      <c r="O76" s="115">
        <f>'STS O&amp;M Input'!$C$24</f>
        <v>403</v>
      </c>
      <c r="P76" s="116">
        <f t="shared" si="2"/>
        <v>18135</v>
      </c>
    </row>
    <row r="77" spans="1:16" x14ac:dyDescent="0.25">
      <c r="A77" s="113">
        <v>66</v>
      </c>
      <c r="B77" s="114">
        <v>0</v>
      </c>
      <c r="C77" s="113">
        <v>0</v>
      </c>
      <c r="D77" s="114">
        <v>8</v>
      </c>
      <c r="E77" s="113"/>
      <c r="F77" s="113"/>
      <c r="G77" s="114">
        <v>10</v>
      </c>
      <c r="H77" s="113">
        <v>0</v>
      </c>
      <c r="I77" s="114">
        <v>0</v>
      </c>
      <c r="J77" s="113">
        <v>3</v>
      </c>
      <c r="K77" s="113">
        <v>2</v>
      </c>
      <c r="L77" s="114">
        <f t="shared" ref="L77:L111" si="4">(B77+E77+H77)*4+(C77+F77+I77)*2+(D77+G77+J77)*1+(K77*12)</f>
        <v>45</v>
      </c>
      <c r="M77" s="115"/>
      <c r="N77" s="115">
        <f t="shared" si="3"/>
        <v>0</v>
      </c>
      <c r="O77" s="115">
        <f>'STS O&amp;M Input'!$C$24</f>
        <v>403</v>
      </c>
      <c r="P77" s="116">
        <f t="shared" ref="P77:P111" si="5">$O$12*L77</f>
        <v>18135</v>
      </c>
    </row>
    <row r="78" spans="1:16" x14ac:dyDescent="0.25">
      <c r="A78" s="113">
        <v>67</v>
      </c>
      <c r="B78" s="114">
        <v>0</v>
      </c>
      <c r="C78" s="114">
        <v>0</v>
      </c>
      <c r="D78" s="114">
        <v>8</v>
      </c>
      <c r="E78" s="113"/>
      <c r="F78" s="113"/>
      <c r="G78" s="114">
        <v>10</v>
      </c>
      <c r="H78" s="113">
        <v>0</v>
      </c>
      <c r="I78" s="114">
        <v>0</v>
      </c>
      <c r="J78" s="113">
        <v>3</v>
      </c>
      <c r="K78" s="113">
        <v>2</v>
      </c>
      <c r="L78" s="114">
        <f t="shared" si="4"/>
        <v>45</v>
      </c>
      <c r="M78" s="115"/>
      <c r="N78" s="115">
        <f t="shared" si="3"/>
        <v>0</v>
      </c>
      <c r="O78" s="115">
        <f>'STS O&amp;M Input'!$C$24</f>
        <v>403</v>
      </c>
      <c r="P78" s="116">
        <f t="shared" si="5"/>
        <v>18135</v>
      </c>
    </row>
    <row r="79" spans="1:16" x14ac:dyDescent="0.25">
      <c r="A79" s="113">
        <v>68</v>
      </c>
      <c r="B79" s="113">
        <v>0</v>
      </c>
      <c r="C79" s="114">
        <v>0</v>
      </c>
      <c r="D79" s="114">
        <v>8</v>
      </c>
      <c r="E79" s="113"/>
      <c r="F79" s="113"/>
      <c r="G79" s="114">
        <v>10</v>
      </c>
      <c r="H79" s="114">
        <v>0</v>
      </c>
      <c r="I79" s="114">
        <v>0</v>
      </c>
      <c r="J79" s="113">
        <v>3</v>
      </c>
      <c r="K79" s="113">
        <v>2</v>
      </c>
      <c r="L79" s="114">
        <f t="shared" si="4"/>
        <v>45</v>
      </c>
      <c r="M79" s="115"/>
      <c r="N79" s="115">
        <f t="shared" si="3"/>
        <v>0</v>
      </c>
      <c r="O79" s="115">
        <f>'STS O&amp;M Input'!$C$24</f>
        <v>403</v>
      </c>
      <c r="P79" s="116">
        <f t="shared" si="5"/>
        <v>18135</v>
      </c>
    </row>
    <row r="80" spans="1:16" x14ac:dyDescent="0.25">
      <c r="A80" s="113">
        <v>69</v>
      </c>
      <c r="B80" s="113">
        <v>0</v>
      </c>
      <c r="C80" s="114">
        <v>0</v>
      </c>
      <c r="D80" s="114">
        <v>8</v>
      </c>
      <c r="E80" s="113"/>
      <c r="F80" s="113"/>
      <c r="G80" s="114">
        <v>10</v>
      </c>
      <c r="H80" s="113">
        <v>0</v>
      </c>
      <c r="I80" s="114">
        <v>0</v>
      </c>
      <c r="J80" s="113">
        <v>3</v>
      </c>
      <c r="K80" s="113">
        <v>2</v>
      </c>
      <c r="L80" s="114">
        <f t="shared" si="4"/>
        <v>45</v>
      </c>
      <c r="M80" s="115"/>
      <c r="N80" s="115">
        <f t="shared" si="3"/>
        <v>0</v>
      </c>
      <c r="O80" s="115">
        <f>'STS O&amp;M Input'!$C$24</f>
        <v>403</v>
      </c>
      <c r="P80" s="116">
        <f t="shared" si="5"/>
        <v>18135</v>
      </c>
    </row>
    <row r="81" spans="1:16" x14ac:dyDescent="0.25">
      <c r="A81" s="113">
        <v>70</v>
      </c>
      <c r="B81" s="113">
        <v>0</v>
      </c>
      <c r="C81" s="114">
        <v>0</v>
      </c>
      <c r="D81" s="114">
        <v>8</v>
      </c>
      <c r="E81" s="113"/>
      <c r="F81" s="113"/>
      <c r="G81" s="114">
        <v>10</v>
      </c>
      <c r="H81" s="113">
        <v>0</v>
      </c>
      <c r="I81" s="114">
        <v>0</v>
      </c>
      <c r="J81" s="113">
        <v>3</v>
      </c>
      <c r="K81" s="113">
        <v>2</v>
      </c>
      <c r="L81" s="114">
        <f t="shared" si="4"/>
        <v>45</v>
      </c>
      <c r="M81" s="115"/>
      <c r="N81" s="115">
        <f t="shared" si="3"/>
        <v>0</v>
      </c>
      <c r="O81" s="115">
        <f>'STS O&amp;M Input'!$C$24</f>
        <v>403</v>
      </c>
      <c r="P81" s="116">
        <f t="shared" si="5"/>
        <v>18135</v>
      </c>
    </row>
    <row r="82" spans="1:16" x14ac:dyDescent="0.25">
      <c r="A82" s="113">
        <v>71</v>
      </c>
      <c r="B82" s="113">
        <v>0</v>
      </c>
      <c r="C82" s="113">
        <v>0</v>
      </c>
      <c r="D82" s="114">
        <v>8</v>
      </c>
      <c r="E82" s="113"/>
      <c r="F82" s="113"/>
      <c r="G82" s="114">
        <v>10</v>
      </c>
      <c r="H82" s="114">
        <v>0</v>
      </c>
      <c r="I82" s="114">
        <v>0</v>
      </c>
      <c r="J82" s="113">
        <v>3</v>
      </c>
      <c r="K82" s="113">
        <v>2</v>
      </c>
      <c r="L82" s="114">
        <f t="shared" si="4"/>
        <v>45</v>
      </c>
      <c r="M82" s="115"/>
      <c r="N82" s="115">
        <f t="shared" si="3"/>
        <v>0</v>
      </c>
      <c r="O82" s="115">
        <f>'STS O&amp;M Input'!$C$24</f>
        <v>403</v>
      </c>
      <c r="P82" s="116">
        <f t="shared" si="5"/>
        <v>18135</v>
      </c>
    </row>
    <row r="83" spans="1:16" x14ac:dyDescent="0.25">
      <c r="A83" s="113">
        <v>72</v>
      </c>
      <c r="B83" s="114">
        <v>0</v>
      </c>
      <c r="C83" s="113">
        <v>0</v>
      </c>
      <c r="D83" s="114">
        <v>8</v>
      </c>
      <c r="E83" s="113"/>
      <c r="F83" s="113"/>
      <c r="G83" s="114">
        <v>10</v>
      </c>
      <c r="H83" s="113">
        <v>0</v>
      </c>
      <c r="I83" s="114">
        <v>0</v>
      </c>
      <c r="J83" s="113">
        <v>3</v>
      </c>
      <c r="K83" s="113">
        <v>2</v>
      </c>
      <c r="L83" s="114">
        <f t="shared" si="4"/>
        <v>45</v>
      </c>
      <c r="M83" s="115"/>
      <c r="N83" s="115">
        <f t="shared" si="3"/>
        <v>0</v>
      </c>
      <c r="O83" s="115">
        <f>'STS O&amp;M Input'!$C$24</f>
        <v>403</v>
      </c>
      <c r="P83" s="116">
        <f t="shared" si="5"/>
        <v>18135</v>
      </c>
    </row>
    <row r="84" spans="1:16" x14ac:dyDescent="0.25">
      <c r="A84" s="113">
        <v>73</v>
      </c>
      <c r="B84" s="114">
        <v>0</v>
      </c>
      <c r="C84" s="114">
        <v>0</v>
      </c>
      <c r="D84" s="114">
        <v>8</v>
      </c>
      <c r="E84" s="113"/>
      <c r="F84" s="113"/>
      <c r="G84" s="114">
        <v>10</v>
      </c>
      <c r="H84" s="113">
        <v>0</v>
      </c>
      <c r="I84" s="114">
        <v>0</v>
      </c>
      <c r="J84" s="113">
        <v>3</v>
      </c>
      <c r="K84" s="113">
        <v>2</v>
      </c>
      <c r="L84" s="114">
        <f t="shared" si="4"/>
        <v>45</v>
      </c>
      <c r="M84" s="115"/>
      <c r="N84" s="115">
        <f t="shared" si="3"/>
        <v>0</v>
      </c>
      <c r="O84" s="115">
        <f>'STS O&amp;M Input'!$C$24</f>
        <v>403</v>
      </c>
      <c r="P84" s="116">
        <f t="shared" si="5"/>
        <v>18135</v>
      </c>
    </row>
    <row r="85" spans="1:16" x14ac:dyDescent="0.25">
      <c r="A85" s="113">
        <v>74</v>
      </c>
      <c r="B85" s="114">
        <v>0</v>
      </c>
      <c r="C85" s="114">
        <v>0</v>
      </c>
      <c r="D85" s="114">
        <v>8</v>
      </c>
      <c r="E85" s="113"/>
      <c r="F85" s="113"/>
      <c r="G85" s="114">
        <v>10</v>
      </c>
      <c r="H85" s="114">
        <v>0</v>
      </c>
      <c r="I85" s="114">
        <v>0</v>
      </c>
      <c r="J85" s="113">
        <v>3</v>
      </c>
      <c r="K85" s="113">
        <v>2</v>
      </c>
      <c r="L85" s="114">
        <f t="shared" si="4"/>
        <v>45</v>
      </c>
      <c r="M85" s="115"/>
      <c r="N85" s="115">
        <f t="shared" si="3"/>
        <v>0</v>
      </c>
      <c r="O85" s="115">
        <f>'STS O&amp;M Input'!$C$24</f>
        <v>403</v>
      </c>
      <c r="P85" s="116">
        <f t="shared" si="5"/>
        <v>18135</v>
      </c>
    </row>
    <row r="86" spans="1:16" x14ac:dyDescent="0.25">
      <c r="A86" s="113">
        <v>75</v>
      </c>
      <c r="B86" s="114">
        <v>0</v>
      </c>
      <c r="C86" s="114">
        <v>0</v>
      </c>
      <c r="D86" s="114">
        <v>8</v>
      </c>
      <c r="E86" s="113"/>
      <c r="F86" s="113"/>
      <c r="G86" s="114">
        <v>10</v>
      </c>
      <c r="H86" s="113">
        <v>0</v>
      </c>
      <c r="I86" s="114">
        <v>0</v>
      </c>
      <c r="J86" s="113">
        <v>3</v>
      </c>
      <c r="K86" s="113">
        <v>2</v>
      </c>
      <c r="L86" s="114">
        <f t="shared" si="4"/>
        <v>45</v>
      </c>
      <c r="M86" s="115"/>
      <c r="N86" s="115">
        <f t="shared" si="3"/>
        <v>0</v>
      </c>
      <c r="O86" s="115">
        <f>'STS O&amp;M Input'!$C$24</f>
        <v>403</v>
      </c>
      <c r="P86" s="116">
        <f t="shared" si="5"/>
        <v>18135</v>
      </c>
    </row>
    <row r="87" spans="1:16" x14ac:dyDescent="0.25">
      <c r="A87" s="113">
        <v>76</v>
      </c>
      <c r="B87" s="114">
        <v>0</v>
      </c>
      <c r="C87" s="114">
        <v>0</v>
      </c>
      <c r="D87" s="114">
        <v>8</v>
      </c>
      <c r="E87" s="113"/>
      <c r="F87" s="113"/>
      <c r="G87" s="114">
        <v>10</v>
      </c>
      <c r="H87" s="113">
        <v>0</v>
      </c>
      <c r="I87" s="114">
        <v>0</v>
      </c>
      <c r="J87" s="113">
        <v>3</v>
      </c>
      <c r="K87" s="113">
        <v>2</v>
      </c>
      <c r="L87" s="114">
        <f t="shared" si="4"/>
        <v>45</v>
      </c>
      <c r="M87" s="115"/>
      <c r="N87" s="115">
        <f t="shared" si="3"/>
        <v>0</v>
      </c>
      <c r="O87" s="115">
        <f>'STS O&amp;M Input'!$C$24</f>
        <v>403</v>
      </c>
      <c r="P87" s="116">
        <f t="shared" si="5"/>
        <v>18135</v>
      </c>
    </row>
    <row r="88" spans="1:16" x14ac:dyDescent="0.25">
      <c r="A88" s="113">
        <v>77</v>
      </c>
      <c r="B88" s="113">
        <v>0</v>
      </c>
      <c r="C88" s="113">
        <v>0</v>
      </c>
      <c r="D88" s="114">
        <v>8</v>
      </c>
      <c r="E88" s="113"/>
      <c r="F88" s="113"/>
      <c r="G88" s="114">
        <v>10</v>
      </c>
      <c r="H88" s="114">
        <v>0</v>
      </c>
      <c r="I88" s="114">
        <v>0</v>
      </c>
      <c r="J88" s="113">
        <v>3</v>
      </c>
      <c r="K88" s="113">
        <v>2</v>
      </c>
      <c r="L88" s="114">
        <f t="shared" si="4"/>
        <v>45</v>
      </c>
      <c r="M88" s="115"/>
      <c r="N88" s="115">
        <f t="shared" si="3"/>
        <v>0</v>
      </c>
      <c r="O88" s="115">
        <f>'STS O&amp;M Input'!$C$24</f>
        <v>403</v>
      </c>
      <c r="P88" s="116">
        <f t="shared" si="5"/>
        <v>18135</v>
      </c>
    </row>
    <row r="89" spans="1:16" x14ac:dyDescent="0.25">
      <c r="A89" s="113">
        <v>78</v>
      </c>
      <c r="B89" s="113">
        <v>0</v>
      </c>
      <c r="C89" s="113">
        <v>0</v>
      </c>
      <c r="D89" s="114">
        <v>8</v>
      </c>
      <c r="E89" s="113"/>
      <c r="F89" s="113"/>
      <c r="G89" s="114">
        <v>10</v>
      </c>
      <c r="H89" s="113">
        <v>0</v>
      </c>
      <c r="I89" s="114">
        <v>0</v>
      </c>
      <c r="J89" s="113">
        <v>3</v>
      </c>
      <c r="K89" s="113">
        <v>2</v>
      </c>
      <c r="L89" s="114">
        <f t="shared" si="4"/>
        <v>45</v>
      </c>
      <c r="M89" s="115"/>
      <c r="N89" s="115">
        <f t="shared" si="3"/>
        <v>0</v>
      </c>
      <c r="O89" s="115">
        <f>'STS O&amp;M Input'!$C$24</f>
        <v>403</v>
      </c>
      <c r="P89" s="116">
        <f t="shared" si="5"/>
        <v>18135</v>
      </c>
    </row>
    <row r="90" spans="1:16" x14ac:dyDescent="0.25">
      <c r="A90" s="113">
        <v>79</v>
      </c>
      <c r="B90" s="113">
        <v>0</v>
      </c>
      <c r="C90" s="114">
        <v>0</v>
      </c>
      <c r="D90" s="114">
        <v>8</v>
      </c>
      <c r="E90" s="113"/>
      <c r="F90" s="113"/>
      <c r="G90" s="114">
        <v>10</v>
      </c>
      <c r="H90" s="113">
        <v>0</v>
      </c>
      <c r="I90" s="114">
        <v>0</v>
      </c>
      <c r="J90" s="113">
        <v>3</v>
      </c>
      <c r="K90" s="113">
        <v>2</v>
      </c>
      <c r="L90" s="114">
        <f t="shared" si="4"/>
        <v>45</v>
      </c>
      <c r="M90" s="115"/>
      <c r="N90" s="115">
        <f t="shared" si="3"/>
        <v>0</v>
      </c>
      <c r="O90" s="115">
        <f>'STS O&amp;M Input'!$C$24</f>
        <v>403</v>
      </c>
      <c r="P90" s="116">
        <f t="shared" si="5"/>
        <v>18135</v>
      </c>
    </row>
    <row r="91" spans="1:16" x14ac:dyDescent="0.25">
      <c r="A91" s="113">
        <v>80</v>
      </c>
      <c r="B91" s="113">
        <v>0</v>
      </c>
      <c r="C91" s="114">
        <v>0</v>
      </c>
      <c r="D91" s="114">
        <v>8</v>
      </c>
      <c r="E91" s="113"/>
      <c r="F91" s="113"/>
      <c r="G91" s="114">
        <v>10</v>
      </c>
      <c r="H91" s="114">
        <v>0</v>
      </c>
      <c r="I91" s="114">
        <v>0</v>
      </c>
      <c r="J91" s="113">
        <v>3</v>
      </c>
      <c r="K91" s="113">
        <v>2</v>
      </c>
      <c r="L91" s="114">
        <f t="shared" si="4"/>
        <v>45</v>
      </c>
      <c r="M91" s="115"/>
      <c r="N91" s="115">
        <f t="shared" si="3"/>
        <v>0</v>
      </c>
      <c r="O91" s="115">
        <f>'STS O&amp;M Input'!$C$24</f>
        <v>403</v>
      </c>
      <c r="P91" s="116">
        <f t="shared" si="5"/>
        <v>18135</v>
      </c>
    </row>
    <row r="92" spans="1:16" x14ac:dyDescent="0.25">
      <c r="A92" s="113">
        <v>81</v>
      </c>
      <c r="B92" s="114">
        <v>0</v>
      </c>
      <c r="C92" s="114">
        <v>0</v>
      </c>
      <c r="D92" s="114">
        <v>8</v>
      </c>
      <c r="E92" s="113"/>
      <c r="F92" s="113"/>
      <c r="G92" s="114">
        <v>10</v>
      </c>
      <c r="H92" s="113">
        <v>0</v>
      </c>
      <c r="I92" s="114">
        <v>0</v>
      </c>
      <c r="J92" s="113">
        <v>3</v>
      </c>
      <c r="K92" s="113">
        <v>2</v>
      </c>
      <c r="L92" s="114">
        <f t="shared" si="4"/>
        <v>45</v>
      </c>
      <c r="M92" s="115"/>
      <c r="N92" s="115">
        <f t="shared" si="3"/>
        <v>0</v>
      </c>
      <c r="O92" s="115">
        <f>'STS O&amp;M Input'!$C$24</f>
        <v>403</v>
      </c>
      <c r="P92" s="116">
        <f t="shared" si="5"/>
        <v>18135</v>
      </c>
    </row>
    <row r="93" spans="1:16" x14ac:dyDescent="0.25">
      <c r="A93" s="113">
        <v>82</v>
      </c>
      <c r="B93" s="114">
        <v>0</v>
      </c>
      <c r="C93" s="114">
        <v>0</v>
      </c>
      <c r="D93" s="114">
        <v>8</v>
      </c>
      <c r="E93" s="113"/>
      <c r="F93" s="113"/>
      <c r="G93" s="114">
        <v>10</v>
      </c>
      <c r="H93" s="113">
        <v>0</v>
      </c>
      <c r="I93" s="114">
        <v>0</v>
      </c>
      <c r="J93" s="113">
        <v>3</v>
      </c>
      <c r="K93" s="113">
        <v>2</v>
      </c>
      <c r="L93" s="114">
        <f t="shared" si="4"/>
        <v>45</v>
      </c>
      <c r="M93" s="115"/>
      <c r="N93" s="115">
        <f t="shared" si="3"/>
        <v>0</v>
      </c>
      <c r="O93" s="115">
        <f>'STS O&amp;M Input'!$C$24</f>
        <v>403</v>
      </c>
      <c r="P93" s="116">
        <f t="shared" si="5"/>
        <v>18135</v>
      </c>
    </row>
    <row r="94" spans="1:16" x14ac:dyDescent="0.25">
      <c r="A94" s="113">
        <v>83</v>
      </c>
      <c r="B94" s="114">
        <v>0</v>
      </c>
      <c r="C94" s="113">
        <v>0</v>
      </c>
      <c r="D94" s="114">
        <v>8</v>
      </c>
      <c r="E94" s="113"/>
      <c r="F94" s="113"/>
      <c r="G94" s="114">
        <v>10</v>
      </c>
      <c r="H94" s="114">
        <v>0</v>
      </c>
      <c r="I94" s="114">
        <v>0</v>
      </c>
      <c r="J94" s="113">
        <v>3</v>
      </c>
      <c r="K94" s="113">
        <v>2</v>
      </c>
      <c r="L94" s="114">
        <f t="shared" si="4"/>
        <v>45</v>
      </c>
      <c r="M94" s="115"/>
      <c r="N94" s="115">
        <f t="shared" si="3"/>
        <v>0</v>
      </c>
      <c r="O94" s="115">
        <f>'STS O&amp;M Input'!$C$24</f>
        <v>403</v>
      </c>
      <c r="P94" s="116">
        <f t="shared" si="5"/>
        <v>18135</v>
      </c>
    </row>
    <row r="95" spans="1:16" x14ac:dyDescent="0.25">
      <c r="A95" s="113">
        <v>84</v>
      </c>
      <c r="B95" s="114">
        <v>0</v>
      </c>
      <c r="C95" s="113">
        <v>0</v>
      </c>
      <c r="D95" s="114">
        <v>8</v>
      </c>
      <c r="E95" s="113"/>
      <c r="F95" s="113"/>
      <c r="G95" s="114">
        <v>10</v>
      </c>
      <c r="H95" s="113">
        <v>0</v>
      </c>
      <c r="I95" s="114">
        <v>0</v>
      </c>
      <c r="J95" s="113">
        <v>3</v>
      </c>
      <c r="K95" s="113">
        <v>2</v>
      </c>
      <c r="L95" s="114">
        <f t="shared" si="4"/>
        <v>45</v>
      </c>
      <c r="M95" s="115"/>
      <c r="N95" s="115">
        <f t="shared" si="3"/>
        <v>0</v>
      </c>
      <c r="O95" s="115">
        <f>'STS O&amp;M Input'!$C$24</f>
        <v>403</v>
      </c>
      <c r="P95" s="116">
        <f t="shared" si="5"/>
        <v>18135</v>
      </c>
    </row>
    <row r="96" spans="1:16" x14ac:dyDescent="0.25">
      <c r="A96" s="113">
        <v>85</v>
      </c>
      <c r="B96" s="114">
        <v>0</v>
      </c>
      <c r="C96" s="114">
        <v>0</v>
      </c>
      <c r="D96" s="114">
        <v>8</v>
      </c>
      <c r="E96" s="113"/>
      <c r="F96" s="113"/>
      <c r="G96" s="114">
        <v>10</v>
      </c>
      <c r="H96" s="113">
        <v>0</v>
      </c>
      <c r="I96" s="114">
        <v>0</v>
      </c>
      <c r="J96" s="113">
        <v>3</v>
      </c>
      <c r="K96" s="113">
        <v>2</v>
      </c>
      <c r="L96" s="114">
        <f t="shared" si="4"/>
        <v>45</v>
      </c>
      <c r="M96" s="115"/>
      <c r="N96" s="115">
        <f t="shared" si="3"/>
        <v>0</v>
      </c>
      <c r="O96" s="115">
        <f>'STS O&amp;M Input'!$C$24</f>
        <v>403</v>
      </c>
      <c r="P96" s="116">
        <f t="shared" si="5"/>
        <v>18135</v>
      </c>
    </row>
    <row r="97" spans="1:16" x14ac:dyDescent="0.25">
      <c r="A97" s="113">
        <v>86</v>
      </c>
      <c r="B97" s="113">
        <v>0</v>
      </c>
      <c r="C97" s="114">
        <v>0</v>
      </c>
      <c r="D97" s="114">
        <v>8</v>
      </c>
      <c r="E97" s="113"/>
      <c r="F97" s="113"/>
      <c r="G97" s="114">
        <v>10</v>
      </c>
      <c r="H97" s="114">
        <v>0</v>
      </c>
      <c r="I97" s="114">
        <v>0</v>
      </c>
      <c r="J97" s="113">
        <v>3</v>
      </c>
      <c r="K97" s="113">
        <v>2</v>
      </c>
      <c r="L97" s="114">
        <f t="shared" si="4"/>
        <v>45</v>
      </c>
      <c r="M97" s="115"/>
      <c r="N97" s="115">
        <f t="shared" si="3"/>
        <v>0</v>
      </c>
      <c r="O97" s="115">
        <f>'STS O&amp;M Input'!$C$24</f>
        <v>403</v>
      </c>
      <c r="P97" s="116">
        <f t="shared" si="5"/>
        <v>18135</v>
      </c>
    </row>
    <row r="98" spans="1:16" x14ac:dyDescent="0.25">
      <c r="A98" s="113">
        <v>87</v>
      </c>
      <c r="B98" s="113">
        <v>0</v>
      </c>
      <c r="C98" s="114">
        <v>0</v>
      </c>
      <c r="D98" s="114">
        <v>8</v>
      </c>
      <c r="E98" s="113"/>
      <c r="F98" s="113"/>
      <c r="G98" s="114">
        <v>10</v>
      </c>
      <c r="H98" s="113">
        <v>0</v>
      </c>
      <c r="I98" s="114">
        <v>0</v>
      </c>
      <c r="J98" s="113">
        <v>3</v>
      </c>
      <c r="K98" s="113">
        <v>2</v>
      </c>
      <c r="L98" s="114">
        <f t="shared" si="4"/>
        <v>45</v>
      </c>
      <c r="M98" s="115"/>
      <c r="N98" s="115">
        <f t="shared" si="3"/>
        <v>0</v>
      </c>
      <c r="O98" s="115">
        <f>'STS O&amp;M Input'!$C$24</f>
        <v>403</v>
      </c>
      <c r="P98" s="116">
        <f t="shared" si="5"/>
        <v>18135</v>
      </c>
    </row>
    <row r="99" spans="1:16" x14ac:dyDescent="0.25">
      <c r="A99" s="113">
        <v>88</v>
      </c>
      <c r="B99" s="113">
        <v>0</v>
      </c>
      <c r="C99" s="114">
        <v>0</v>
      </c>
      <c r="D99" s="114">
        <v>8</v>
      </c>
      <c r="E99" s="113"/>
      <c r="F99" s="113"/>
      <c r="G99" s="114">
        <v>10</v>
      </c>
      <c r="H99" s="113">
        <v>0</v>
      </c>
      <c r="I99" s="114">
        <v>0</v>
      </c>
      <c r="J99" s="113">
        <v>3</v>
      </c>
      <c r="K99" s="113">
        <v>2</v>
      </c>
      <c r="L99" s="114">
        <f t="shared" si="4"/>
        <v>45</v>
      </c>
      <c r="M99" s="115"/>
      <c r="N99" s="115">
        <f t="shared" si="3"/>
        <v>0</v>
      </c>
      <c r="O99" s="115">
        <f>'STS O&amp;M Input'!$C$24</f>
        <v>403</v>
      </c>
      <c r="P99" s="116">
        <f t="shared" si="5"/>
        <v>18135</v>
      </c>
    </row>
    <row r="100" spans="1:16" x14ac:dyDescent="0.25">
      <c r="A100" s="113">
        <v>89</v>
      </c>
      <c r="B100" s="113">
        <v>0</v>
      </c>
      <c r="C100" s="113">
        <v>0</v>
      </c>
      <c r="D100" s="114">
        <v>8</v>
      </c>
      <c r="E100" s="113"/>
      <c r="F100" s="113"/>
      <c r="G100" s="114">
        <v>10</v>
      </c>
      <c r="H100" s="114">
        <v>0</v>
      </c>
      <c r="I100" s="114">
        <v>0</v>
      </c>
      <c r="J100" s="113">
        <v>3</v>
      </c>
      <c r="K100" s="113">
        <v>2</v>
      </c>
      <c r="L100" s="114">
        <f t="shared" si="4"/>
        <v>45</v>
      </c>
      <c r="M100" s="115"/>
      <c r="N100" s="115">
        <f t="shared" si="3"/>
        <v>0</v>
      </c>
      <c r="O100" s="115">
        <f>'STS O&amp;M Input'!$C$24</f>
        <v>403</v>
      </c>
      <c r="P100" s="116">
        <f t="shared" si="5"/>
        <v>18135</v>
      </c>
    </row>
    <row r="101" spans="1:16" x14ac:dyDescent="0.25">
      <c r="A101" s="113">
        <v>90</v>
      </c>
      <c r="B101" s="114">
        <v>0</v>
      </c>
      <c r="C101" s="113">
        <v>0</v>
      </c>
      <c r="D101" s="114">
        <v>8</v>
      </c>
      <c r="E101" s="113"/>
      <c r="F101" s="113"/>
      <c r="G101" s="114">
        <v>10</v>
      </c>
      <c r="H101" s="113">
        <v>0</v>
      </c>
      <c r="I101" s="114">
        <v>0</v>
      </c>
      <c r="J101" s="113">
        <v>3</v>
      </c>
      <c r="K101" s="113">
        <v>2</v>
      </c>
      <c r="L101" s="114">
        <f t="shared" si="4"/>
        <v>45</v>
      </c>
      <c r="M101" s="115"/>
      <c r="N101" s="115">
        <f t="shared" si="3"/>
        <v>0</v>
      </c>
      <c r="O101" s="115">
        <f>'STS O&amp;M Input'!$C$24</f>
        <v>403</v>
      </c>
      <c r="P101" s="116">
        <f t="shared" si="5"/>
        <v>18135</v>
      </c>
    </row>
    <row r="102" spans="1:16" x14ac:dyDescent="0.25">
      <c r="A102" s="113">
        <v>91</v>
      </c>
      <c r="B102" s="114">
        <v>0</v>
      </c>
      <c r="C102" s="114">
        <v>0</v>
      </c>
      <c r="D102" s="114">
        <v>8</v>
      </c>
      <c r="E102" s="113"/>
      <c r="F102" s="113"/>
      <c r="G102" s="114">
        <v>10</v>
      </c>
      <c r="H102" s="113">
        <v>0</v>
      </c>
      <c r="I102" s="114">
        <v>0</v>
      </c>
      <c r="J102" s="113">
        <v>3</v>
      </c>
      <c r="K102" s="113">
        <v>2</v>
      </c>
      <c r="L102" s="114">
        <f t="shared" si="4"/>
        <v>45</v>
      </c>
      <c r="M102" s="115"/>
      <c r="N102" s="115">
        <f t="shared" si="3"/>
        <v>0</v>
      </c>
      <c r="O102" s="115">
        <f>'STS O&amp;M Input'!$C$24</f>
        <v>403</v>
      </c>
      <c r="P102" s="116">
        <f t="shared" si="5"/>
        <v>18135</v>
      </c>
    </row>
    <row r="103" spans="1:16" x14ac:dyDescent="0.25">
      <c r="A103" s="113">
        <v>92</v>
      </c>
      <c r="B103" s="114">
        <v>0</v>
      </c>
      <c r="C103" s="114">
        <v>0</v>
      </c>
      <c r="D103" s="114">
        <v>8</v>
      </c>
      <c r="E103" s="113"/>
      <c r="F103" s="113"/>
      <c r="G103" s="114">
        <v>10</v>
      </c>
      <c r="H103" s="114">
        <v>0</v>
      </c>
      <c r="I103" s="114">
        <v>0</v>
      </c>
      <c r="J103" s="113">
        <v>3</v>
      </c>
      <c r="K103" s="113">
        <v>2</v>
      </c>
      <c r="L103" s="114">
        <f t="shared" si="4"/>
        <v>45</v>
      </c>
      <c r="M103" s="115"/>
      <c r="N103" s="115">
        <f t="shared" si="3"/>
        <v>0</v>
      </c>
      <c r="O103" s="115">
        <f>'STS O&amp;M Input'!$C$24</f>
        <v>403</v>
      </c>
      <c r="P103" s="116">
        <f t="shared" si="5"/>
        <v>18135</v>
      </c>
    </row>
    <row r="104" spans="1:16" x14ac:dyDescent="0.25">
      <c r="A104" s="113">
        <v>93</v>
      </c>
      <c r="B104" s="114">
        <v>0</v>
      </c>
      <c r="C104" s="114">
        <v>0</v>
      </c>
      <c r="D104" s="114">
        <v>8</v>
      </c>
      <c r="E104" s="113"/>
      <c r="F104" s="113"/>
      <c r="G104" s="114">
        <v>10</v>
      </c>
      <c r="H104" s="113">
        <v>0</v>
      </c>
      <c r="I104" s="114">
        <v>0</v>
      </c>
      <c r="J104" s="113">
        <v>3</v>
      </c>
      <c r="K104" s="113">
        <v>2</v>
      </c>
      <c r="L104" s="114">
        <f t="shared" si="4"/>
        <v>45</v>
      </c>
      <c r="M104" s="115"/>
      <c r="N104" s="115">
        <f t="shared" si="3"/>
        <v>0</v>
      </c>
      <c r="O104" s="115">
        <f>'STS O&amp;M Input'!$C$24</f>
        <v>403</v>
      </c>
      <c r="P104" s="116">
        <f t="shared" si="5"/>
        <v>18135</v>
      </c>
    </row>
    <row r="105" spans="1:16" x14ac:dyDescent="0.25">
      <c r="A105" s="113">
        <v>94</v>
      </c>
      <c r="B105" s="114">
        <v>0</v>
      </c>
      <c r="C105" s="114">
        <v>0</v>
      </c>
      <c r="D105" s="114">
        <v>8</v>
      </c>
      <c r="E105" s="113"/>
      <c r="F105" s="113"/>
      <c r="G105" s="114">
        <v>10</v>
      </c>
      <c r="H105" s="113">
        <v>0</v>
      </c>
      <c r="I105" s="114">
        <v>0</v>
      </c>
      <c r="J105" s="113">
        <v>3</v>
      </c>
      <c r="K105" s="113">
        <v>2</v>
      </c>
      <c r="L105" s="114">
        <f t="shared" si="4"/>
        <v>45</v>
      </c>
      <c r="M105" s="115"/>
      <c r="N105" s="115">
        <f t="shared" si="3"/>
        <v>0</v>
      </c>
      <c r="O105" s="115">
        <f>'STS O&amp;M Input'!$C$24</f>
        <v>403</v>
      </c>
      <c r="P105" s="116">
        <f t="shared" si="5"/>
        <v>18135</v>
      </c>
    </row>
    <row r="106" spans="1:16" x14ac:dyDescent="0.25">
      <c r="A106" s="113">
        <v>95</v>
      </c>
      <c r="B106" s="113">
        <v>0</v>
      </c>
      <c r="C106" s="113">
        <v>0</v>
      </c>
      <c r="D106" s="114">
        <v>8</v>
      </c>
      <c r="E106" s="113"/>
      <c r="F106" s="113"/>
      <c r="G106" s="114">
        <v>10</v>
      </c>
      <c r="H106" s="114">
        <v>0</v>
      </c>
      <c r="I106" s="114">
        <v>0</v>
      </c>
      <c r="J106" s="113">
        <v>3</v>
      </c>
      <c r="K106" s="113">
        <v>2</v>
      </c>
      <c r="L106" s="114">
        <f t="shared" si="4"/>
        <v>45</v>
      </c>
      <c r="M106" s="115"/>
      <c r="N106" s="115">
        <f t="shared" si="3"/>
        <v>0</v>
      </c>
      <c r="O106" s="115">
        <f>'STS O&amp;M Input'!$C$24</f>
        <v>403</v>
      </c>
      <c r="P106" s="116">
        <f t="shared" si="5"/>
        <v>18135</v>
      </c>
    </row>
    <row r="107" spans="1:16" x14ac:dyDescent="0.25">
      <c r="A107" s="113">
        <v>96</v>
      </c>
      <c r="B107" s="113">
        <v>0</v>
      </c>
      <c r="C107" s="113">
        <v>0</v>
      </c>
      <c r="D107" s="114">
        <v>8</v>
      </c>
      <c r="E107" s="113"/>
      <c r="F107" s="113"/>
      <c r="G107" s="114">
        <v>10</v>
      </c>
      <c r="H107" s="113">
        <v>0</v>
      </c>
      <c r="I107" s="114">
        <v>0</v>
      </c>
      <c r="J107" s="113">
        <v>3</v>
      </c>
      <c r="K107" s="113">
        <v>2</v>
      </c>
      <c r="L107" s="114">
        <f t="shared" si="4"/>
        <v>45</v>
      </c>
      <c r="M107" s="115"/>
      <c r="N107" s="115">
        <f t="shared" si="3"/>
        <v>0</v>
      </c>
      <c r="O107" s="115">
        <f>'STS O&amp;M Input'!$C$24</f>
        <v>403</v>
      </c>
      <c r="P107" s="116">
        <f t="shared" si="5"/>
        <v>18135</v>
      </c>
    </row>
    <row r="108" spans="1:16" x14ac:dyDescent="0.25">
      <c r="A108" s="113">
        <v>97</v>
      </c>
      <c r="B108" s="113">
        <v>0</v>
      </c>
      <c r="C108" s="114">
        <v>0</v>
      </c>
      <c r="D108" s="114">
        <v>8</v>
      </c>
      <c r="E108" s="113"/>
      <c r="F108" s="113"/>
      <c r="G108" s="114">
        <v>10</v>
      </c>
      <c r="H108" s="113">
        <v>0</v>
      </c>
      <c r="I108" s="114">
        <v>0</v>
      </c>
      <c r="J108" s="113">
        <v>3</v>
      </c>
      <c r="K108" s="113">
        <v>2</v>
      </c>
      <c r="L108" s="114">
        <f t="shared" si="4"/>
        <v>45</v>
      </c>
      <c r="M108" s="115"/>
      <c r="N108" s="115">
        <f t="shared" si="3"/>
        <v>0</v>
      </c>
      <c r="O108" s="115">
        <f>'STS O&amp;M Input'!$C$24</f>
        <v>403</v>
      </c>
      <c r="P108" s="116">
        <f t="shared" si="5"/>
        <v>18135</v>
      </c>
    </row>
    <row r="109" spans="1:16" x14ac:dyDescent="0.25">
      <c r="A109" s="113">
        <v>98</v>
      </c>
      <c r="B109" s="113">
        <v>0</v>
      </c>
      <c r="C109" s="114">
        <v>0</v>
      </c>
      <c r="D109" s="114">
        <v>8</v>
      </c>
      <c r="E109" s="113"/>
      <c r="F109" s="113"/>
      <c r="G109" s="114">
        <v>10</v>
      </c>
      <c r="H109" s="114">
        <v>0</v>
      </c>
      <c r="I109" s="114">
        <v>0</v>
      </c>
      <c r="J109" s="113">
        <v>3</v>
      </c>
      <c r="K109" s="113">
        <v>2</v>
      </c>
      <c r="L109" s="114">
        <f t="shared" si="4"/>
        <v>45</v>
      </c>
      <c r="M109" s="115"/>
      <c r="N109" s="115">
        <f t="shared" si="3"/>
        <v>0</v>
      </c>
      <c r="O109" s="115">
        <f>'STS O&amp;M Input'!$C$24</f>
        <v>403</v>
      </c>
      <c r="P109" s="116">
        <f t="shared" si="5"/>
        <v>18135</v>
      </c>
    </row>
    <row r="110" spans="1:16" x14ac:dyDescent="0.25">
      <c r="A110" s="113">
        <v>99</v>
      </c>
      <c r="B110" s="114">
        <v>0</v>
      </c>
      <c r="C110" s="114">
        <v>0</v>
      </c>
      <c r="D110" s="114">
        <v>8</v>
      </c>
      <c r="E110" s="113"/>
      <c r="F110" s="113"/>
      <c r="G110" s="114">
        <v>10</v>
      </c>
      <c r="H110" s="113">
        <v>0</v>
      </c>
      <c r="I110" s="114">
        <v>0</v>
      </c>
      <c r="J110" s="113">
        <v>3</v>
      </c>
      <c r="K110" s="113">
        <v>2</v>
      </c>
      <c r="L110" s="114">
        <f t="shared" si="4"/>
        <v>45</v>
      </c>
      <c r="M110" s="115"/>
      <c r="N110" s="115">
        <f t="shared" si="3"/>
        <v>0</v>
      </c>
      <c r="O110" s="115">
        <f>'STS O&amp;M Input'!$C$24</f>
        <v>403</v>
      </c>
      <c r="P110" s="116">
        <f t="shared" si="5"/>
        <v>18135</v>
      </c>
    </row>
    <row r="111" spans="1:16" x14ac:dyDescent="0.25">
      <c r="A111" s="113">
        <v>100</v>
      </c>
      <c r="B111" s="114">
        <v>0</v>
      </c>
      <c r="C111" s="114">
        <v>0</v>
      </c>
      <c r="D111" s="114">
        <v>8</v>
      </c>
      <c r="E111" s="113"/>
      <c r="F111" s="113"/>
      <c r="G111" s="114">
        <v>10</v>
      </c>
      <c r="H111" s="113">
        <v>0</v>
      </c>
      <c r="I111" s="114">
        <v>0</v>
      </c>
      <c r="J111" s="113">
        <v>3</v>
      </c>
      <c r="K111" s="113">
        <v>2</v>
      </c>
      <c r="L111" s="114">
        <f t="shared" si="4"/>
        <v>45</v>
      </c>
      <c r="M111" s="115">
        <v>0</v>
      </c>
      <c r="N111" s="115">
        <f t="shared" si="3"/>
        <v>0</v>
      </c>
      <c r="O111" s="115">
        <f>'STS O&amp;M Input'!$C$24</f>
        <v>403</v>
      </c>
      <c r="P111" s="116">
        <f t="shared" si="5"/>
        <v>18135</v>
      </c>
    </row>
    <row r="112" spans="1:16" ht="13" x14ac:dyDescent="0.3">
      <c r="O112" s="117" t="s">
        <v>397</v>
      </c>
      <c r="P112" s="118">
        <f>SUM(P12:P111)</f>
        <v>2150408</v>
      </c>
    </row>
    <row r="113" spans="1:16" x14ac:dyDescent="0.25">
      <c r="A113" s="94" t="s">
        <v>69</v>
      </c>
    </row>
    <row r="114" spans="1:16" x14ac:dyDescent="0.25">
      <c r="A114" s="94" t="s">
        <v>86</v>
      </c>
    </row>
    <row r="115" spans="1:16" x14ac:dyDescent="0.25">
      <c r="A115" s="94" t="s">
        <v>680</v>
      </c>
    </row>
    <row r="116" spans="1:16" ht="27" customHeight="1" x14ac:dyDescent="0.25">
      <c r="A116" s="546" t="s">
        <v>681</v>
      </c>
      <c r="B116" s="546"/>
      <c r="C116" s="546"/>
      <c r="D116" s="546"/>
      <c r="E116" s="546"/>
      <c r="F116" s="546"/>
      <c r="G116" s="546"/>
      <c r="H116" s="546"/>
      <c r="I116" s="546"/>
      <c r="J116" s="546"/>
      <c r="K116" s="546"/>
      <c r="L116" s="546"/>
      <c r="M116" s="546"/>
      <c r="N116" s="546"/>
      <c r="O116" s="546"/>
      <c r="P116" s="546"/>
    </row>
    <row r="117" spans="1:16" x14ac:dyDescent="0.25">
      <c r="A117" s="94" t="s">
        <v>682</v>
      </c>
    </row>
    <row r="118" spans="1:16" x14ac:dyDescent="0.25">
      <c r="A118" s="94" t="s">
        <v>683</v>
      </c>
    </row>
  </sheetData>
  <mergeCells count="8">
    <mergeCell ref="A116:P116"/>
    <mergeCell ref="O9:O10"/>
    <mergeCell ref="P9:P10"/>
    <mergeCell ref="G7:H7"/>
    <mergeCell ref="B9:D9"/>
    <mergeCell ref="E9:G9"/>
    <mergeCell ref="H9:J9"/>
    <mergeCell ref="L9:L10"/>
  </mergeCells>
  <conditionalFormatting sqref="B11:K111">
    <cfRule type="cellIs" dxfId="1" priority="2" operator="equal">
      <formula>0</formula>
    </cfRule>
  </conditionalFormatting>
  <conditionalFormatting sqref="L11:L111">
    <cfRule type="cellIs" dxfId="0" priority="1" operator="equal">
      <formula>0</formula>
    </cfRule>
  </conditionalFormatting>
  <pageMargins left="0.7" right="0.7" top="0.75" bottom="0.75" header="0.3" footer="0.3"/>
  <pageSetup scale="61" orientation="portrait" r:id="rId1"/>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7908-EE14-41BD-A147-93410A65B559}">
  <sheetPr>
    <tabColor rgb="FF00B050"/>
  </sheetPr>
  <dimension ref="A1:P49"/>
  <sheetViews>
    <sheetView topLeftCell="A19" zoomScaleNormal="100" zoomScaleSheetLayoutView="100" workbookViewId="0">
      <selection activeCell="D31" sqref="D31"/>
    </sheetView>
  </sheetViews>
  <sheetFormatPr defaultColWidth="9.1796875" defaultRowHeight="12.5" x14ac:dyDescent="0.25"/>
  <cols>
    <col min="1" max="1" width="37.26953125" style="94" customWidth="1"/>
    <col min="2" max="2" width="3.453125" style="94" customWidth="1"/>
    <col min="3" max="8" width="14.7265625" style="94" customWidth="1"/>
    <col min="9" max="9" width="12.26953125" style="94" customWidth="1"/>
    <col min="10" max="16384" width="9.1796875" style="94"/>
  </cols>
  <sheetData>
    <row r="1" spans="1:13" x14ac:dyDescent="0.25">
      <c r="E1" s="98"/>
    </row>
    <row r="2" spans="1:13" ht="14.5" x14ac:dyDescent="0.35">
      <c r="D2" s="286" t="s">
        <v>0</v>
      </c>
      <c r="E2" s="98"/>
    </row>
    <row r="3" spans="1:13" ht="24" customHeight="1" x14ac:dyDescent="0.3">
      <c r="A3" s="3"/>
      <c r="B3" s="3"/>
      <c r="C3" s="3"/>
      <c r="L3" s="98"/>
      <c r="M3" s="112"/>
    </row>
    <row r="4" spans="1:13" ht="13" x14ac:dyDescent="0.3">
      <c r="A4" s="455" t="s">
        <v>1</v>
      </c>
      <c r="B4" s="587">
        <f>'2019 CCP Summary'!B4</f>
        <v>43536</v>
      </c>
      <c r="C4" s="587"/>
      <c r="L4" s="5"/>
      <c r="M4" s="24"/>
    </row>
    <row r="5" spans="1:13" ht="13" x14ac:dyDescent="0.3">
      <c r="A5" s="456" t="s">
        <v>2</v>
      </c>
      <c r="B5" s="6" t="s">
        <v>3</v>
      </c>
      <c r="C5" s="7"/>
      <c r="L5" s="5"/>
      <c r="M5" s="24"/>
    </row>
    <row r="6" spans="1:13" ht="13" x14ac:dyDescent="0.3">
      <c r="A6" s="456" t="s">
        <v>4</v>
      </c>
      <c r="B6" s="6" t="s">
        <v>398</v>
      </c>
      <c r="C6" s="8"/>
      <c r="G6" s="5" t="s">
        <v>0</v>
      </c>
      <c r="H6" s="24" t="s">
        <v>0</v>
      </c>
    </row>
    <row r="7" spans="1:13" ht="13" x14ac:dyDescent="0.3">
      <c r="A7" s="457" t="s">
        <v>6</v>
      </c>
      <c r="B7" s="6" t="s">
        <v>7</v>
      </c>
      <c r="C7" s="8"/>
      <c r="G7" s="538"/>
      <c r="H7" s="538"/>
    </row>
    <row r="8" spans="1:13" x14ac:dyDescent="0.25">
      <c r="A8" s="110"/>
      <c r="B8" s="110"/>
      <c r="C8" s="110"/>
      <c r="D8" s="110"/>
      <c r="E8" s="127"/>
      <c r="F8" s="128"/>
      <c r="G8" s="110"/>
      <c r="H8" s="110"/>
    </row>
    <row r="9" spans="1:13" ht="13" x14ac:dyDescent="0.3">
      <c r="A9" s="586" t="s">
        <v>399</v>
      </c>
      <c r="B9" s="586"/>
      <c r="C9" s="586"/>
      <c r="D9" s="586"/>
      <c r="E9" s="586"/>
      <c r="F9" s="586"/>
    </row>
    <row r="10" spans="1:13" x14ac:dyDescent="0.25">
      <c r="A10" s="94" t="s">
        <v>400</v>
      </c>
      <c r="B10" s="129" t="s">
        <v>401</v>
      </c>
      <c r="C10" s="130">
        <v>256</v>
      </c>
      <c r="D10" s="88" t="s">
        <v>402</v>
      </c>
    </row>
    <row r="11" spans="1:13" x14ac:dyDescent="0.25">
      <c r="A11" s="94" t="s">
        <v>403</v>
      </c>
      <c r="B11" s="129" t="s">
        <v>401</v>
      </c>
      <c r="C11" s="130">
        <v>2.86</v>
      </c>
      <c r="D11" s="88" t="s">
        <v>404</v>
      </c>
      <c r="E11" s="88"/>
      <c r="F11" s="88"/>
    </row>
    <row r="12" spans="1:13" x14ac:dyDescent="0.25">
      <c r="A12" s="94" t="s">
        <v>405</v>
      </c>
      <c r="B12" s="129" t="s">
        <v>401</v>
      </c>
      <c r="C12" s="130">
        <v>0.21</v>
      </c>
      <c r="D12" s="88" t="s">
        <v>406</v>
      </c>
      <c r="E12" s="88"/>
      <c r="F12" s="88"/>
    </row>
    <row r="13" spans="1:13" x14ac:dyDescent="0.25">
      <c r="A13" s="94" t="s">
        <v>407</v>
      </c>
      <c r="B13" s="129" t="s">
        <v>401</v>
      </c>
      <c r="C13" s="130">
        <v>3.38</v>
      </c>
      <c r="D13" s="88" t="s">
        <v>408</v>
      </c>
      <c r="E13" s="88"/>
      <c r="F13" s="88"/>
    </row>
    <row r="14" spans="1:13" x14ac:dyDescent="0.25">
      <c r="A14" s="94" t="s">
        <v>409</v>
      </c>
      <c r="B14" s="129" t="s">
        <v>401</v>
      </c>
      <c r="C14" s="130">
        <v>3.38</v>
      </c>
      <c r="D14" s="88" t="s">
        <v>408</v>
      </c>
      <c r="E14" s="88"/>
      <c r="F14" s="88"/>
    </row>
    <row r="15" spans="1:13" x14ac:dyDescent="0.25">
      <c r="A15" s="94" t="s">
        <v>410</v>
      </c>
      <c r="B15" s="129" t="s">
        <v>401</v>
      </c>
      <c r="C15" s="130">
        <v>7.37</v>
      </c>
      <c r="D15" s="88" t="s">
        <v>411</v>
      </c>
      <c r="E15" s="88"/>
      <c r="F15" s="88"/>
    </row>
    <row r="16" spans="1:13" x14ac:dyDescent="0.25">
      <c r="A16" s="94" t="s">
        <v>412</v>
      </c>
      <c r="B16" s="129" t="s">
        <v>401</v>
      </c>
      <c r="C16" s="130">
        <v>6.29</v>
      </c>
      <c r="D16" s="88" t="s">
        <v>411</v>
      </c>
      <c r="E16" s="88"/>
      <c r="F16" s="88"/>
    </row>
    <row r="17" spans="1:16" x14ac:dyDescent="0.25">
      <c r="A17" s="94" t="s">
        <v>413</v>
      </c>
      <c r="B17" s="129" t="s">
        <v>401</v>
      </c>
      <c r="C17" s="130">
        <v>8</v>
      </c>
      <c r="D17" s="88" t="s">
        <v>414</v>
      </c>
      <c r="E17" s="88"/>
      <c r="F17" s="88"/>
    </row>
    <row r="18" spans="1:16" x14ac:dyDescent="0.25">
      <c r="A18" s="94" t="s">
        <v>415</v>
      </c>
      <c r="B18" s="129" t="s">
        <v>401</v>
      </c>
      <c r="C18" s="130">
        <v>2.94</v>
      </c>
      <c r="D18" s="88" t="s">
        <v>414</v>
      </c>
      <c r="E18" s="88"/>
      <c r="F18" s="88"/>
    </row>
    <row r="19" spans="1:16" x14ac:dyDescent="0.25">
      <c r="B19" s="129"/>
      <c r="C19" s="130"/>
      <c r="D19" s="88"/>
      <c r="E19" s="88"/>
      <c r="F19" s="88"/>
    </row>
    <row r="20" spans="1:16" ht="13" x14ac:dyDescent="0.3">
      <c r="A20" s="117" t="s">
        <v>416</v>
      </c>
      <c r="B20" s="129"/>
      <c r="C20" s="130"/>
      <c r="D20" s="88"/>
      <c r="E20" s="88"/>
      <c r="F20" s="88"/>
    </row>
    <row r="21" spans="1:16" x14ac:dyDescent="0.25">
      <c r="A21" s="94" t="s">
        <v>417</v>
      </c>
      <c r="B21" s="129" t="s">
        <v>401</v>
      </c>
      <c r="C21" s="340">
        <v>4.438053878410439E-2</v>
      </c>
      <c r="D21" s="88" t="s">
        <v>418</v>
      </c>
      <c r="P21" s="94" t="s">
        <v>419</v>
      </c>
    </row>
    <row r="22" spans="1:16" x14ac:dyDescent="0.25">
      <c r="B22" s="129" t="s">
        <v>401</v>
      </c>
      <c r="C22" s="340">
        <v>4.4731460893662263E-2</v>
      </c>
      <c r="D22" s="88" t="s">
        <v>420</v>
      </c>
      <c r="E22" s="88"/>
      <c r="F22" s="88"/>
    </row>
    <row r="23" spans="1:16" ht="13" x14ac:dyDescent="0.3">
      <c r="A23" s="117" t="s">
        <v>421</v>
      </c>
      <c r="B23" s="129"/>
      <c r="C23" s="130"/>
      <c r="D23" s="88"/>
      <c r="E23" s="88"/>
      <c r="F23" s="88"/>
    </row>
    <row r="24" spans="1:16" x14ac:dyDescent="0.25">
      <c r="A24" s="94" t="s">
        <v>422</v>
      </c>
      <c r="B24" s="129" t="s">
        <v>401</v>
      </c>
      <c r="C24" s="130">
        <v>403</v>
      </c>
      <c r="D24" s="88" t="s">
        <v>423</v>
      </c>
    </row>
    <row r="25" spans="1:16" x14ac:dyDescent="0.25">
      <c r="B25" s="129"/>
      <c r="C25" s="130"/>
      <c r="D25" s="88"/>
    </row>
    <row r="26" spans="1:16" ht="13" x14ac:dyDescent="0.3">
      <c r="A26" s="117" t="s">
        <v>424</v>
      </c>
      <c r="B26" s="129"/>
      <c r="C26" s="130"/>
      <c r="D26" s="88"/>
    </row>
    <row r="27" spans="1:16" x14ac:dyDescent="0.25">
      <c r="A27" s="94" t="s">
        <v>425</v>
      </c>
      <c r="B27" s="129" t="s">
        <v>401</v>
      </c>
      <c r="C27" s="130">
        <v>18.600000000000001</v>
      </c>
      <c r="D27" s="88" t="s">
        <v>426</v>
      </c>
    </row>
    <row r="28" spans="1:16" x14ac:dyDescent="0.25">
      <c r="A28" s="94" t="s">
        <v>427</v>
      </c>
      <c r="B28" s="129" t="s">
        <v>401</v>
      </c>
      <c r="C28" s="130">
        <v>31.1</v>
      </c>
      <c r="D28" s="88" t="s">
        <v>428</v>
      </c>
    </row>
    <row r="29" spans="1:16" x14ac:dyDescent="0.25">
      <c r="A29" s="94" t="s">
        <v>429</v>
      </c>
      <c r="B29" s="129" t="s">
        <v>401</v>
      </c>
      <c r="C29" s="130">
        <v>19.829999999999998</v>
      </c>
      <c r="D29" s="88" t="s">
        <v>430</v>
      </c>
    </row>
    <row r="30" spans="1:16" ht="12.65" customHeight="1" x14ac:dyDescent="0.25">
      <c r="A30" s="94" t="s">
        <v>431</v>
      </c>
      <c r="B30" s="129" t="s">
        <v>401</v>
      </c>
      <c r="C30" s="130">
        <v>5.94</v>
      </c>
      <c r="D30" s="88" t="s">
        <v>432</v>
      </c>
    </row>
    <row r="31" spans="1:16" ht="12.65" customHeight="1" x14ac:dyDescent="0.25">
      <c r="A31" s="296" t="s">
        <v>433</v>
      </c>
      <c r="B31" s="129" t="s">
        <v>401</v>
      </c>
      <c r="C31" s="130">
        <f>17.61+5.63+0.6</f>
        <v>23.84</v>
      </c>
      <c r="D31" s="299" t="s">
        <v>434</v>
      </c>
    </row>
    <row r="32" spans="1:16" x14ac:dyDescent="0.25">
      <c r="A32" s="296" t="s">
        <v>435</v>
      </c>
      <c r="B32" s="129" t="s">
        <v>401</v>
      </c>
      <c r="C32" s="444">
        <f>32.4+12.45+0.6</f>
        <v>45.449999999999996</v>
      </c>
      <c r="D32" s="445" t="s">
        <v>434</v>
      </c>
    </row>
    <row r="33" spans="1:9" x14ac:dyDescent="0.25">
      <c r="A33" s="296" t="s">
        <v>436</v>
      </c>
      <c r="B33" s="129" t="s">
        <v>401</v>
      </c>
      <c r="C33" s="444">
        <f>38.51+16.02+0.6</f>
        <v>55.13</v>
      </c>
      <c r="D33" s="445" t="s">
        <v>434</v>
      </c>
    </row>
    <row r="34" spans="1:9" x14ac:dyDescent="0.25">
      <c r="A34" s="296" t="s">
        <v>437</v>
      </c>
      <c r="B34" s="129"/>
      <c r="C34" s="444">
        <f>(31.55+10.75+0.6)*1.26</f>
        <v>54.054000000000002</v>
      </c>
      <c r="D34" s="445" t="s">
        <v>438</v>
      </c>
    </row>
    <row r="35" spans="1:9" x14ac:dyDescent="0.25">
      <c r="A35" s="94" t="s">
        <v>200</v>
      </c>
      <c r="B35" s="129"/>
      <c r="C35" s="444">
        <f>26.5+15.56+0.6+6</f>
        <v>48.660000000000004</v>
      </c>
      <c r="D35" s="445" t="s">
        <v>439</v>
      </c>
    </row>
    <row r="36" spans="1:9" ht="13" x14ac:dyDescent="0.3">
      <c r="A36" s="117" t="s">
        <v>440</v>
      </c>
      <c r="B36" s="129"/>
      <c r="C36" s="130"/>
      <c r="D36" s="88"/>
    </row>
    <row r="37" spans="1:9" x14ac:dyDescent="0.25">
      <c r="A37" s="94" t="s">
        <v>117</v>
      </c>
      <c r="B37" s="129" t="s">
        <v>401</v>
      </c>
      <c r="C37" s="289">
        <v>0.01</v>
      </c>
      <c r="D37" s="88" t="s">
        <v>441</v>
      </c>
    </row>
    <row r="38" spans="1:9" x14ac:dyDescent="0.25">
      <c r="A38" s="94" t="s">
        <v>167</v>
      </c>
      <c r="B38" s="129" t="s">
        <v>401</v>
      </c>
      <c r="C38" s="289">
        <v>1.4999999999999999E-2</v>
      </c>
      <c r="D38" s="88" t="s">
        <v>441</v>
      </c>
    </row>
    <row r="39" spans="1:9" x14ac:dyDescent="0.25">
      <c r="B39" s="129"/>
      <c r="C39" s="130"/>
      <c r="D39" s="88"/>
    </row>
    <row r="40" spans="1:9" x14ac:dyDescent="0.25">
      <c r="A40" s="94" t="s">
        <v>442</v>
      </c>
      <c r="B40" s="94" t="s">
        <v>401</v>
      </c>
      <c r="C40" s="130">
        <v>50</v>
      </c>
      <c r="D40" s="94" t="s">
        <v>443</v>
      </c>
    </row>
    <row r="41" spans="1:9" x14ac:dyDescent="0.25">
      <c r="A41" s="296"/>
      <c r="B41" s="298"/>
      <c r="C41" s="298"/>
      <c r="D41" s="298"/>
      <c r="E41" s="7"/>
      <c r="F41" s="7"/>
      <c r="G41" s="7"/>
      <c r="H41" s="7"/>
      <c r="I41" s="7"/>
    </row>
    <row r="42" spans="1:9" x14ac:dyDescent="0.25">
      <c r="C42" s="298"/>
      <c r="D42" s="298"/>
      <c r="E42" s="7"/>
      <c r="F42" s="7"/>
      <c r="G42" s="7"/>
      <c r="H42" s="7"/>
      <c r="I42" s="7"/>
    </row>
    <row r="43" spans="1:9" x14ac:dyDescent="0.25">
      <c r="C43" s="298"/>
      <c r="D43" s="298"/>
      <c r="E43" s="7"/>
      <c r="F43" s="7"/>
      <c r="G43" s="7"/>
      <c r="H43" s="7"/>
      <c r="I43" s="7"/>
    </row>
    <row r="44" spans="1:9" x14ac:dyDescent="0.25">
      <c r="C44" s="298"/>
      <c r="D44" s="298"/>
      <c r="E44" s="7"/>
      <c r="F44" s="7"/>
      <c r="G44" s="7"/>
      <c r="H44" s="7"/>
      <c r="I44" s="7"/>
    </row>
    <row r="45" spans="1:9" x14ac:dyDescent="0.25">
      <c r="A45" s="300"/>
      <c r="B45" s="297"/>
      <c r="C45" s="297"/>
      <c r="D45" s="297"/>
      <c r="E45" s="297"/>
      <c r="F45" s="297"/>
      <c r="G45" s="297"/>
      <c r="H45" s="7"/>
      <c r="I45" s="7"/>
    </row>
    <row r="46" spans="1:9" x14ac:dyDescent="0.25">
      <c r="A46" s="299"/>
      <c r="B46" s="297"/>
      <c r="C46" s="297"/>
      <c r="D46" s="297"/>
      <c r="E46" s="297"/>
      <c r="F46" s="297"/>
      <c r="G46" s="297"/>
      <c r="H46" s="7"/>
      <c r="I46" s="7"/>
    </row>
    <row r="47" spans="1:9" x14ac:dyDescent="0.25">
      <c r="A47" s="300"/>
      <c r="B47" s="297"/>
      <c r="C47" s="297"/>
      <c r="D47" s="297"/>
      <c r="E47" s="297"/>
      <c r="F47" s="297"/>
      <c r="G47" s="297"/>
      <c r="H47" s="7"/>
      <c r="I47" s="7"/>
    </row>
    <row r="48" spans="1:9" x14ac:dyDescent="0.25">
      <c r="A48" s="297"/>
      <c r="B48" s="297"/>
      <c r="C48" s="297"/>
      <c r="D48" s="297"/>
      <c r="E48" s="297"/>
      <c r="F48" s="297"/>
      <c r="G48" s="297"/>
      <c r="H48" s="7"/>
      <c r="I48" s="7"/>
    </row>
    <row r="49" spans="1:9" x14ac:dyDescent="0.25">
      <c r="A49" s="297"/>
      <c r="B49" s="297"/>
      <c r="C49" s="297"/>
      <c r="D49" s="297"/>
      <c r="E49" s="297"/>
      <c r="F49" s="297"/>
      <c r="G49" s="297"/>
      <c r="H49" s="7"/>
      <c r="I49" s="7"/>
    </row>
  </sheetData>
  <mergeCells count="3">
    <mergeCell ref="G7:H7"/>
    <mergeCell ref="A9:F9"/>
    <mergeCell ref="B4:C4"/>
  </mergeCells>
  <pageMargins left="0.7" right="0.7" top="0.75" bottom="0.75" header="0.3" footer="0.3"/>
  <pageSetup scale="64"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787C-EC73-422A-B680-2BAAA6CA0E8A}">
  <sheetPr>
    <tabColor rgb="FF00B050"/>
  </sheetPr>
  <dimension ref="A2:Y390"/>
  <sheetViews>
    <sheetView topLeftCell="A136" zoomScale="80" zoomScaleNormal="80" workbookViewId="0">
      <selection activeCell="F155" sqref="F155"/>
    </sheetView>
  </sheetViews>
  <sheetFormatPr defaultRowHeight="14.5" x14ac:dyDescent="0.35"/>
  <cols>
    <col min="1" max="1" width="48.1796875" style="23" customWidth="1"/>
    <col min="2" max="2" width="7.26953125" style="23" customWidth="1"/>
    <col min="3" max="3" width="16.54296875" style="23" customWidth="1"/>
    <col min="4" max="4" width="23.81640625" style="23" bestFit="1" customWidth="1"/>
    <col min="5" max="5" width="2" style="23" bestFit="1" customWidth="1"/>
    <col min="6" max="6" width="12.26953125" style="23" bestFit="1" customWidth="1"/>
    <col min="7" max="7" width="15" style="23" bestFit="1" customWidth="1"/>
    <col min="8" max="8" width="2" style="23" bestFit="1" customWidth="1"/>
    <col min="9" max="9" width="12.81640625" style="23" bestFit="1" customWidth="1"/>
    <col min="10" max="10" width="9.1796875" style="23"/>
    <col min="11" max="11" width="2.26953125" style="23" bestFit="1" customWidth="1"/>
    <col min="12" max="12" width="10.453125" style="23" customWidth="1"/>
    <col min="13" max="13" width="15.1796875" style="23" customWidth="1"/>
    <col min="14" max="14" width="2.1796875" style="23" bestFit="1" customWidth="1"/>
    <col min="15" max="15" width="10.1796875" style="23" customWidth="1"/>
    <col min="16" max="16" width="13.26953125" style="23" customWidth="1"/>
    <col min="17" max="17" width="2.54296875" style="23" customWidth="1"/>
    <col min="18" max="18" width="10.7265625" style="23" customWidth="1"/>
    <col min="19" max="19" width="7.81640625" style="23" bestFit="1" customWidth="1"/>
    <col min="20" max="20" width="2" style="23" bestFit="1" customWidth="1"/>
    <col min="21" max="21" width="9.26953125" style="23" bestFit="1" customWidth="1"/>
    <col min="22" max="22" width="11.26953125" style="23" customWidth="1"/>
    <col min="23" max="23" width="2" style="23" bestFit="1" customWidth="1"/>
    <col min="24" max="24" width="4" style="23" customWidth="1"/>
    <col min="25" max="25" width="11.26953125" style="23" bestFit="1" customWidth="1"/>
  </cols>
  <sheetData>
    <row r="2" spans="1:14" x14ac:dyDescent="0.35">
      <c r="A2" s="471"/>
      <c r="B2" s="471"/>
      <c r="C2" s="471"/>
      <c r="D2" s="286"/>
      <c r="E2" s="471"/>
      <c r="F2" s="471"/>
      <c r="G2" s="471"/>
      <c r="H2" s="471"/>
      <c r="I2" s="471"/>
      <c r="J2" s="471"/>
      <c r="K2" s="471"/>
      <c r="L2" s="471"/>
      <c r="M2" s="471"/>
      <c r="N2" s="471"/>
    </row>
    <row r="3" spans="1:14" ht="18" x14ac:dyDescent="0.4">
      <c r="A3" s="3"/>
      <c r="B3" s="3"/>
      <c r="C3" s="3"/>
      <c r="D3" s="3"/>
      <c r="E3" s="3"/>
      <c r="F3" s="291"/>
      <c r="G3" s="3"/>
      <c r="H3" s="3"/>
      <c r="I3" s="3"/>
      <c r="J3" s="471"/>
      <c r="K3" s="3"/>
      <c r="L3" s="471"/>
      <c r="M3" s="471"/>
      <c r="N3" s="3"/>
    </row>
    <row r="4" spans="1:14" x14ac:dyDescent="0.35">
      <c r="A4" s="25" t="s">
        <v>1</v>
      </c>
      <c r="B4" s="588">
        <v>43497</v>
      </c>
      <c r="C4" s="588"/>
      <c r="D4" s="589"/>
      <c r="E4" s="589"/>
      <c r="F4" s="590"/>
      <c r="G4" s="590"/>
      <c r="H4" s="590"/>
      <c r="I4" s="590"/>
      <c r="J4" s="471"/>
      <c r="K4" s="471"/>
      <c r="L4" s="471"/>
      <c r="M4" s="471"/>
      <c r="N4" s="471"/>
    </row>
    <row r="5" spans="1:14" x14ac:dyDescent="0.35">
      <c r="A5" s="292" t="s">
        <v>2</v>
      </c>
      <c r="B5" s="591">
        <v>11301153</v>
      </c>
      <c r="C5" s="591"/>
      <c r="D5" s="589"/>
      <c r="E5" s="589"/>
      <c r="F5" s="590"/>
      <c r="G5" s="590"/>
      <c r="H5" s="590"/>
      <c r="I5" s="590"/>
      <c r="J5" s="471"/>
      <c r="K5" s="465"/>
      <c r="L5" s="471"/>
      <c r="M5" s="471"/>
      <c r="N5" s="465"/>
    </row>
    <row r="6" spans="1:14" x14ac:dyDescent="0.35">
      <c r="A6" s="292" t="s">
        <v>4</v>
      </c>
      <c r="B6" s="591" t="s">
        <v>444</v>
      </c>
      <c r="C6" s="591"/>
      <c r="D6" s="589" t="s">
        <v>0</v>
      </c>
      <c r="E6" s="589"/>
      <c r="F6" s="590" t="s">
        <v>0</v>
      </c>
      <c r="G6" s="590"/>
      <c r="H6" s="590"/>
      <c r="I6" s="590"/>
      <c r="J6" s="471"/>
      <c r="K6" s="25"/>
      <c r="L6" s="471"/>
      <c r="M6" s="471"/>
      <c r="N6" s="25"/>
    </row>
    <row r="7" spans="1:14" x14ac:dyDescent="0.35">
      <c r="A7" s="293" t="s">
        <v>6</v>
      </c>
      <c r="B7" s="592" t="s">
        <v>445</v>
      </c>
      <c r="C7" s="592"/>
      <c r="D7" s="466"/>
      <c r="E7" s="294"/>
      <c r="F7" s="295"/>
      <c r="G7" s="3"/>
      <c r="H7" s="3"/>
      <c r="I7" s="3"/>
      <c r="J7" s="471"/>
      <c r="K7" s="471"/>
      <c r="L7" s="471"/>
      <c r="M7" s="471"/>
      <c r="N7" s="471"/>
    </row>
    <row r="9" spans="1:14" ht="15.5" x14ac:dyDescent="0.35">
      <c r="A9" s="593" t="s">
        <v>446</v>
      </c>
      <c r="B9" s="593"/>
      <c r="C9" s="593"/>
      <c r="D9" s="593"/>
      <c r="E9" s="593"/>
      <c r="F9" s="593"/>
      <c r="G9" s="593"/>
      <c r="H9" s="593"/>
      <c r="I9" s="593"/>
      <c r="J9" s="593"/>
      <c r="K9" s="471"/>
      <c r="L9" s="471"/>
      <c r="M9" s="471"/>
      <c r="N9" s="471"/>
    </row>
    <row r="10" spans="1:14" ht="15.5" x14ac:dyDescent="0.35">
      <c r="A10" s="472" t="s">
        <v>447</v>
      </c>
      <c r="B10" s="473" t="s">
        <v>401</v>
      </c>
      <c r="C10" s="474">
        <v>6</v>
      </c>
      <c r="D10" s="471"/>
      <c r="E10" s="30"/>
      <c r="F10" s="30"/>
      <c r="G10" s="30"/>
      <c r="H10" s="30"/>
      <c r="I10" s="30"/>
      <c r="J10" s="30"/>
      <c r="K10" s="471"/>
      <c r="L10" s="471"/>
      <c r="M10" s="471"/>
      <c r="N10" s="471"/>
    </row>
    <row r="11" spans="1:14" ht="15.5" x14ac:dyDescent="0.35">
      <c r="A11" s="26" t="s">
        <v>448</v>
      </c>
      <c r="B11" s="27" t="s">
        <v>401</v>
      </c>
      <c r="C11" s="28">
        <f>ROUNDUP('STS Calculation Summary'!H112,-2)</f>
        <v>1400</v>
      </c>
      <c r="D11" s="29" t="s">
        <v>264</v>
      </c>
      <c r="E11" s="30"/>
      <c r="F11" s="30"/>
      <c r="G11" s="30"/>
      <c r="H11" s="30"/>
      <c r="I11" s="30"/>
      <c r="J11" s="30"/>
      <c r="K11" s="471"/>
      <c r="L11" s="471"/>
      <c r="M11" s="471"/>
      <c r="N11" s="471"/>
    </row>
    <row r="12" spans="1:14" ht="15.5" x14ac:dyDescent="0.35">
      <c r="A12" s="31" t="s">
        <v>449</v>
      </c>
      <c r="B12" s="32" t="s">
        <v>401</v>
      </c>
      <c r="C12" s="33">
        <f>ROUNDUP('STS Calculation Summary'!H111,-2)</f>
        <v>700</v>
      </c>
      <c r="D12" s="34" t="s">
        <v>264</v>
      </c>
      <c r="E12" s="30"/>
      <c r="F12" s="30"/>
      <c r="G12" s="30"/>
      <c r="H12" s="30"/>
      <c r="I12" s="30"/>
      <c r="J12" s="30"/>
      <c r="K12" s="471"/>
      <c r="L12" s="471"/>
      <c r="M12" s="471"/>
      <c r="N12" s="471"/>
    </row>
    <row r="13" spans="1:14" x14ac:dyDescent="0.35">
      <c r="A13" s="29" t="s">
        <v>450</v>
      </c>
      <c r="B13" s="27" t="s">
        <v>401</v>
      </c>
      <c r="C13" s="28">
        <f>ROUNDUP('STS Calculation Summary'!D112,-2)</f>
        <v>1100</v>
      </c>
      <c r="D13" s="29" t="s">
        <v>264</v>
      </c>
      <c r="E13" s="471"/>
      <c r="F13" s="471"/>
      <c r="G13" s="471"/>
      <c r="H13" s="471"/>
      <c r="I13" s="471"/>
      <c r="J13" s="471"/>
      <c r="K13" s="471"/>
      <c r="L13" s="471"/>
      <c r="M13" s="471"/>
      <c r="N13" s="471"/>
    </row>
    <row r="14" spans="1:14" x14ac:dyDescent="0.35">
      <c r="A14" s="34" t="s">
        <v>451</v>
      </c>
      <c r="B14" s="32" t="s">
        <v>401</v>
      </c>
      <c r="C14" s="33">
        <f>ROUNDUP('STS Calculation Summary'!D111,-1)</f>
        <v>620</v>
      </c>
      <c r="D14" s="34" t="s">
        <v>264</v>
      </c>
      <c r="E14" s="471"/>
      <c r="F14" s="248"/>
      <c r="G14" s="471"/>
      <c r="H14" s="471"/>
      <c r="I14" s="471"/>
      <c r="J14" s="471"/>
      <c r="K14" s="471"/>
      <c r="L14" s="471"/>
      <c r="M14" s="471"/>
      <c r="N14" s="471"/>
    </row>
    <row r="15" spans="1:14" x14ac:dyDescent="0.35">
      <c r="A15" s="29" t="s">
        <v>452</v>
      </c>
      <c r="B15" s="27" t="s">
        <v>401</v>
      </c>
      <c r="C15" s="28">
        <f>'STS Calculation Summary'!O112</f>
        <v>6858.393508587802</v>
      </c>
      <c r="D15" s="29" t="s">
        <v>453</v>
      </c>
      <c r="E15" s="471"/>
      <c r="F15" s="471"/>
      <c r="G15" s="471"/>
      <c r="H15" s="471"/>
      <c r="I15" s="471"/>
      <c r="J15" s="471"/>
      <c r="K15" s="471"/>
      <c r="L15" s="471"/>
      <c r="M15" s="471"/>
      <c r="N15" s="471"/>
    </row>
    <row r="16" spans="1:14" x14ac:dyDescent="0.35">
      <c r="A16" s="34" t="s">
        <v>454</v>
      </c>
      <c r="B16" s="32" t="s">
        <v>401</v>
      </c>
      <c r="C16" s="33">
        <f>'STS Calculation Summary'!O111</f>
        <v>3636.3839657221251</v>
      </c>
      <c r="D16" s="34" t="s">
        <v>453</v>
      </c>
      <c r="E16" s="471"/>
      <c r="F16" s="471"/>
      <c r="G16" s="471"/>
      <c r="H16" s="471"/>
      <c r="I16" s="471"/>
      <c r="J16" s="471"/>
      <c r="K16" s="471"/>
      <c r="L16" s="471"/>
      <c r="M16" s="471"/>
      <c r="N16" s="471"/>
    </row>
    <row r="17" spans="1:25" x14ac:dyDescent="0.35">
      <c r="A17" s="29" t="s">
        <v>455</v>
      </c>
      <c r="B17" s="27" t="s">
        <v>401</v>
      </c>
      <c r="C17" s="28">
        <f>'STS Calculation Summary'!E16</f>
        <v>123.50834769768119</v>
      </c>
      <c r="D17" s="29" t="s">
        <v>264</v>
      </c>
      <c r="E17" s="471"/>
      <c r="F17" s="471"/>
      <c r="G17" s="471"/>
      <c r="H17" s="471"/>
      <c r="I17" s="471"/>
      <c r="J17" s="471"/>
      <c r="K17" s="471"/>
      <c r="L17" s="471"/>
      <c r="M17" s="471"/>
      <c r="N17" s="471"/>
      <c r="O17" s="471"/>
      <c r="P17" s="471"/>
      <c r="Q17" s="471"/>
      <c r="R17" s="471"/>
      <c r="S17" s="471"/>
      <c r="T17" s="471"/>
      <c r="U17" s="471"/>
      <c r="V17" s="471"/>
      <c r="W17" s="471"/>
      <c r="X17" s="471"/>
      <c r="Y17" s="471"/>
    </row>
    <row r="18" spans="1:25" x14ac:dyDescent="0.35">
      <c r="A18" s="29" t="s">
        <v>456</v>
      </c>
      <c r="B18" s="27" t="s">
        <v>401</v>
      </c>
      <c r="C18" s="28">
        <f>'STS Calculation Summary'!V112</f>
        <v>295452.99989571888</v>
      </c>
      <c r="D18" s="29" t="s">
        <v>457</v>
      </c>
      <c r="E18" s="471"/>
      <c r="F18" s="471"/>
      <c r="G18" s="471"/>
      <c r="H18" s="471"/>
      <c r="I18" s="471"/>
      <c r="J18" s="471"/>
      <c r="K18" s="471"/>
      <c r="L18" s="471"/>
      <c r="M18" s="471"/>
      <c r="N18" s="471"/>
      <c r="O18" s="471"/>
      <c r="P18" s="471"/>
      <c r="Q18" s="471"/>
      <c r="R18" s="471"/>
      <c r="S18" s="471"/>
      <c r="T18" s="471"/>
      <c r="U18" s="471"/>
      <c r="V18" s="471"/>
      <c r="W18" s="471"/>
      <c r="X18" s="471"/>
      <c r="Y18" s="471"/>
    </row>
    <row r="19" spans="1:25" x14ac:dyDescent="0.35">
      <c r="A19" s="34" t="s">
        <v>458</v>
      </c>
      <c r="B19" s="32" t="s">
        <v>401</v>
      </c>
      <c r="C19" s="33">
        <f>'STS Calculation Summary'!V111</f>
        <v>108339.61122482012</v>
      </c>
      <c r="D19" s="34" t="s">
        <v>457</v>
      </c>
      <c r="E19" s="471"/>
      <c r="F19" s="471"/>
      <c r="G19" s="471"/>
      <c r="H19" s="471"/>
      <c r="I19" s="471"/>
      <c r="J19" s="471"/>
      <c r="K19" s="471"/>
      <c r="L19" s="471"/>
      <c r="M19" s="471"/>
      <c r="N19" s="471"/>
      <c r="O19" s="471"/>
      <c r="P19" s="471"/>
      <c r="Q19" s="471"/>
      <c r="R19" s="471"/>
      <c r="S19" s="471"/>
      <c r="T19" s="471"/>
      <c r="U19" s="471"/>
      <c r="V19" s="471"/>
      <c r="W19" s="471"/>
      <c r="X19" s="471"/>
      <c r="Y19" s="471"/>
    </row>
    <row r="20" spans="1:25" x14ac:dyDescent="0.35">
      <c r="A20" s="29" t="s">
        <v>459</v>
      </c>
      <c r="B20" s="27" t="s">
        <v>401</v>
      </c>
      <c r="C20" s="28">
        <f>ROUNDUP('STS Calculation Summary'!L112,-2)</f>
        <v>1500</v>
      </c>
      <c r="D20" s="29" t="s">
        <v>264</v>
      </c>
      <c r="E20" s="471"/>
      <c r="F20" s="471"/>
      <c r="G20" s="471"/>
      <c r="H20" s="471"/>
      <c r="I20" s="471"/>
      <c r="J20" s="471"/>
      <c r="K20" s="471"/>
      <c r="L20" s="471"/>
      <c r="M20" s="471"/>
      <c r="N20" s="471"/>
      <c r="O20" s="471"/>
      <c r="P20" s="471"/>
      <c r="Q20" s="471"/>
      <c r="R20" s="471"/>
      <c r="S20" s="471"/>
      <c r="T20" s="471"/>
      <c r="U20" s="471"/>
      <c r="V20" s="471"/>
      <c r="W20" s="471"/>
      <c r="X20" s="471"/>
      <c r="Y20" s="471"/>
    </row>
    <row r="21" spans="1:25" x14ac:dyDescent="0.35">
      <c r="A21" s="34" t="s">
        <v>460</v>
      </c>
      <c r="B21" s="32" t="s">
        <v>401</v>
      </c>
      <c r="C21" s="33">
        <f>ROUNDUP('STS Calculation Summary'!L111,-2)</f>
        <v>800</v>
      </c>
      <c r="D21" s="34" t="s">
        <v>264</v>
      </c>
      <c r="E21" s="471"/>
      <c r="F21" s="471"/>
      <c r="G21" s="471"/>
      <c r="H21" s="471"/>
      <c r="I21" s="471"/>
      <c r="J21" s="471"/>
      <c r="K21" s="471"/>
      <c r="L21" s="471"/>
      <c r="M21" s="471"/>
      <c r="N21" s="471"/>
      <c r="O21" s="471"/>
      <c r="P21" s="471"/>
      <c r="Q21" s="471" t="s">
        <v>0</v>
      </c>
      <c r="R21" s="471"/>
      <c r="S21" s="471"/>
      <c r="T21" s="471"/>
      <c r="U21" s="471"/>
      <c r="V21" s="471"/>
      <c r="W21" s="471"/>
      <c r="X21" s="471"/>
      <c r="Y21" s="471"/>
    </row>
    <row r="22" spans="1:25" x14ac:dyDescent="0.35">
      <c r="A22" s="34"/>
      <c r="B22" s="32"/>
      <c r="C22" s="33"/>
      <c r="D22" s="34"/>
      <c r="E22" s="471"/>
      <c r="F22" s="471"/>
      <c r="G22" s="471"/>
      <c r="H22" s="471"/>
      <c r="I22" s="471"/>
      <c r="J22" s="471"/>
      <c r="K22" s="471"/>
      <c r="L22" s="471"/>
      <c r="M22" s="471"/>
      <c r="N22" s="471"/>
      <c r="O22" s="471"/>
      <c r="P22" s="471"/>
      <c r="Q22" s="471"/>
      <c r="R22" s="471"/>
      <c r="S22" s="471"/>
      <c r="T22" s="471"/>
      <c r="U22" s="471"/>
      <c r="V22" s="471"/>
      <c r="W22" s="471"/>
      <c r="X22" s="471"/>
      <c r="Y22" s="471"/>
    </row>
    <row r="23" spans="1:25" x14ac:dyDescent="0.35">
      <c r="A23" s="34" t="s">
        <v>461</v>
      </c>
      <c r="B23" s="32"/>
      <c r="C23" s="33"/>
      <c r="D23" s="34"/>
      <c r="E23" s="471"/>
      <c r="F23" s="471"/>
      <c r="G23" s="471"/>
      <c r="H23" s="471"/>
      <c r="I23" s="471"/>
      <c r="J23" s="471"/>
      <c r="K23" s="471"/>
      <c r="L23" s="471"/>
      <c r="M23" s="471"/>
      <c r="N23" s="471"/>
      <c r="O23" s="471"/>
      <c r="P23" s="471"/>
      <c r="Q23" s="471"/>
      <c r="R23" s="471"/>
      <c r="S23" s="471"/>
      <c r="T23" s="471"/>
      <c r="U23" s="471"/>
      <c r="V23" s="471"/>
      <c r="W23" s="471"/>
      <c r="X23" s="471"/>
      <c r="Y23" s="471"/>
    </row>
    <row r="24" spans="1:25" x14ac:dyDescent="0.35">
      <c r="A24" s="34"/>
      <c r="B24" s="32"/>
      <c r="C24" s="33"/>
      <c r="D24" s="34"/>
      <c r="E24" s="471"/>
      <c r="F24" s="471"/>
      <c r="G24" s="471"/>
      <c r="H24" s="471"/>
      <c r="I24" s="471"/>
      <c r="J24" s="471"/>
      <c r="K24" s="471"/>
      <c r="L24" s="471"/>
      <c r="M24" s="471"/>
      <c r="N24" s="471"/>
      <c r="O24" s="471"/>
      <c r="P24" s="471"/>
      <c r="Q24" s="471"/>
      <c r="R24" s="471"/>
      <c r="S24" s="471"/>
      <c r="T24" s="471"/>
      <c r="U24" s="471"/>
      <c r="V24" s="471"/>
      <c r="W24" s="471"/>
      <c r="X24" s="471"/>
      <c r="Y24" s="471"/>
    </row>
    <row r="25" spans="1:25" ht="15.5" x14ac:dyDescent="0.35">
      <c r="A25" s="593" t="s">
        <v>462</v>
      </c>
      <c r="B25" s="593"/>
      <c r="C25" s="593"/>
      <c r="D25" s="593"/>
      <c r="E25" s="593"/>
      <c r="F25" s="593"/>
      <c r="G25" s="593"/>
      <c r="H25" s="593"/>
      <c r="I25" s="593"/>
      <c r="J25" s="593"/>
      <c r="K25" s="30"/>
      <c r="L25" s="472"/>
      <c r="M25" s="472"/>
      <c r="N25" s="30"/>
      <c r="O25" s="472"/>
      <c r="P25" s="472"/>
      <c r="Q25" s="472"/>
      <c r="R25" s="472"/>
      <c r="S25" s="472"/>
      <c r="T25" s="472"/>
      <c r="U25" s="472"/>
      <c r="V25" s="472"/>
      <c r="W25" s="472"/>
      <c r="X25" s="472"/>
      <c r="Y25" s="472"/>
    </row>
    <row r="26" spans="1:25" s="94" customFormat="1" ht="12.5" x14ac:dyDescent="0.25">
      <c r="A26" s="94" t="s">
        <v>463</v>
      </c>
      <c r="B26" s="129" t="s">
        <v>401</v>
      </c>
      <c r="C26" s="277">
        <f>5270/10040</f>
        <v>0.52490039840637448</v>
      </c>
      <c r="D26" s="275" t="s">
        <v>464</v>
      </c>
      <c r="E26" s="88" t="s">
        <v>465</v>
      </c>
    </row>
    <row r="27" spans="1:25" s="94" customFormat="1" ht="12.5" x14ac:dyDescent="0.25">
      <c r="A27" s="94" t="s">
        <v>466</v>
      </c>
      <c r="B27" s="129" t="s">
        <v>401</v>
      </c>
      <c r="C27" s="275">
        <v>2.8E-5</v>
      </c>
      <c r="D27" s="275" t="s">
        <v>467</v>
      </c>
      <c r="E27" s="88" t="s">
        <v>468</v>
      </c>
      <c r="G27" s="88"/>
    </row>
    <row r="28" spans="1:25" s="94" customFormat="1" ht="12.5" x14ac:dyDescent="0.25">
      <c r="A28" s="94" t="s">
        <v>469</v>
      </c>
      <c r="B28" s="129" t="s">
        <v>401</v>
      </c>
      <c r="C28" s="277">
        <f>21000/10040</f>
        <v>2.0916334661354581</v>
      </c>
      <c r="D28" s="130" t="s">
        <v>470</v>
      </c>
      <c r="E28" s="88" t="s">
        <v>471</v>
      </c>
      <c r="G28" s="88"/>
    </row>
    <row r="29" spans="1:25" s="94" customFormat="1" ht="13" x14ac:dyDescent="0.3">
      <c r="A29" s="317" t="s">
        <v>472</v>
      </c>
      <c r="B29" s="129"/>
      <c r="C29" s="277"/>
      <c r="D29" s="130"/>
      <c r="E29" s="88"/>
      <c r="G29" s="88"/>
    </row>
    <row r="30" spans="1:25" s="94" customFormat="1" ht="12.5" x14ac:dyDescent="0.25">
      <c r="B30" s="129"/>
      <c r="C30" s="277"/>
      <c r="D30" s="130"/>
      <c r="E30" s="276"/>
      <c r="F30" s="88"/>
      <c r="G30" s="88"/>
    </row>
    <row r="31" spans="1:25" ht="15.5" x14ac:dyDescent="0.35">
      <c r="A31" s="595" t="s">
        <v>473</v>
      </c>
      <c r="B31" s="595"/>
      <c r="C31" s="595"/>
      <c r="D31" s="595"/>
      <c r="E31" s="595"/>
      <c r="F31" s="595"/>
      <c r="G31" s="595"/>
      <c r="H31" s="595"/>
      <c r="I31" s="595"/>
      <c r="J31" s="595"/>
      <c r="K31" s="35"/>
      <c r="L31" s="475"/>
      <c r="M31" s="475"/>
      <c r="N31" s="35"/>
      <c r="O31" s="475"/>
      <c r="P31" s="475"/>
      <c r="Q31" s="475"/>
      <c r="R31" s="475"/>
      <c r="S31" s="475"/>
      <c r="T31" s="475"/>
      <c r="U31" s="475"/>
      <c r="V31" s="475"/>
      <c r="W31" s="475"/>
      <c r="X31" s="475"/>
      <c r="Y31" s="475"/>
    </row>
    <row r="32" spans="1:25" x14ac:dyDescent="0.35">
      <c r="A32" s="596" t="s">
        <v>474</v>
      </c>
      <c r="B32" s="596"/>
      <c r="C32" s="596"/>
      <c r="D32" s="596"/>
      <c r="E32" s="596"/>
      <c r="F32" s="596"/>
      <c r="G32" s="596"/>
      <c r="H32" s="596"/>
      <c r="I32" s="596"/>
      <c r="J32" s="596"/>
      <c r="K32" s="36"/>
      <c r="L32" s="475"/>
      <c r="M32" s="475"/>
      <c r="N32" s="36"/>
      <c r="O32" s="475"/>
      <c r="P32" s="475"/>
      <c r="Q32" s="475"/>
      <c r="R32" s="475"/>
      <c r="S32" s="475"/>
      <c r="T32" s="475"/>
      <c r="U32" s="475"/>
      <c r="V32" s="475"/>
      <c r="W32" s="475"/>
      <c r="X32" s="475"/>
      <c r="Y32" s="475"/>
    </row>
    <row r="33" spans="1:25" x14ac:dyDescent="0.35">
      <c r="A33" s="37" t="s">
        <v>475</v>
      </c>
      <c r="B33" s="38" t="s">
        <v>401</v>
      </c>
      <c r="C33" s="48">
        <f>C13</f>
        <v>1100</v>
      </c>
      <c r="D33" s="40" t="s">
        <v>278</v>
      </c>
      <c r="E33" s="37" t="s">
        <v>476</v>
      </c>
      <c r="F33" s="39">
        <v>24</v>
      </c>
      <c r="G33" s="40" t="s">
        <v>477</v>
      </c>
      <c r="H33" s="37"/>
      <c r="I33" s="37"/>
      <c r="J33" s="37"/>
      <c r="K33" s="475"/>
      <c r="L33" s="475"/>
      <c r="M33" s="475"/>
      <c r="N33" s="475"/>
      <c r="O33" s="475"/>
      <c r="P33" s="475"/>
      <c r="Q33" s="475"/>
      <c r="R33" s="475"/>
      <c r="S33" s="475"/>
      <c r="T33" s="475"/>
      <c r="U33" s="475"/>
      <c r="V33" s="475"/>
      <c r="W33" s="475"/>
      <c r="X33" s="475"/>
      <c r="Y33" s="475"/>
    </row>
    <row r="34" spans="1:25" x14ac:dyDescent="0.35">
      <c r="A34" s="37" t="s">
        <v>478</v>
      </c>
      <c r="B34" s="37"/>
      <c r="C34" s="37">
        <v>1</v>
      </c>
      <c r="D34" s="37" t="s">
        <v>477</v>
      </c>
      <c r="E34" s="37"/>
      <c r="F34" s="37"/>
      <c r="G34" s="37"/>
      <c r="H34" s="37"/>
      <c r="I34" s="37"/>
      <c r="J34" s="37"/>
      <c r="K34" s="475"/>
      <c r="L34" s="475"/>
      <c r="M34" s="475"/>
      <c r="N34" s="475"/>
      <c r="O34" s="475"/>
      <c r="P34" s="475"/>
      <c r="Q34" s="475"/>
      <c r="R34" s="475"/>
      <c r="S34" s="475"/>
      <c r="T34" s="475"/>
      <c r="U34" s="475"/>
      <c r="V34" s="475"/>
      <c r="W34" s="475"/>
      <c r="X34" s="475"/>
      <c r="Y34" s="475"/>
    </row>
    <row r="35" spans="1:25" x14ac:dyDescent="0.35">
      <c r="A35" s="42" t="s">
        <v>479</v>
      </c>
      <c r="B35" s="476" t="s">
        <v>401</v>
      </c>
      <c r="C35" s="43">
        <f>C33*F33</f>
        <v>26400</v>
      </c>
      <c r="D35" s="44" t="s">
        <v>278</v>
      </c>
      <c r="E35" s="42"/>
      <c r="F35" s="42"/>
      <c r="G35" s="42"/>
      <c r="H35" s="42"/>
      <c r="I35" s="42"/>
      <c r="J35" s="42"/>
      <c r="K35" s="475"/>
      <c r="L35" s="475"/>
      <c r="M35" s="475"/>
      <c r="N35" s="475"/>
      <c r="O35" s="475"/>
      <c r="P35" s="475"/>
      <c r="Q35" s="475"/>
      <c r="R35" s="475"/>
      <c r="S35" s="475"/>
      <c r="T35" s="475"/>
      <c r="U35" s="475"/>
      <c r="V35" s="475"/>
      <c r="W35" s="475"/>
      <c r="X35" s="475"/>
      <c r="Y35" s="475"/>
    </row>
    <row r="36" spans="1:25" x14ac:dyDescent="0.35">
      <c r="A36" s="42" t="s">
        <v>480</v>
      </c>
      <c r="B36" s="476"/>
      <c r="C36" s="43"/>
      <c r="D36" s="44"/>
      <c r="E36" s="42"/>
      <c r="F36" s="42"/>
      <c r="G36" s="42"/>
      <c r="H36" s="42"/>
      <c r="I36" s="42"/>
      <c r="J36" s="42"/>
      <c r="K36" s="475"/>
      <c r="L36" s="475"/>
      <c r="M36" s="475"/>
      <c r="N36" s="475"/>
      <c r="O36" s="475"/>
      <c r="P36" s="475"/>
      <c r="Q36" s="475"/>
      <c r="R36" s="475"/>
      <c r="S36" s="475"/>
      <c r="T36" s="475"/>
      <c r="U36" s="475"/>
      <c r="V36" s="475"/>
      <c r="W36" s="475"/>
      <c r="X36" s="475"/>
      <c r="Y36" s="475"/>
    </row>
    <row r="37" spans="1:25" x14ac:dyDescent="0.35">
      <c r="A37" s="42"/>
      <c r="B37" s="38" t="s">
        <v>401</v>
      </c>
      <c r="C37" s="39">
        <f>C35</f>
        <v>26400</v>
      </c>
      <c r="D37" s="40" t="s">
        <v>278</v>
      </c>
      <c r="E37" s="37" t="s">
        <v>476</v>
      </c>
      <c r="F37" s="40">
        <v>1.1000000000000001</v>
      </c>
      <c r="G37" s="40" t="s">
        <v>481</v>
      </c>
      <c r="H37" s="42" t="s">
        <v>0</v>
      </c>
      <c r="I37" s="42"/>
      <c r="J37" s="42"/>
      <c r="K37" s="475"/>
      <c r="L37" s="475"/>
      <c r="M37" s="475"/>
      <c r="N37" s="475"/>
      <c r="O37" s="475"/>
      <c r="P37" s="475"/>
      <c r="Q37" s="475"/>
      <c r="R37" s="475"/>
      <c r="S37" s="475"/>
      <c r="T37" s="475"/>
      <c r="U37" s="475"/>
      <c r="V37" s="475"/>
      <c r="W37" s="475"/>
      <c r="X37" s="475"/>
      <c r="Y37" s="475"/>
    </row>
    <row r="38" spans="1:25" x14ac:dyDescent="0.35">
      <c r="A38" s="42"/>
      <c r="B38" s="37"/>
      <c r="C38" s="37">
        <v>1</v>
      </c>
      <c r="D38" s="37" t="s">
        <v>477</v>
      </c>
      <c r="E38" s="37"/>
      <c r="F38" s="37"/>
      <c r="G38" s="37"/>
      <c r="H38" s="42"/>
      <c r="I38" s="42"/>
      <c r="J38" s="42"/>
      <c r="K38" s="475"/>
      <c r="L38" s="475"/>
      <c r="M38" s="475"/>
      <c r="N38" s="475"/>
      <c r="O38" s="475"/>
      <c r="P38" s="475"/>
      <c r="Q38" s="475"/>
      <c r="R38" s="475"/>
      <c r="S38" s="475"/>
      <c r="T38" s="475"/>
      <c r="U38" s="475"/>
      <c r="V38" s="475"/>
      <c r="W38" s="475"/>
      <c r="X38" s="475"/>
      <c r="Y38" s="475"/>
    </row>
    <row r="39" spans="1:25" x14ac:dyDescent="0.35">
      <c r="A39" s="42"/>
      <c r="B39" s="476" t="s">
        <v>401</v>
      </c>
      <c r="C39" s="43">
        <f>ROUNDUP(C37*F37,-3)</f>
        <v>30000</v>
      </c>
      <c r="D39" s="44" t="s">
        <v>278</v>
      </c>
      <c r="E39" s="42" t="s">
        <v>482</v>
      </c>
      <c r="F39" s="42"/>
      <c r="G39" s="42"/>
      <c r="H39" s="42"/>
      <c r="I39" s="42"/>
      <c r="J39" s="42"/>
      <c r="K39" s="475"/>
      <c r="L39" s="475"/>
      <c r="M39" s="475"/>
      <c r="N39" s="475"/>
      <c r="O39" s="475"/>
      <c r="P39" s="475"/>
      <c r="Q39" s="475"/>
      <c r="R39" s="475"/>
      <c r="S39" s="475"/>
      <c r="T39" s="475"/>
      <c r="U39" s="475"/>
      <c r="V39" s="475"/>
      <c r="W39" s="475"/>
      <c r="X39" s="475"/>
      <c r="Y39" s="475"/>
    </row>
    <row r="40" spans="1:25" x14ac:dyDescent="0.35">
      <c r="A40" s="42"/>
      <c r="B40" s="476"/>
      <c r="C40" s="43"/>
      <c r="D40" s="44"/>
      <c r="E40" s="42"/>
      <c r="F40" s="42"/>
      <c r="G40" s="42"/>
      <c r="H40" s="42"/>
      <c r="I40" s="42"/>
      <c r="J40" s="42"/>
      <c r="K40" s="475"/>
      <c r="L40" s="475"/>
      <c r="M40" s="475"/>
      <c r="N40" s="475"/>
      <c r="O40" s="475"/>
      <c r="P40" s="475"/>
      <c r="Q40" s="475"/>
      <c r="R40" s="475"/>
      <c r="S40" s="475"/>
      <c r="T40" s="475"/>
      <c r="U40" s="475"/>
      <c r="V40" s="475"/>
      <c r="W40" s="475"/>
      <c r="X40" s="475"/>
      <c r="Y40" s="475"/>
    </row>
    <row r="41" spans="1:25" ht="17" x14ac:dyDescent="0.35">
      <c r="A41" s="471"/>
      <c r="B41" s="473" t="s">
        <v>401</v>
      </c>
      <c r="C41" s="477">
        <f>C39</f>
        <v>30000</v>
      </c>
      <c r="D41" s="478" t="s">
        <v>278</v>
      </c>
      <c r="E41" s="471" t="s">
        <v>476</v>
      </c>
      <c r="F41" s="478">
        <v>1</v>
      </c>
      <c r="G41" s="478" t="s">
        <v>483</v>
      </c>
      <c r="H41" s="471"/>
      <c r="I41" s="471"/>
      <c r="J41" s="471"/>
      <c r="K41" s="471"/>
      <c r="L41" s="471"/>
      <c r="M41" s="471"/>
      <c r="N41" s="471"/>
      <c r="O41" s="471"/>
      <c r="P41" s="471"/>
      <c r="Q41" s="471"/>
      <c r="R41" s="471"/>
      <c r="S41" s="471"/>
      <c r="T41" s="471"/>
      <c r="U41" s="471"/>
      <c r="V41" s="471"/>
      <c r="W41" s="471"/>
      <c r="X41" s="471"/>
      <c r="Y41" s="471"/>
    </row>
    <row r="42" spans="1:25" x14ac:dyDescent="0.35">
      <c r="A42" s="471"/>
      <c r="B42" s="473"/>
      <c r="C42" s="28"/>
      <c r="D42" s="29"/>
      <c r="E42" s="471"/>
      <c r="F42" s="479">
        <v>7.4809999999999999</v>
      </c>
      <c r="G42" s="471" t="s">
        <v>278</v>
      </c>
      <c r="H42" s="471"/>
      <c r="I42" s="471"/>
      <c r="J42" s="471"/>
      <c r="K42" s="471"/>
      <c r="L42" s="471"/>
      <c r="M42" s="471"/>
      <c r="N42" s="471"/>
      <c r="O42" s="471"/>
      <c r="P42" s="471"/>
      <c r="Q42" s="471"/>
      <c r="R42" s="471"/>
      <c r="S42" s="471"/>
      <c r="T42" s="471"/>
      <c r="U42" s="471"/>
      <c r="V42" s="471"/>
      <c r="W42" s="471"/>
      <c r="X42" s="471"/>
      <c r="Y42" s="471"/>
    </row>
    <row r="43" spans="1:25" ht="16.5" x14ac:dyDescent="0.35">
      <c r="A43" s="471"/>
      <c r="B43" s="473" t="s">
        <v>401</v>
      </c>
      <c r="C43" s="28">
        <f>C41/F42</f>
        <v>4010.1590696430958</v>
      </c>
      <c r="D43" s="29" t="s">
        <v>484</v>
      </c>
      <c r="E43" s="471"/>
      <c r="F43" s="471"/>
      <c r="G43" s="471"/>
      <c r="H43" s="471"/>
      <c r="I43" s="471"/>
      <c r="J43" s="471"/>
      <c r="K43" s="471"/>
      <c r="L43" s="471"/>
      <c r="M43" s="471"/>
      <c r="N43" s="471"/>
      <c r="O43" s="471"/>
      <c r="P43" s="471"/>
      <c r="Q43" s="471"/>
      <c r="R43" s="471"/>
      <c r="S43" s="471"/>
      <c r="T43" s="471"/>
      <c r="U43" s="471"/>
      <c r="V43" s="471"/>
      <c r="W43" s="471"/>
      <c r="X43" s="471"/>
      <c r="Y43" s="471"/>
    </row>
    <row r="44" spans="1:25" x14ac:dyDescent="0.35">
      <c r="A44" s="471"/>
      <c r="B44" s="473"/>
      <c r="C44" s="324"/>
      <c r="D44" s="325"/>
      <c r="E44" s="471"/>
      <c r="F44" s="471"/>
      <c r="G44" s="471"/>
      <c r="H44" s="471"/>
      <c r="I44" s="471"/>
      <c r="J44" s="471"/>
      <c r="K44" s="471"/>
      <c r="L44" s="471"/>
      <c r="M44" s="471"/>
      <c r="N44" s="471"/>
      <c r="O44" s="471"/>
      <c r="P44" s="471"/>
      <c r="Q44" s="471"/>
      <c r="R44" s="471"/>
      <c r="S44" s="471"/>
      <c r="T44" s="471"/>
      <c r="U44" s="471"/>
      <c r="V44" s="471"/>
      <c r="W44" s="471"/>
      <c r="X44" s="471"/>
      <c r="Y44" s="471"/>
    </row>
    <row r="45" spans="1:25" x14ac:dyDescent="0.35">
      <c r="A45" s="471" t="s">
        <v>485</v>
      </c>
      <c r="B45" s="473" t="s">
        <v>401</v>
      </c>
      <c r="C45" s="326">
        <v>28</v>
      </c>
      <c r="D45" s="327" t="s">
        <v>218</v>
      </c>
      <c r="E45" s="471"/>
      <c r="F45" s="471"/>
      <c r="G45" s="471"/>
      <c r="H45" s="471"/>
      <c r="I45" s="471"/>
      <c r="J45" s="471"/>
      <c r="K45" s="471"/>
      <c r="L45" s="471"/>
      <c r="M45" s="471"/>
      <c r="N45" s="471"/>
      <c r="O45" s="471"/>
      <c r="P45" s="471"/>
      <c r="Q45" s="471"/>
      <c r="R45" s="471"/>
      <c r="S45" s="471"/>
      <c r="T45" s="471"/>
      <c r="U45" s="471"/>
      <c r="V45" s="471"/>
      <c r="W45" s="471"/>
      <c r="X45" s="471"/>
      <c r="Y45" s="471"/>
    </row>
    <row r="47" spans="1:25" ht="17" x14ac:dyDescent="0.35">
      <c r="A47" s="471" t="s">
        <v>486</v>
      </c>
      <c r="B47" s="45" t="s">
        <v>401</v>
      </c>
      <c r="C47" s="480">
        <f>C43</f>
        <v>4010.1590696430958</v>
      </c>
      <c r="D47" s="478" t="s">
        <v>483</v>
      </c>
      <c r="E47" s="471" t="s">
        <v>476</v>
      </c>
      <c r="F47" s="481">
        <v>4</v>
      </c>
      <c r="G47" s="46">
        <v>0.5</v>
      </c>
      <c r="H47" s="471"/>
      <c r="I47" s="471"/>
      <c r="J47" s="471"/>
      <c r="K47" s="471"/>
      <c r="L47" s="471"/>
      <c r="M47" s="471"/>
      <c r="N47" s="471"/>
      <c r="O47" s="471"/>
      <c r="P47" s="471"/>
      <c r="Q47" s="471"/>
      <c r="R47" s="471"/>
      <c r="S47" s="471"/>
      <c r="T47" s="471"/>
      <c r="U47" s="471"/>
      <c r="V47" s="471"/>
      <c r="W47" s="471"/>
      <c r="X47" s="471"/>
      <c r="Y47" s="471"/>
    </row>
    <row r="48" spans="1:25" x14ac:dyDescent="0.35">
      <c r="A48" s="471"/>
      <c r="B48" s="471"/>
      <c r="C48" s="482">
        <f>C45</f>
        <v>28</v>
      </c>
      <c r="D48" s="471" t="s">
        <v>218</v>
      </c>
      <c r="E48" s="471"/>
      <c r="F48" s="483" t="s">
        <v>487</v>
      </c>
      <c r="G48" s="471"/>
      <c r="H48" s="471"/>
      <c r="I48" s="471"/>
      <c r="J48" s="471"/>
      <c r="K48" s="471"/>
      <c r="L48" s="471"/>
      <c r="M48" s="471"/>
      <c r="N48" s="471"/>
      <c r="O48" s="471"/>
      <c r="P48" s="471"/>
      <c r="Q48" s="471"/>
      <c r="R48" s="471"/>
      <c r="S48" s="471"/>
      <c r="T48" s="471"/>
      <c r="U48" s="471"/>
      <c r="V48" s="471"/>
      <c r="W48" s="471"/>
      <c r="X48" s="471"/>
      <c r="Y48" s="471"/>
    </row>
    <row r="49" spans="1:25" x14ac:dyDescent="0.35">
      <c r="A49" s="471"/>
      <c r="B49" s="45" t="s">
        <v>401</v>
      </c>
      <c r="C49" s="47">
        <f>ROUNDUP(SQRT(C47/C48*F47/PI()),-0.5)</f>
        <v>14</v>
      </c>
      <c r="D49" s="29" t="s">
        <v>218</v>
      </c>
      <c r="E49" s="471"/>
      <c r="F49" s="471"/>
      <c r="G49" s="471"/>
      <c r="H49" s="471"/>
      <c r="I49" s="471"/>
      <c r="J49" s="471"/>
      <c r="K49" s="471"/>
      <c r="L49" s="471"/>
      <c r="M49" s="471"/>
      <c r="N49" s="471"/>
      <c r="O49" s="471"/>
      <c r="P49" s="471"/>
      <c r="Q49" s="471"/>
      <c r="R49" s="471"/>
      <c r="S49" s="471"/>
      <c r="T49" s="471"/>
      <c r="U49" s="471"/>
      <c r="V49" s="471"/>
      <c r="W49" s="471"/>
      <c r="X49" s="471"/>
      <c r="Y49" s="471"/>
    </row>
    <row r="50" spans="1:25" x14ac:dyDescent="0.35">
      <c r="A50" s="475"/>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row>
    <row r="51" spans="1:25" ht="17" x14ac:dyDescent="0.35">
      <c r="A51" s="471" t="s">
        <v>488</v>
      </c>
      <c r="B51" s="45" t="s">
        <v>401</v>
      </c>
      <c r="C51" s="40">
        <f>1.139 * 10^-3</f>
        <v>1.139E-3</v>
      </c>
      <c r="D51" s="40" t="s">
        <v>489</v>
      </c>
      <c r="E51" s="37" t="s">
        <v>476</v>
      </c>
      <c r="F51" s="48">
        <f>C43</f>
        <v>4010.1590696430958</v>
      </c>
      <c r="G51" s="40" t="s">
        <v>490</v>
      </c>
      <c r="H51" s="37" t="s">
        <v>476</v>
      </c>
      <c r="I51" s="48">
        <v>1</v>
      </c>
      <c r="J51" s="40" t="s">
        <v>491</v>
      </c>
      <c r="K51" s="37" t="s">
        <v>476</v>
      </c>
      <c r="L51" s="49"/>
      <c r="M51" s="40" t="s">
        <v>492</v>
      </c>
      <c r="N51" s="37" t="s">
        <v>476</v>
      </c>
      <c r="O51" s="39">
        <v>300</v>
      </c>
      <c r="P51" s="40"/>
      <c r="Q51" s="50">
        <v>2</v>
      </c>
      <c r="R51" s="471"/>
      <c r="S51" s="471"/>
      <c r="T51" s="471"/>
      <c r="U51" s="471"/>
      <c r="V51" s="471"/>
      <c r="W51" s="471"/>
      <c r="X51" s="471"/>
      <c r="Y51" s="471"/>
    </row>
    <row r="52" spans="1:25" ht="17" x14ac:dyDescent="0.35">
      <c r="A52" s="471"/>
      <c r="B52" s="471"/>
      <c r="C52" s="37"/>
      <c r="D52" s="37" t="s">
        <v>493</v>
      </c>
      <c r="E52" s="37"/>
      <c r="F52" s="37"/>
      <c r="G52" s="37"/>
      <c r="H52" s="37"/>
      <c r="I52" s="51">
        <v>35.299999999999997</v>
      </c>
      <c r="J52" s="37" t="s">
        <v>490</v>
      </c>
      <c r="K52" s="37"/>
      <c r="L52" s="51">
        <v>1000</v>
      </c>
      <c r="M52" s="37" t="s">
        <v>494</v>
      </c>
      <c r="N52" s="471"/>
      <c r="O52" s="37">
        <v>1</v>
      </c>
      <c r="P52" s="37" t="s">
        <v>495</v>
      </c>
      <c r="Q52" s="37"/>
      <c r="R52" s="471"/>
      <c r="S52" s="471"/>
      <c r="T52" s="471"/>
      <c r="U52" s="471"/>
      <c r="V52" s="471"/>
      <c r="W52" s="471"/>
      <c r="X52" s="471"/>
      <c r="Y52" s="471"/>
    </row>
    <row r="53" spans="1:25" x14ac:dyDescent="0.35">
      <c r="A53" s="471"/>
      <c r="B53" s="45" t="s">
        <v>401</v>
      </c>
      <c r="C53" s="47">
        <f>ROUNDUP((O51^Q51)*F51*C51/I52/L52,-0.5)</f>
        <v>12</v>
      </c>
      <c r="D53" s="29" t="s">
        <v>494</v>
      </c>
      <c r="E53" s="471"/>
      <c r="F53" s="471"/>
      <c r="G53" s="471"/>
      <c r="H53" s="471"/>
      <c r="I53" s="471"/>
      <c r="J53" s="471"/>
      <c r="K53" s="471"/>
      <c r="L53" s="471"/>
      <c r="M53" s="471"/>
      <c r="N53" s="471"/>
      <c r="O53" s="471"/>
      <c r="P53" s="471"/>
      <c r="Q53" s="471"/>
      <c r="R53" s="471"/>
      <c r="S53" s="471"/>
      <c r="T53" s="471"/>
      <c r="U53" s="471"/>
      <c r="V53" s="471"/>
      <c r="W53" s="471"/>
      <c r="X53" s="471"/>
      <c r="Y53" s="471"/>
    </row>
    <row r="54" spans="1:25" x14ac:dyDescent="0.35">
      <c r="A54" s="475"/>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row>
    <row r="55" spans="1:25" x14ac:dyDescent="0.35">
      <c r="A55" s="596" t="s">
        <v>280</v>
      </c>
      <c r="B55" s="596"/>
      <c r="C55" s="596"/>
      <c r="D55" s="596"/>
      <c r="E55" s="596"/>
      <c r="F55" s="596"/>
      <c r="G55" s="596"/>
      <c r="H55" s="596"/>
      <c r="I55" s="596"/>
      <c r="J55" s="596"/>
      <c r="K55" s="36"/>
      <c r="L55" s="475"/>
      <c r="M55" s="475"/>
      <c r="N55" s="36"/>
      <c r="O55" s="475"/>
      <c r="P55" s="475"/>
      <c r="Q55" s="475"/>
      <c r="R55" s="475"/>
      <c r="S55" s="475"/>
      <c r="T55" s="475"/>
      <c r="U55" s="475"/>
      <c r="V55" s="475"/>
      <c r="W55" s="475"/>
      <c r="X55" s="475"/>
      <c r="Y55" s="475"/>
    </row>
    <row r="56" spans="1:25" x14ac:dyDescent="0.35">
      <c r="A56" s="37" t="s">
        <v>475</v>
      </c>
      <c r="B56" s="38" t="s">
        <v>401</v>
      </c>
      <c r="C56" s="48">
        <f>C33</f>
        <v>1100</v>
      </c>
      <c r="D56" s="40" t="s">
        <v>278</v>
      </c>
      <c r="E56" s="37" t="s">
        <v>476</v>
      </c>
      <c r="F56" s="40">
        <v>3.5</v>
      </c>
      <c r="G56" s="40" t="s">
        <v>477</v>
      </c>
      <c r="H56" s="37"/>
      <c r="I56" s="37"/>
      <c r="J56" s="37"/>
      <c r="K56" s="475"/>
      <c r="L56" s="475"/>
      <c r="M56" s="475"/>
      <c r="N56" s="475"/>
      <c r="O56" s="475"/>
      <c r="P56" s="475"/>
      <c r="Q56" s="475"/>
      <c r="R56" s="475"/>
      <c r="S56" s="475"/>
      <c r="T56" s="475"/>
      <c r="U56" s="475"/>
      <c r="V56" s="475"/>
      <c r="W56" s="475"/>
      <c r="X56" s="475"/>
      <c r="Y56" s="475"/>
    </row>
    <row r="57" spans="1:25" x14ac:dyDescent="0.35">
      <c r="A57" s="37"/>
      <c r="B57" s="37"/>
      <c r="C57" s="51">
        <v>1</v>
      </c>
      <c r="D57" s="37" t="s">
        <v>477</v>
      </c>
      <c r="E57" s="37"/>
      <c r="F57" s="37"/>
      <c r="G57" s="37"/>
      <c r="H57" s="37"/>
      <c r="I57" s="37"/>
      <c r="J57" s="37"/>
      <c r="K57" s="475"/>
      <c r="L57" s="475"/>
      <c r="M57" s="475"/>
      <c r="N57" s="475"/>
      <c r="O57" s="475"/>
      <c r="P57" s="475"/>
      <c r="Q57" s="475"/>
      <c r="R57" s="475"/>
      <c r="S57" s="475"/>
      <c r="T57" s="475"/>
      <c r="U57" s="475"/>
      <c r="V57" s="475"/>
      <c r="W57" s="475"/>
      <c r="X57" s="475"/>
      <c r="Y57" s="475"/>
    </row>
    <row r="58" spans="1:25" x14ac:dyDescent="0.35">
      <c r="A58" s="42"/>
      <c r="B58" s="476" t="s">
        <v>401</v>
      </c>
      <c r="C58" s="43">
        <f>C56*F56</f>
        <v>3850</v>
      </c>
      <c r="D58" s="44" t="s">
        <v>278</v>
      </c>
      <c r="E58" s="42"/>
      <c r="F58" s="42"/>
      <c r="G58" s="42"/>
      <c r="H58" s="42"/>
      <c r="I58" s="42"/>
      <c r="J58" s="42"/>
      <c r="K58" s="475"/>
      <c r="L58" s="475"/>
      <c r="M58" s="475"/>
      <c r="N58" s="475"/>
      <c r="O58" s="475"/>
      <c r="P58" s="475"/>
      <c r="Q58" s="475"/>
      <c r="R58" s="475"/>
      <c r="S58" s="475"/>
      <c r="T58" s="475"/>
      <c r="U58" s="475"/>
      <c r="V58" s="475"/>
      <c r="W58" s="475"/>
      <c r="X58" s="475"/>
      <c r="Y58" s="475"/>
    </row>
    <row r="59" spans="1:25" x14ac:dyDescent="0.35">
      <c r="A59" s="42"/>
      <c r="B59" s="476"/>
      <c r="C59" s="43"/>
      <c r="D59" s="44"/>
      <c r="E59" s="42"/>
      <c r="F59" s="42"/>
      <c r="G59" s="42"/>
      <c r="H59" s="42"/>
      <c r="I59" s="42"/>
      <c r="J59" s="42"/>
      <c r="K59" s="475"/>
      <c r="L59" s="475"/>
      <c r="M59" s="475"/>
      <c r="N59" s="475"/>
      <c r="O59" s="475"/>
      <c r="P59" s="475"/>
      <c r="Q59" s="475"/>
      <c r="R59" s="475"/>
      <c r="S59" s="475"/>
      <c r="T59" s="475"/>
      <c r="U59" s="475"/>
      <c r="V59" s="475"/>
      <c r="W59" s="475"/>
      <c r="X59" s="475"/>
      <c r="Y59" s="475"/>
    </row>
    <row r="60" spans="1:25" x14ac:dyDescent="0.35">
      <c r="A60" s="42"/>
      <c r="B60" s="38" t="s">
        <v>401</v>
      </c>
      <c r="C60" s="48">
        <f>C58</f>
        <v>3850</v>
      </c>
      <c r="D60" s="40" t="s">
        <v>278</v>
      </c>
      <c r="E60" s="37" t="s">
        <v>476</v>
      </c>
      <c r="F60" s="40">
        <v>1.1000000000000001</v>
      </c>
      <c r="G60" s="40" t="s">
        <v>481</v>
      </c>
      <c r="H60" s="42"/>
      <c r="I60" s="42"/>
      <c r="J60" s="42"/>
      <c r="K60" s="475"/>
      <c r="L60" s="475"/>
      <c r="M60" s="475"/>
      <c r="N60" s="475"/>
      <c r="O60" s="475"/>
      <c r="P60" s="475"/>
      <c r="Q60" s="475"/>
      <c r="R60" s="475"/>
      <c r="S60" s="475"/>
      <c r="T60" s="475"/>
      <c r="U60" s="475"/>
      <c r="V60" s="475"/>
      <c r="W60" s="475"/>
      <c r="X60" s="475"/>
      <c r="Y60" s="475"/>
    </row>
    <row r="61" spans="1:25" x14ac:dyDescent="0.35">
      <c r="A61" s="42"/>
      <c r="B61" s="37"/>
      <c r="C61" s="51">
        <v>1</v>
      </c>
      <c r="D61" s="37" t="s">
        <v>477</v>
      </c>
      <c r="E61" s="37"/>
      <c r="F61" s="37"/>
      <c r="G61" s="37"/>
      <c r="H61" s="42"/>
      <c r="I61" s="42"/>
      <c r="J61" s="42"/>
      <c r="K61" s="475"/>
      <c r="L61" s="475"/>
      <c r="M61" s="475"/>
      <c r="N61" s="475"/>
      <c r="O61" s="475"/>
      <c r="P61" s="475"/>
      <c r="Q61" s="475"/>
      <c r="R61" s="475"/>
      <c r="S61" s="475"/>
      <c r="T61" s="475"/>
      <c r="U61" s="475"/>
      <c r="V61" s="475"/>
      <c r="W61" s="475"/>
      <c r="X61" s="475"/>
      <c r="Y61" s="475"/>
    </row>
    <row r="62" spans="1:25" x14ac:dyDescent="0.35">
      <c r="A62" s="42"/>
      <c r="B62" s="476" t="s">
        <v>401</v>
      </c>
      <c r="C62" s="43">
        <f>ROUNDUP(C60*F60,-3)</f>
        <v>5000</v>
      </c>
      <c r="D62" s="44" t="s">
        <v>278</v>
      </c>
      <c r="E62" s="42"/>
      <c r="F62" s="42"/>
      <c r="G62" s="42"/>
      <c r="H62" s="42"/>
      <c r="I62" s="42"/>
      <c r="J62" s="42"/>
      <c r="K62" s="475"/>
      <c r="L62" s="475"/>
      <c r="M62" s="475"/>
      <c r="N62" s="475"/>
      <c r="O62" s="475"/>
      <c r="P62" s="475"/>
      <c r="Q62" s="475"/>
      <c r="R62" s="475"/>
      <c r="S62" s="475"/>
      <c r="T62" s="475"/>
      <c r="U62" s="475"/>
      <c r="V62" s="475"/>
      <c r="W62" s="475"/>
      <c r="X62" s="475"/>
      <c r="Y62" s="475"/>
    </row>
    <row r="63" spans="1:25" x14ac:dyDescent="0.35">
      <c r="A63" s="42"/>
      <c r="B63" s="476"/>
      <c r="C63" s="43"/>
      <c r="D63" s="44"/>
      <c r="E63" s="42"/>
      <c r="F63" s="42"/>
      <c r="G63" s="42"/>
      <c r="H63" s="42"/>
      <c r="I63" s="42"/>
      <c r="J63" s="42"/>
      <c r="K63" s="475"/>
      <c r="L63" s="475"/>
      <c r="M63" s="475"/>
      <c r="N63" s="475"/>
      <c r="O63" s="475"/>
      <c r="P63" s="475"/>
      <c r="Q63" s="475"/>
      <c r="R63" s="475"/>
      <c r="S63" s="475"/>
      <c r="T63" s="475"/>
      <c r="U63" s="475"/>
      <c r="V63" s="475"/>
      <c r="W63" s="475"/>
      <c r="X63" s="475"/>
      <c r="Y63" s="475"/>
    </row>
    <row r="64" spans="1:25" ht="17" x14ac:dyDescent="0.35">
      <c r="A64" s="471"/>
      <c r="B64" s="473" t="s">
        <v>401</v>
      </c>
      <c r="C64" s="477">
        <f>C62</f>
        <v>5000</v>
      </c>
      <c r="D64" s="478" t="s">
        <v>278</v>
      </c>
      <c r="E64" s="471" t="s">
        <v>476</v>
      </c>
      <c r="F64" s="478">
        <v>1</v>
      </c>
      <c r="G64" s="478" t="s">
        <v>483</v>
      </c>
      <c r="H64" s="471"/>
      <c r="I64" s="471"/>
      <c r="J64" s="471"/>
      <c r="K64" s="471"/>
      <c r="L64" s="471"/>
      <c r="M64" s="471"/>
      <c r="N64" s="471"/>
      <c r="O64" s="471"/>
      <c r="P64" s="471"/>
      <c r="Q64" s="471"/>
      <c r="R64" s="471"/>
      <c r="S64" s="471"/>
      <c r="T64" s="471"/>
      <c r="U64" s="471"/>
      <c r="V64" s="471"/>
      <c r="W64" s="471"/>
      <c r="X64" s="471"/>
      <c r="Y64" s="471"/>
    </row>
    <row r="65" spans="1:25" x14ac:dyDescent="0.35">
      <c r="A65" s="471"/>
      <c r="B65" s="473"/>
      <c r="C65" s="28"/>
      <c r="D65" s="29"/>
      <c r="E65" s="471"/>
      <c r="F65" s="479">
        <v>7.4809999999999999</v>
      </c>
      <c r="G65" s="471" t="s">
        <v>278</v>
      </c>
      <c r="H65" s="471"/>
      <c r="I65" s="471"/>
      <c r="J65" s="471"/>
      <c r="K65" s="471"/>
      <c r="L65" s="471"/>
      <c r="M65" s="471"/>
      <c r="N65" s="471"/>
      <c r="O65" s="471"/>
      <c r="P65" s="471"/>
      <c r="Q65" s="471"/>
      <c r="R65" s="471"/>
      <c r="S65" s="471"/>
      <c r="T65" s="471"/>
      <c r="U65" s="471"/>
      <c r="V65" s="471"/>
      <c r="W65" s="471"/>
      <c r="X65" s="471"/>
      <c r="Y65" s="471"/>
    </row>
    <row r="66" spans="1:25" ht="16.5" x14ac:dyDescent="0.35">
      <c r="A66" s="471"/>
      <c r="B66" s="473" t="s">
        <v>401</v>
      </c>
      <c r="C66" s="28">
        <f>C64/F65</f>
        <v>668.35984494051604</v>
      </c>
      <c r="D66" s="29" t="s">
        <v>484</v>
      </c>
      <c r="E66" s="471"/>
      <c r="F66" s="471"/>
      <c r="G66" s="471"/>
      <c r="H66" s="471"/>
      <c r="I66" s="471"/>
      <c r="J66" s="471"/>
      <c r="K66" s="471"/>
      <c r="L66" s="471"/>
      <c r="M66" s="471"/>
      <c r="N66" s="471"/>
      <c r="O66" s="471"/>
      <c r="P66" s="471"/>
      <c r="Q66" s="471"/>
      <c r="R66" s="471"/>
      <c r="S66" s="471"/>
      <c r="T66" s="471"/>
      <c r="U66" s="471"/>
      <c r="V66" s="471"/>
      <c r="W66" s="471"/>
      <c r="X66" s="471"/>
      <c r="Y66" s="471"/>
    </row>
    <row r="67" spans="1:25" x14ac:dyDescent="0.35">
      <c r="A67" s="471"/>
      <c r="B67" s="473"/>
      <c r="C67" s="28"/>
      <c r="D67" s="29"/>
      <c r="E67" s="471"/>
      <c r="F67" s="471"/>
      <c r="G67" s="471"/>
      <c r="H67" s="471"/>
      <c r="I67" s="471"/>
      <c r="J67" s="471"/>
      <c r="K67" s="471"/>
      <c r="L67" s="471"/>
      <c r="M67" s="471"/>
      <c r="N67" s="471"/>
      <c r="O67" s="471"/>
      <c r="P67" s="471"/>
      <c r="Q67" s="471"/>
      <c r="R67" s="471"/>
      <c r="S67" s="471"/>
      <c r="T67" s="471"/>
      <c r="U67" s="471"/>
      <c r="V67" s="471"/>
      <c r="W67" s="471"/>
      <c r="X67" s="471"/>
      <c r="Y67" s="471"/>
    </row>
    <row r="68" spans="1:25" x14ac:dyDescent="0.35">
      <c r="A68" s="471" t="s">
        <v>485</v>
      </c>
      <c r="B68" s="473" t="s">
        <v>401</v>
      </c>
      <c r="C68" s="326">
        <v>8</v>
      </c>
      <c r="D68" s="327" t="s">
        <v>218</v>
      </c>
      <c r="E68" s="327"/>
      <c r="F68" s="327"/>
      <c r="G68" s="471"/>
      <c r="H68" s="471"/>
      <c r="I68" s="471"/>
      <c r="J68" s="471"/>
      <c r="K68" s="471"/>
      <c r="L68" s="471"/>
      <c r="M68" s="471"/>
      <c r="N68" s="471"/>
      <c r="O68" s="471"/>
      <c r="P68" s="471"/>
      <c r="Q68" s="471"/>
      <c r="R68" s="471"/>
      <c r="S68" s="471"/>
      <c r="T68" s="471"/>
      <c r="U68" s="471"/>
      <c r="V68" s="471"/>
      <c r="W68" s="471"/>
      <c r="X68" s="471"/>
      <c r="Y68" s="471"/>
    </row>
    <row r="69" spans="1:25" x14ac:dyDescent="0.35">
      <c r="A69" s="471"/>
      <c r="B69" s="473"/>
      <c r="C69" s="324"/>
      <c r="D69" s="325"/>
      <c r="E69" s="327"/>
      <c r="F69" s="327"/>
      <c r="G69" s="471"/>
      <c r="H69" s="471"/>
      <c r="I69" s="471"/>
      <c r="J69" s="471"/>
      <c r="K69" s="471"/>
      <c r="L69" s="471"/>
      <c r="M69" s="471"/>
      <c r="N69" s="471"/>
      <c r="O69" s="471"/>
      <c r="P69" s="471"/>
      <c r="Q69" s="471"/>
      <c r="R69" s="471"/>
      <c r="S69" s="471"/>
      <c r="T69" s="471"/>
      <c r="U69" s="471"/>
      <c r="V69" s="471"/>
      <c r="W69" s="471"/>
      <c r="X69" s="471"/>
      <c r="Y69" s="471"/>
    </row>
    <row r="70" spans="1:25" ht="17" x14ac:dyDescent="0.35">
      <c r="A70" s="471" t="s">
        <v>486</v>
      </c>
      <c r="B70" s="45" t="s">
        <v>401</v>
      </c>
      <c r="C70" s="328">
        <f>C66</f>
        <v>668.35984494051604</v>
      </c>
      <c r="D70" s="329" t="s">
        <v>490</v>
      </c>
      <c r="E70" s="327" t="s">
        <v>476</v>
      </c>
      <c r="F70" s="330">
        <v>4</v>
      </c>
      <c r="G70" s="46">
        <v>0.5</v>
      </c>
      <c r="H70" s="471"/>
      <c r="I70" s="471"/>
      <c r="J70" s="471"/>
      <c r="K70" s="471"/>
      <c r="L70" s="471"/>
      <c r="M70" s="471"/>
      <c r="N70" s="471"/>
      <c r="O70" s="471"/>
      <c r="P70" s="471"/>
      <c r="Q70" s="471"/>
      <c r="R70" s="471"/>
      <c r="S70" s="471"/>
      <c r="T70" s="471"/>
      <c r="U70" s="471"/>
      <c r="V70" s="471"/>
      <c r="W70" s="471"/>
      <c r="X70" s="471"/>
      <c r="Y70" s="471"/>
    </row>
    <row r="71" spans="1:25" x14ac:dyDescent="0.35">
      <c r="A71" s="471"/>
      <c r="B71" s="471"/>
      <c r="C71" s="331">
        <f>C68</f>
        <v>8</v>
      </c>
      <c r="D71" s="327" t="s">
        <v>218</v>
      </c>
      <c r="E71" s="327"/>
      <c r="F71" s="332" t="s">
        <v>487</v>
      </c>
      <c r="G71" s="471"/>
      <c r="H71" s="471"/>
      <c r="I71" s="471"/>
      <c r="J71" s="471"/>
      <c r="K71" s="471"/>
      <c r="L71" s="471"/>
      <c r="M71" s="471"/>
      <c r="N71" s="471"/>
      <c r="O71" s="471"/>
      <c r="P71" s="471"/>
      <c r="Q71" s="471"/>
      <c r="R71" s="471"/>
      <c r="S71" s="471"/>
      <c r="T71" s="471"/>
      <c r="U71" s="471"/>
      <c r="V71" s="471"/>
      <c r="W71" s="471"/>
      <c r="X71" s="471"/>
      <c r="Y71" s="471"/>
    </row>
    <row r="72" spans="1:25" x14ac:dyDescent="0.35">
      <c r="A72" s="471"/>
      <c r="B72" s="45" t="s">
        <v>401</v>
      </c>
      <c r="C72" s="333">
        <f>ROUNDUP(SQRT(C70/C71*F70/PI()),-0.5)</f>
        <v>11</v>
      </c>
      <c r="D72" s="325" t="s">
        <v>218</v>
      </c>
      <c r="E72" s="327"/>
      <c r="F72" s="327"/>
      <c r="G72" s="471"/>
      <c r="H72" s="471"/>
      <c r="I72" s="471"/>
      <c r="J72" s="471"/>
      <c r="K72" s="471"/>
      <c r="L72" s="471"/>
      <c r="M72" s="471"/>
      <c r="N72" s="471"/>
      <c r="O72" s="471"/>
      <c r="P72" s="471"/>
      <c r="Q72" s="471"/>
      <c r="R72" s="471"/>
      <c r="S72" s="471"/>
      <c r="T72" s="471"/>
      <c r="U72" s="471"/>
      <c r="V72" s="471"/>
      <c r="W72" s="471"/>
      <c r="X72" s="471"/>
      <c r="Y72" s="471"/>
    </row>
    <row r="73" spans="1:25" x14ac:dyDescent="0.35">
      <c r="A73" s="475"/>
      <c r="B73" s="475"/>
      <c r="C73" s="475"/>
      <c r="D73" s="475"/>
      <c r="E73" s="475"/>
      <c r="F73" s="475"/>
      <c r="G73" s="475"/>
      <c r="H73" s="475"/>
      <c r="I73" s="475"/>
      <c r="J73" s="475"/>
      <c r="K73" s="475"/>
      <c r="L73" s="475"/>
      <c r="M73" s="475"/>
      <c r="N73" s="475"/>
      <c r="O73" s="475"/>
      <c r="P73" s="475"/>
      <c r="Q73" s="475"/>
      <c r="R73" s="475"/>
      <c r="S73" s="475"/>
      <c r="T73" s="475"/>
      <c r="U73" s="475"/>
      <c r="V73" s="475"/>
      <c r="W73" s="475"/>
      <c r="X73" s="475"/>
      <c r="Y73" s="475"/>
    </row>
    <row r="74" spans="1:25" ht="17" x14ac:dyDescent="0.35">
      <c r="A74" s="471" t="s">
        <v>488</v>
      </c>
      <c r="B74" s="45" t="s">
        <v>401</v>
      </c>
      <c r="C74" s="40">
        <f>1.139 * 10^-3</f>
        <v>1.139E-3</v>
      </c>
      <c r="D74" s="40" t="s">
        <v>489</v>
      </c>
      <c r="E74" s="37" t="s">
        <v>476</v>
      </c>
      <c r="F74" s="48">
        <f>C66</f>
        <v>668.35984494051604</v>
      </c>
      <c r="G74" s="40" t="s">
        <v>490</v>
      </c>
      <c r="H74" s="37" t="s">
        <v>476</v>
      </c>
      <c r="I74" s="48">
        <v>1</v>
      </c>
      <c r="J74" s="40" t="s">
        <v>491</v>
      </c>
      <c r="K74" s="37" t="s">
        <v>476</v>
      </c>
      <c r="L74" s="49"/>
      <c r="M74" s="40" t="s">
        <v>492</v>
      </c>
      <c r="N74" s="37" t="s">
        <v>476</v>
      </c>
      <c r="O74" s="39">
        <v>300</v>
      </c>
      <c r="P74" s="40"/>
      <c r="Q74" s="50">
        <v>2</v>
      </c>
      <c r="R74" s="471"/>
      <c r="S74" s="471"/>
      <c r="T74" s="471"/>
      <c r="U74" s="471"/>
      <c r="V74" s="471"/>
      <c r="W74" s="471"/>
      <c r="X74" s="471"/>
      <c r="Y74" s="471"/>
    </row>
    <row r="75" spans="1:25" ht="17" x14ac:dyDescent="0.35">
      <c r="A75" s="471"/>
      <c r="B75" s="471"/>
      <c r="C75" s="37"/>
      <c r="D75" s="37" t="s">
        <v>493</v>
      </c>
      <c r="E75" s="37"/>
      <c r="F75" s="37"/>
      <c r="G75" s="37"/>
      <c r="H75" s="37"/>
      <c r="I75" s="51">
        <v>35.299999999999997</v>
      </c>
      <c r="J75" s="37" t="s">
        <v>490</v>
      </c>
      <c r="K75" s="37"/>
      <c r="L75" s="51">
        <v>1000</v>
      </c>
      <c r="M75" s="51" t="s">
        <v>494</v>
      </c>
      <c r="N75" s="471"/>
      <c r="O75" s="37">
        <v>1</v>
      </c>
      <c r="P75" s="37" t="s">
        <v>495</v>
      </c>
      <c r="Q75" s="37"/>
      <c r="R75" s="471"/>
      <c r="S75" s="471"/>
      <c r="T75" s="471"/>
      <c r="U75" s="471"/>
      <c r="V75" s="471"/>
      <c r="W75" s="471"/>
      <c r="X75" s="471"/>
      <c r="Y75" s="471"/>
    </row>
    <row r="76" spans="1:25" x14ac:dyDescent="0.35">
      <c r="A76" s="471"/>
      <c r="B76" s="45" t="s">
        <v>401</v>
      </c>
      <c r="C76" s="47">
        <f>ROUNDUP((O74^Q74)*F74*C74/I75/L75,-0.5)</f>
        <v>2</v>
      </c>
      <c r="D76" s="29" t="s">
        <v>494</v>
      </c>
      <c r="E76" s="471"/>
      <c r="F76" s="471"/>
      <c r="G76" s="471"/>
      <c r="H76" s="471"/>
      <c r="I76" s="471"/>
      <c r="J76" s="471"/>
      <c r="K76" s="471"/>
      <c r="L76" s="474"/>
      <c r="M76" s="474"/>
      <c r="N76" s="471"/>
      <c r="O76" s="471"/>
      <c r="P76" s="471"/>
      <c r="Q76" s="471"/>
      <c r="R76" s="471"/>
      <c r="S76" s="471"/>
      <c r="T76" s="471"/>
      <c r="U76" s="471"/>
      <c r="V76" s="471"/>
      <c r="W76" s="471"/>
      <c r="X76" s="471"/>
      <c r="Y76" s="471"/>
    </row>
    <row r="77" spans="1:25" x14ac:dyDescent="0.35">
      <c r="A77" s="475"/>
      <c r="B77" s="475"/>
      <c r="C77" s="475"/>
      <c r="D77" s="475"/>
      <c r="E77" s="475"/>
      <c r="F77" s="475"/>
      <c r="G77" s="475"/>
      <c r="H77" s="475"/>
      <c r="I77" s="475"/>
      <c r="J77" s="475"/>
      <c r="K77" s="475"/>
      <c r="L77" s="484"/>
      <c r="M77" s="484"/>
      <c r="N77" s="475"/>
      <c r="O77" s="475"/>
      <c r="P77" s="475"/>
      <c r="Q77" s="475"/>
      <c r="R77" s="475"/>
      <c r="S77" s="475"/>
      <c r="T77" s="475"/>
      <c r="U77" s="475"/>
      <c r="V77" s="475"/>
      <c r="W77" s="475"/>
      <c r="X77" s="475"/>
      <c r="Y77" s="475"/>
    </row>
    <row r="78" spans="1:25" x14ac:dyDescent="0.35">
      <c r="A78" s="596" t="s">
        <v>496</v>
      </c>
      <c r="B78" s="596"/>
      <c r="C78" s="596"/>
      <c r="D78" s="596"/>
      <c r="E78" s="596"/>
      <c r="F78" s="596"/>
      <c r="G78" s="596"/>
      <c r="H78" s="596"/>
      <c r="I78" s="596"/>
      <c r="J78" s="596"/>
      <c r="K78" s="36"/>
      <c r="L78" s="484"/>
      <c r="M78" s="484"/>
      <c r="N78" s="36"/>
      <c r="O78" s="475"/>
      <c r="P78" s="475"/>
      <c r="Q78" s="475"/>
      <c r="R78" s="475"/>
      <c r="S78" s="475"/>
      <c r="T78" s="475"/>
      <c r="U78" s="475"/>
      <c r="V78" s="475"/>
      <c r="W78" s="475"/>
      <c r="X78" s="475"/>
      <c r="Y78" s="475"/>
    </row>
    <row r="79" spans="1:25" ht="17" x14ac:dyDescent="0.35">
      <c r="A79" s="37" t="s">
        <v>497</v>
      </c>
      <c r="B79" s="38" t="s">
        <v>401</v>
      </c>
      <c r="C79" s="48">
        <f>C56</f>
        <v>1100</v>
      </c>
      <c r="D79" s="40" t="s">
        <v>278</v>
      </c>
      <c r="E79" s="37" t="s">
        <v>476</v>
      </c>
      <c r="F79" s="40">
        <v>1</v>
      </c>
      <c r="G79" s="40" t="s">
        <v>498</v>
      </c>
      <c r="H79" s="37"/>
      <c r="I79" s="37"/>
      <c r="J79" s="37"/>
      <c r="K79" s="475"/>
      <c r="L79" s="484"/>
      <c r="M79" s="484"/>
      <c r="N79" s="475"/>
      <c r="O79" s="475"/>
      <c r="P79" s="475"/>
      <c r="Q79" s="475"/>
      <c r="R79" s="475"/>
      <c r="S79" s="475"/>
      <c r="T79" s="475"/>
      <c r="U79" s="475"/>
      <c r="V79" s="475"/>
      <c r="W79" s="475"/>
      <c r="X79" s="475"/>
      <c r="Y79" s="475"/>
    </row>
    <row r="80" spans="1:25" ht="15.5" x14ac:dyDescent="0.35">
      <c r="A80" s="42" t="s">
        <v>499</v>
      </c>
      <c r="B80" s="37"/>
      <c r="C80" s="37">
        <v>1</v>
      </c>
      <c r="D80" s="37" t="s">
        <v>477</v>
      </c>
      <c r="E80" s="37"/>
      <c r="F80" s="62">
        <v>0.29499999999999998</v>
      </c>
      <c r="G80" s="37" t="s">
        <v>264</v>
      </c>
      <c r="H80" s="37"/>
      <c r="I80" s="37"/>
      <c r="J80" s="37"/>
      <c r="K80" s="475"/>
      <c r="L80" s="484"/>
      <c r="M80" s="484"/>
      <c r="N80" s="475"/>
      <c r="O80" s="475"/>
      <c r="P80" s="475"/>
      <c r="Q80" s="475"/>
      <c r="R80" s="475"/>
      <c r="S80" s="475"/>
      <c r="T80" s="475"/>
      <c r="U80" s="475"/>
      <c r="V80" s="475"/>
      <c r="W80" s="475"/>
      <c r="X80" s="475"/>
      <c r="Y80" s="475"/>
    </row>
    <row r="81" spans="1:25" ht="16.5" x14ac:dyDescent="0.35">
      <c r="A81" s="42" t="s">
        <v>500</v>
      </c>
      <c r="B81" s="476" t="s">
        <v>401</v>
      </c>
      <c r="C81" s="43">
        <f>C79/F80</f>
        <v>3728.8135593220341</v>
      </c>
      <c r="D81" s="44" t="s">
        <v>501</v>
      </c>
      <c r="E81" s="42"/>
      <c r="F81" s="42"/>
      <c r="G81" s="42"/>
      <c r="H81" s="42"/>
      <c r="I81" s="42"/>
      <c r="J81" s="42"/>
      <c r="K81" s="475"/>
      <c r="L81" s="484"/>
      <c r="M81" s="484"/>
      <c r="N81" s="475"/>
      <c r="O81" s="475"/>
      <c r="P81" s="475"/>
      <c r="Q81" s="475"/>
      <c r="R81" s="475"/>
      <c r="S81" s="475"/>
      <c r="T81" s="475"/>
      <c r="U81" s="475"/>
      <c r="V81" s="475"/>
      <c r="W81" s="475"/>
      <c r="X81" s="475"/>
      <c r="Y81" s="475"/>
    </row>
    <row r="82" spans="1:25" x14ac:dyDescent="0.35">
      <c r="A82" s="102" t="s">
        <v>502</v>
      </c>
      <c r="B82" s="475"/>
      <c r="C82" s="475"/>
      <c r="D82" s="475"/>
      <c r="E82" s="475"/>
      <c r="F82" s="475"/>
      <c r="G82" s="475"/>
      <c r="H82" s="475"/>
      <c r="I82" s="475"/>
      <c r="J82" s="475"/>
      <c r="K82" s="475"/>
      <c r="L82" s="484"/>
      <c r="M82" s="484"/>
      <c r="N82" s="475"/>
      <c r="O82" s="475"/>
      <c r="P82" s="475"/>
      <c r="Q82" s="475"/>
      <c r="R82" s="475"/>
      <c r="S82" s="475"/>
      <c r="T82" s="475"/>
      <c r="U82" s="475"/>
      <c r="V82" s="475"/>
      <c r="W82" s="475"/>
      <c r="X82" s="475"/>
      <c r="Y82" s="475"/>
    </row>
    <row r="83" spans="1:25" ht="17" x14ac:dyDescent="0.35">
      <c r="A83" s="475" t="s">
        <v>503</v>
      </c>
      <c r="B83" s="38" t="s">
        <v>401</v>
      </c>
      <c r="C83" s="485">
        <f>C81</f>
        <v>3728.8135593220341</v>
      </c>
      <c r="D83" s="478" t="s">
        <v>504</v>
      </c>
      <c r="E83" s="475" t="s">
        <v>476</v>
      </c>
      <c r="F83" s="486">
        <v>4</v>
      </c>
      <c r="G83" s="52">
        <v>0.5</v>
      </c>
      <c r="H83" s="475"/>
      <c r="I83" s="475"/>
      <c r="J83" s="475"/>
      <c r="K83" s="475"/>
      <c r="L83" s="484"/>
      <c r="M83" s="484"/>
      <c r="N83" s="475"/>
      <c r="O83" s="475"/>
      <c r="P83" s="475"/>
      <c r="Q83" s="475"/>
      <c r="R83" s="475"/>
      <c r="S83" s="475"/>
      <c r="T83" s="475"/>
      <c r="U83" s="475"/>
      <c r="V83" s="475"/>
      <c r="W83" s="475"/>
      <c r="X83" s="475"/>
      <c r="Y83" s="475"/>
    </row>
    <row r="84" spans="1:25" x14ac:dyDescent="0.35">
      <c r="A84" s="475"/>
      <c r="B84" s="475"/>
      <c r="C84" s="487"/>
      <c r="D84" s="475"/>
      <c r="E84" s="475"/>
      <c r="F84" s="488" t="s">
        <v>487</v>
      </c>
      <c r="G84" s="475"/>
      <c r="H84" s="475"/>
      <c r="I84" s="475"/>
      <c r="J84" s="475"/>
      <c r="K84" s="475"/>
      <c r="L84" s="484"/>
      <c r="M84" s="484"/>
      <c r="N84" s="475"/>
      <c r="O84" s="475"/>
      <c r="P84" s="475"/>
      <c r="Q84" s="475"/>
      <c r="R84" s="475"/>
      <c r="S84" s="475"/>
      <c r="T84" s="475"/>
      <c r="U84" s="475"/>
      <c r="V84" s="475"/>
      <c r="W84" s="475"/>
      <c r="X84" s="475"/>
      <c r="Y84" s="475"/>
    </row>
    <row r="85" spans="1:25" x14ac:dyDescent="0.35">
      <c r="A85" s="475"/>
      <c r="B85" s="38" t="s">
        <v>401</v>
      </c>
      <c r="C85" s="53">
        <f>ROUNDUP(SQRT(C83*F83/PI()),-0.5)</f>
        <v>69</v>
      </c>
      <c r="D85" s="44" t="s">
        <v>218</v>
      </c>
      <c r="E85" s="475"/>
      <c r="F85" s="475"/>
      <c r="G85" s="475"/>
      <c r="H85" s="475"/>
      <c r="I85" s="475"/>
      <c r="J85" s="475"/>
      <c r="K85" s="475"/>
      <c r="L85" s="484"/>
      <c r="M85" s="484"/>
      <c r="N85" s="475"/>
      <c r="O85" s="475"/>
      <c r="P85" s="475"/>
      <c r="Q85" s="475"/>
      <c r="R85" s="475"/>
      <c r="S85" s="475"/>
      <c r="T85" s="475"/>
      <c r="U85" s="475"/>
      <c r="V85" s="475"/>
      <c r="W85" s="475"/>
      <c r="X85" s="475"/>
      <c r="Y85" s="475"/>
    </row>
    <row r="86" spans="1:25" x14ac:dyDescent="0.35">
      <c r="A86" s="475"/>
      <c r="B86" s="38"/>
      <c r="C86" s="53"/>
      <c r="D86" s="44"/>
      <c r="E86" s="475"/>
      <c r="F86" s="475"/>
      <c r="G86" s="475"/>
      <c r="H86" s="475"/>
      <c r="I86" s="475"/>
      <c r="J86" s="475"/>
      <c r="K86" s="475"/>
      <c r="L86" s="484"/>
      <c r="M86" s="484"/>
      <c r="N86" s="475"/>
      <c r="O86" s="475"/>
      <c r="P86" s="475"/>
      <c r="Q86" s="475"/>
      <c r="R86" s="475"/>
      <c r="S86" s="475"/>
      <c r="T86" s="475"/>
      <c r="U86" s="475"/>
      <c r="V86" s="475"/>
      <c r="W86" s="475"/>
      <c r="X86" s="475"/>
      <c r="Y86" s="475"/>
    </row>
    <row r="87" spans="1:25" x14ac:dyDescent="0.35">
      <c r="A87" s="475" t="s">
        <v>505</v>
      </c>
      <c r="B87" s="38" t="s">
        <v>401</v>
      </c>
      <c r="C87" s="53">
        <v>15</v>
      </c>
      <c r="D87" s="44" t="s">
        <v>218</v>
      </c>
      <c r="E87" s="475"/>
      <c r="F87" s="475"/>
      <c r="G87" s="475"/>
      <c r="H87" s="475"/>
      <c r="I87" s="475"/>
      <c r="J87" s="475"/>
      <c r="K87" s="475"/>
      <c r="L87" s="484"/>
      <c r="M87" s="484"/>
      <c r="N87" s="475"/>
      <c r="O87" s="475"/>
      <c r="P87" s="475"/>
      <c r="Q87" s="475"/>
      <c r="R87" s="475"/>
      <c r="S87" s="475"/>
      <c r="T87" s="475"/>
      <c r="U87" s="475"/>
      <c r="V87" s="475"/>
      <c r="W87" s="475"/>
      <c r="X87" s="475"/>
      <c r="Y87" s="475"/>
    </row>
    <row r="88" spans="1:25" x14ac:dyDescent="0.35">
      <c r="A88" s="475"/>
      <c r="B88" s="38"/>
      <c r="C88" s="53"/>
      <c r="D88" s="44"/>
      <c r="E88" s="475"/>
      <c r="F88" s="475"/>
      <c r="G88" s="475"/>
      <c r="H88" s="475"/>
      <c r="I88" s="475"/>
      <c r="J88" s="475"/>
      <c r="K88" s="475"/>
      <c r="L88" s="484"/>
      <c r="M88" s="484"/>
      <c r="N88" s="475"/>
      <c r="O88" s="475"/>
      <c r="P88" s="475"/>
      <c r="Q88" s="475"/>
      <c r="R88" s="475"/>
      <c r="S88" s="475"/>
      <c r="T88" s="475"/>
      <c r="U88" s="475"/>
      <c r="V88" s="475"/>
      <c r="W88" s="475"/>
      <c r="X88" s="475"/>
      <c r="Y88" s="475"/>
    </row>
    <row r="89" spans="1:25" x14ac:dyDescent="0.35">
      <c r="A89" s="475" t="s">
        <v>506</v>
      </c>
      <c r="B89" s="38"/>
      <c r="C89" s="53"/>
      <c r="D89" s="44"/>
      <c r="E89" s="475"/>
      <c r="F89" s="475"/>
      <c r="G89" s="475"/>
      <c r="H89" s="475"/>
      <c r="I89" s="475"/>
      <c r="J89" s="475"/>
      <c r="K89" s="475"/>
      <c r="L89" s="484"/>
      <c r="M89" s="484"/>
      <c r="N89" s="475"/>
      <c r="O89" s="475"/>
      <c r="P89" s="475"/>
      <c r="Q89" s="475"/>
      <c r="R89" s="475"/>
      <c r="S89" s="475"/>
      <c r="T89" s="475"/>
      <c r="U89" s="475"/>
      <c r="V89" s="475"/>
      <c r="W89" s="475"/>
      <c r="X89" s="475"/>
      <c r="Y89" s="475"/>
    </row>
    <row r="90" spans="1:25" x14ac:dyDescent="0.35">
      <c r="A90" s="475"/>
      <c r="B90" s="38"/>
      <c r="C90" s="53"/>
      <c r="D90" s="44"/>
      <c r="E90" s="475"/>
      <c r="F90" s="475"/>
      <c r="G90" s="475"/>
      <c r="H90" s="475"/>
      <c r="I90" s="475"/>
      <c r="J90" s="475"/>
      <c r="K90" s="475"/>
      <c r="L90" s="484"/>
      <c r="M90" s="484"/>
      <c r="N90" s="475"/>
      <c r="O90" s="475"/>
      <c r="P90" s="475"/>
      <c r="Q90" s="475"/>
      <c r="R90" s="475"/>
      <c r="S90" s="475"/>
      <c r="T90" s="475"/>
      <c r="U90" s="475"/>
      <c r="V90" s="475"/>
      <c r="W90" s="475"/>
      <c r="X90" s="475"/>
      <c r="Y90" s="475"/>
    </row>
    <row r="91" spans="1:25" ht="17" x14ac:dyDescent="0.35">
      <c r="A91" s="475" t="s">
        <v>507</v>
      </c>
      <c r="B91" s="38" t="s">
        <v>401</v>
      </c>
      <c r="C91" s="489">
        <f>C163</f>
        <v>586232.72213033983</v>
      </c>
      <c r="D91" s="490" t="s">
        <v>508</v>
      </c>
      <c r="E91" s="37" t="s">
        <v>476</v>
      </c>
      <c r="F91" s="40">
        <v>1</v>
      </c>
      <c r="G91" s="40" t="s">
        <v>509</v>
      </c>
      <c r="H91" s="37" t="s">
        <v>476</v>
      </c>
      <c r="I91" s="40">
        <v>1</v>
      </c>
      <c r="J91" s="40" t="s">
        <v>510</v>
      </c>
      <c r="K91" s="37" t="s">
        <v>476</v>
      </c>
      <c r="L91" s="48">
        <v>1</v>
      </c>
      <c r="M91" s="48" t="s">
        <v>491</v>
      </c>
      <c r="N91" s="37" t="s">
        <v>476</v>
      </c>
      <c r="O91" s="39">
        <v>264.2</v>
      </c>
      <c r="P91" s="40" t="s">
        <v>278</v>
      </c>
      <c r="Q91" s="475"/>
      <c r="R91" s="475"/>
      <c r="S91" s="475"/>
      <c r="T91" s="475"/>
      <c r="U91" s="475"/>
      <c r="V91" s="475"/>
      <c r="W91" s="475"/>
      <c r="X91" s="475"/>
      <c r="Y91" s="475"/>
    </row>
    <row r="92" spans="1:25" ht="17" x14ac:dyDescent="0.35">
      <c r="A92" s="475"/>
      <c r="B92" s="38"/>
      <c r="C92" s="491"/>
      <c r="D92" s="475" t="s">
        <v>510</v>
      </c>
      <c r="E92" s="37"/>
      <c r="F92" s="37">
        <v>2.2000000000000002</v>
      </c>
      <c r="G92" s="37" t="s">
        <v>508</v>
      </c>
      <c r="H92" s="37"/>
      <c r="I92" s="51">
        <v>1440</v>
      </c>
      <c r="J92" s="37" t="s">
        <v>477</v>
      </c>
      <c r="K92" s="37"/>
      <c r="L92" s="51">
        <v>1190</v>
      </c>
      <c r="M92" s="51" t="s">
        <v>509</v>
      </c>
      <c r="N92" s="37"/>
      <c r="O92" s="37">
        <v>1</v>
      </c>
      <c r="P92" s="37" t="s">
        <v>491</v>
      </c>
      <c r="Q92" s="475"/>
      <c r="R92" s="475"/>
      <c r="S92" s="475"/>
      <c r="T92" s="475"/>
      <c r="U92" s="475"/>
      <c r="V92" s="475"/>
      <c r="W92" s="475"/>
      <c r="X92" s="475"/>
      <c r="Y92" s="475"/>
    </row>
    <row r="93" spans="1:25" x14ac:dyDescent="0.35">
      <c r="A93" s="475"/>
      <c r="B93" s="38" t="s">
        <v>401</v>
      </c>
      <c r="C93" s="53">
        <f>ROUNDUP((C91*O91/F92/I92/L92),0)</f>
        <v>42</v>
      </c>
      <c r="D93" s="44" t="s">
        <v>264</v>
      </c>
      <c r="E93" s="475"/>
      <c r="F93" s="475"/>
      <c r="G93" s="475"/>
      <c r="H93" s="475"/>
      <c r="I93" s="475"/>
      <c r="J93" s="475"/>
      <c r="K93" s="475"/>
      <c r="L93" s="475"/>
      <c r="M93" s="475"/>
      <c r="N93" s="475"/>
      <c r="O93" s="475"/>
      <c r="P93" s="475"/>
      <c r="Q93" s="475"/>
      <c r="R93" s="475"/>
      <c r="S93" s="475"/>
      <c r="T93" s="475"/>
      <c r="U93" s="475"/>
      <c r="V93" s="475"/>
      <c r="W93" s="475"/>
      <c r="X93" s="475"/>
      <c r="Y93" s="475"/>
    </row>
    <row r="94" spans="1:25" x14ac:dyDescent="0.35">
      <c r="A94" s="475"/>
      <c r="B94" s="38"/>
      <c r="C94" s="53"/>
      <c r="D94" s="44"/>
      <c r="E94" s="475"/>
      <c r="F94" s="475"/>
      <c r="G94" s="475"/>
      <c r="H94" s="475"/>
      <c r="I94" s="475"/>
      <c r="J94" s="475"/>
      <c r="K94" s="475"/>
      <c r="L94" s="475"/>
      <c r="M94" s="475"/>
      <c r="N94" s="475"/>
      <c r="O94" s="475"/>
      <c r="P94" s="475"/>
      <c r="Q94" s="475"/>
      <c r="R94" s="475"/>
      <c r="S94" s="475"/>
      <c r="T94" s="475"/>
      <c r="U94" s="475"/>
      <c r="V94" s="475"/>
      <c r="W94" s="475"/>
      <c r="X94" s="475"/>
      <c r="Y94" s="475"/>
    </row>
    <row r="95" spans="1:25" x14ac:dyDescent="0.35">
      <c r="A95" s="475"/>
      <c r="B95" s="38"/>
      <c r="C95" s="53"/>
      <c r="D95" s="44"/>
      <c r="E95" s="475"/>
      <c r="F95" s="475"/>
      <c r="G95" s="475"/>
      <c r="H95" s="475"/>
      <c r="I95" s="475"/>
      <c r="J95" s="475"/>
      <c r="K95" s="475"/>
      <c r="L95" s="475"/>
      <c r="M95" s="475"/>
      <c r="N95" s="475"/>
      <c r="O95" s="475"/>
      <c r="P95" s="475"/>
      <c r="Q95" s="475"/>
      <c r="R95" s="475"/>
      <c r="S95" s="475"/>
      <c r="T95" s="475"/>
      <c r="U95" s="475"/>
      <c r="V95" s="475"/>
      <c r="W95" s="475"/>
      <c r="X95" s="475"/>
      <c r="Y95" s="475"/>
    </row>
    <row r="96" spans="1:25" x14ac:dyDescent="0.35">
      <c r="A96" s="475" t="s">
        <v>511</v>
      </c>
      <c r="B96" s="45" t="s">
        <v>401</v>
      </c>
      <c r="C96" s="40">
        <v>3</v>
      </c>
      <c r="D96" s="40" t="s">
        <v>512</v>
      </c>
      <c r="E96" s="37" t="s">
        <v>476</v>
      </c>
      <c r="F96" s="48">
        <f>C18</f>
        <v>295452.99989571888</v>
      </c>
      <c r="G96" s="40" t="s">
        <v>508</v>
      </c>
      <c r="H96" s="37" t="s">
        <v>476</v>
      </c>
      <c r="I96" s="48"/>
      <c r="J96" s="40"/>
      <c r="K96" s="37" t="s">
        <v>476</v>
      </c>
      <c r="L96" s="48">
        <v>1</v>
      </c>
      <c r="M96" s="40" t="s">
        <v>278</v>
      </c>
      <c r="N96" s="37" t="s">
        <v>476</v>
      </c>
      <c r="O96" s="41"/>
      <c r="P96" s="40"/>
      <c r="Q96" s="37" t="s">
        <v>476</v>
      </c>
      <c r="R96" s="41">
        <v>1</v>
      </c>
      <c r="S96" s="40" t="s">
        <v>510</v>
      </c>
      <c r="T96" s="475"/>
      <c r="U96" s="475"/>
      <c r="V96" s="475"/>
      <c r="W96" s="475"/>
      <c r="X96" s="475"/>
      <c r="Y96" s="475"/>
    </row>
    <row r="97" spans="1:25" x14ac:dyDescent="0.35">
      <c r="A97" s="475" t="s">
        <v>513</v>
      </c>
      <c r="B97" s="471"/>
      <c r="C97" s="37"/>
      <c r="D97" s="37"/>
      <c r="E97" s="37"/>
      <c r="F97" s="37"/>
      <c r="G97" s="37" t="s">
        <v>235</v>
      </c>
      <c r="H97" s="37"/>
      <c r="I97" s="54">
        <f>F162</f>
        <v>0.25</v>
      </c>
      <c r="J97" s="37" t="s">
        <v>514</v>
      </c>
      <c r="K97" s="37"/>
      <c r="L97" s="37">
        <v>8.34</v>
      </c>
      <c r="M97" s="37" t="s">
        <v>508</v>
      </c>
      <c r="N97" s="471"/>
      <c r="O97" s="37">
        <v>1.19</v>
      </c>
      <c r="P97" s="37" t="s">
        <v>515</v>
      </c>
      <c r="Q97" s="471"/>
      <c r="R97" s="51">
        <v>1440</v>
      </c>
      <c r="S97" s="37" t="s">
        <v>477</v>
      </c>
      <c r="T97" s="475"/>
      <c r="U97" s="475"/>
      <c r="V97" s="475"/>
      <c r="W97" s="475"/>
      <c r="X97" s="475"/>
      <c r="Y97" s="475"/>
    </row>
    <row r="98" spans="1:25" x14ac:dyDescent="0.35">
      <c r="A98" s="475"/>
      <c r="B98" s="45" t="s">
        <v>401</v>
      </c>
      <c r="C98" s="47">
        <f>ROUNDUP(C96*F96/I97/L97/O97/R97,0)</f>
        <v>249</v>
      </c>
      <c r="D98" s="29" t="s">
        <v>516</v>
      </c>
      <c r="E98" s="471"/>
      <c r="F98" s="471"/>
      <c r="G98" s="471"/>
      <c r="H98" s="471"/>
      <c r="I98" s="471"/>
      <c r="J98" s="471"/>
      <c r="K98" s="471"/>
      <c r="L98" s="471"/>
      <c r="M98" s="471"/>
      <c r="N98" s="471"/>
      <c r="O98" s="471"/>
      <c r="P98" s="471"/>
      <c r="Q98" s="475"/>
      <c r="R98" s="475"/>
      <c r="S98" s="475"/>
      <c r="T98" s="475"/>
      <c r="U98" s="475"/>
      <c r="V98" s="475"/>
      <c r="W98" s="475"/>
      <c r="X98" s="475"/>
      <c r="Y98" s="475"/>
    </row>
    <row r="99" spans="1:25" ht="15.5" x14ac:dyDescent="0.35">
      <c r="A99" s="595" t="s">
        <v>517</v>
      </c>
      <c r="B99" s="595"/>
      <c r="C99" s="595"/>
      <c r="D99" s="595"/>
      <c r="E99" s="595"/>
      <c r="F99" s="595"/>
      <c r="G99" s="595"/>
      <c r="H99" s="595"/>
      <c r="I99" s="595"/>
      <c r="J99" s="595"/>
      <c r="K99" s="35"/>
      <c r="L99" s="475"/>
      <c r="M99" s="475"/>
      <c r="N99" s="35"/>
      <c r="O99" s="475"/>
      <c r="P99" s="475"/>
      <c r="Q99" s="475"/>
      <c r="R99" s="475"/>
      <c r="S99" s="475"/>
      <c r="T99" s="475"/>
      <c r="U99" s="475"/>
      <c r="V99" s="475"/>
      <c r="W99" s="475"/>
      <c r="X99" s="475"/>
      <c r="Y99" s="475"/>
    </row>
    <row r="100" spans="1:25" x14ac:dyDescent="0.35">
      <c r="A100" s="596" t="s">
        <v>299</v>
      </c>
      <c r="B100" s="596"/>
      <c r="C100" s="596"/>
      <c r="D100" s="596"/>
      <c r="E100" s="596"/>
      <c r="F100" s="596"/>
      <c r="G100" s="596"/>
      <c r="H100" s="596"/>
      <c r="I100" s="596"/>
      <c r="J100" s="596"/>
      <c r="K100" s="36"/>
      <c r="L100" s="475"/>
      <c r="M100" s="475"/>
      <c r="N100" s="36"/>
      <c r="O100" s="475"/>
      <c r="P100" s="475"/>
      <c r="Q100" s="475"/>
      <c r="R100" s="475"/>
      <c r="S100" s="475"/>
      <c r="T100" s="475"/>
      <c r="U100" s="475"/>
      <c r="V100" s="475"/>
      <c r="W100" s="475"/>
      <c r="X100" s="475"/>
      <c r="Y100" s="475"/>
    </row>
    <row r="101" spans="1:25" x14ac:dyDescent="0.35">
      <c r="A101" s="37" t="s">
        <v>475</v>
      </c>
      <c r="B101" s="38" t="s">
        <v>401</v>
      </c>
      <c r="C101" s="48">
        <f>C20</f>
        <v>1500</v>
      </c>
      <c r="D101" s="40" t="s">
        <v>278</v>
      </c>
      <c r="E101" s="37" t="s">
        <v>476</v>
      </c>
      <c r="F101" s="40">
        <v>18</v>
      </c>
      <c r="G101" s="40" t="s">
        <v>477</v>
      </c>
      <c r="H101" s="37"/>
      <c r="I101" s="37"/>
      <c r="J101" s="37"/>
      <c r="K101" s="475"/>
      <c r="L101" s="475"/>
      <c r="M101" s="475"/>
      <c r="N101" s="475"/>
      <c r="O101" s="475"/>
      <c r="P101" s="475"/>
      <c r="Q101" s="475"/>
      <c r="R101" s="475"/>
      <c r="S101" s="475"/>
      <c r="T101" s="475"/>
      <c r="U101" s="475"/>
      <c r="V101" s="475"/>
      <c r="W101" s="475"/>
      <c r="X101" s="475"/>
      <c r="Y101" s="475"/>
    </row>
    <row r="102" spans="1:25" x14ac:dyDescent="0.35">
      <c r="A102" s="37"/>
      <c r="B102" s="37"/>
      <c r="C102" s="51">
        <v>1</v>
      </c>
      <c r="D102" s="37" t="s">
        <v>477</v>
      </c>
      <c r="E102" s="37"/>
      <c r="F102" s="37"/>
      <c r="G102" s="37"/>
      <c r="H102" s="37"/>
      <c r="I102" s="37"/>
      <c r="J102" s="37"/>
      <c r="K102" s="475"/>
      <c r="L102" s="475"/>
      <c r="M102" s="475"/>
      <c r="N102" s="475"/>
      <c r="O102" s="475"/>
      <c r="P102" s="475"/>
      <c r="Q102" s="475"/>
      <c r="R102" s="475"/>
      <c r="S102" s="475"/>
      <c r="T102" s="475"/>
      <c r="U102" s="475"/>
      <c r="V102" s="475"/>
      <c r="W102" s="475"/>
      <c r="X102" s="475"/>
      <c r="Y102" s="475"/>
    </row>
    <row r="103" spans="1:25" x14ac:dyDescent="0.35">
      <c r="A103" s="42"/>
      <c r="B103" s="476" t="s">
        <v>401</v>
      </c>
      <c r="C103" s="43">
        <f>C101*F101</f>
        <v>27000</v>
      </c>
      <c r="D103" s="44" t="s">
        <v>278</v>
      </c>
      <c r="E103" s="42"/>
      <c r="F103" s="42"/>
      <c r="G103" s="42"/>
      <c r="H103" s="42"/>
      <c r="I103" s="42"/>
      <c r="J103" s="42"/>
      <c r="K103" s="475"/>
      <c r="L103" s="475"/>
      <c r="M103" s="475"/>
      <c r="N103" s="475"/>
      <c r="O103" s="475"/>
      <c r="P103" s="475"/>
      <c r="Q103" s="475"/>
      <c r="R103" s="475"/>
      <c r="S103" s="475"/>
      <c r="T103" s="475"/>
      <c r="U103" s="475"/>
      <c r="V103" s="475"/>
      <c r="W103" s="475"/>
      <c r="X103" s="475"/>
      <c r="Y103" s="475"/>
    </row>
    <row r="104" spans="1:25" x14ac:dyDescent="0.35">
      <c r="A104" s="42"/>
      <c r="B104" s="476"/>
      <c r="C104" s="43"/>
      <c r="D104" s="44"/>
      <c r="E104" s="42"/>
      <c r="F104" s="42"/>
      <c r="G104" s="42"/>
      <c r="H104" s="42"/>
      <c r="I104" s="42"/>
      <c r="J104" s="42"/>
      <c r="K104" s="475"/>
      <c r="L104" s="475"/>
      <c r="M104" s="475"/>
      <c r="N104" s="475"/>
      <c r="O104" s="475"/>
      <c r="P104" s="475"/>
      <c r="Q104" s="475"/>
      <c r="R104" s="475"/>
      <c r="S104" s="475"/>
      <c r="T104" s="475"/>
      <c r="U104" s="475"/>
      <c r="V104" s="475"/>
      <c r="W104" s="475"/>
      <c r="X104" s="475"/>
      <c r="Y104" s="475"/>
    </row>
    <row r="105" spans="1:25" x14ac:dyDescent="0.35">
      <c r="A105" s="42"/>
      <c r="B105" s="38" t="s">
        <v>401</v>
      </c>
      <c r="C105" s="48">
        <f>C103</f>
        <v>27000</v>
      </c>
      <c r="D105" s="40" t="s">
        <v>278</v>
      </c>
      <c r="E105" s="37" t="s">
        <v>476</v>
      </c>
      <c r="F105" s="40">
        <v>1.1000000000000001</v>
      </c>
      <c r="G105" s="40" t="s">
        <v>481</v>
      </c>
      <c r="H105" s="42"/>
      <c r="I105" s="42"/>
      <c r="J105" s="42"/>
      <c r="K105" s="475"/>
      <c r="L105" s="475"/>
      <c r="M105" s="475"/>
      <c r="N105" s="475"/>
      <c r="O105" s="475"/>
      <c r="P105" s="475"/>
      <c r="Q105" s="475"/>
      <c r="R105" s="475"/>
      <c r="S105" s="475"/>
      <c r="T105" s="475"/>
      <c r="U105" s="475"/>
      <c r="V105" s="475"/>
      <c r="W105" s="475"/>
      <c r="X105" s="475"/>
      <c r="Y105" s="475"/>
    </row>
    <row r="106" spans="1:25" x14ac:dyDescent="0.35">
      <c r="A106" s="42"/>
      <c r="B106" s="37"/>
      <c r="C106" s="51">
        <v>1</v>
      </c>
      <c r="D106" s="37" t="s">
        <v>477</v>
      </c>
      <c r="E106" s="37"/>
      <c r="F106" s="37"/>
      <c r="G106" s="37"/>
      <c r="H106" s="42"/>
      <c r="I106" s="42"/>
      <c r="J106" s="42"/>
      <c r="K106" s="475"/>
      <c r="L106" s="475"/>
      <c r="M106" s="475"/>
      <c r="N106" s="475"/>
      <c r="O106" s="475"/>
      <c r="P106" s="475"/>
      <c r="Q106" s="475"/>
      <c r="R106" s="475"/>
      <c r="S106" s="475"/>
      <c r="T106" s="475"/>
      <c r="U106" s="475"/>
      <c r="V106" s="475"/>
      <c r="W106" s="475"/>
      <c r="X106" s="475"/>
      <c r="Y106" s="475"/>
    </row>
    <row r="107" spans="1:25" x14ac:dyDescent="0.35">
      <c r="A107" s="42"/>
      <c r="B107" s="476" t="s">
        <v>401</v>
      </c>
      <c r="C107" s="43">
        <f>ROUNDUP(C105*F105,-3)</f>
        <v>30000</v>
      </c>
      <c r="D107" s="44" t="s">
        <v>278</v>
      </c>
      <c r="E107" s="42"/>
      <c r="F107" s="42"/>
      <c r="G107" s="42"/>
      <c r="H107" s="42"/>
      <c r="I107" s="42"/>
      <c r="J107" s="42"/>
      <c r="K107" s="475"/>
      <c r="L107" s="475"/>
      <c r="M107" s="475"/>
      <c r="N107" s="475"/>
      <c r="O107" s="475"/>
      <c r="P107" s="475"/>
      <c r="Q107" s="475"/>
      <c r="R107" s="475"/>
      <c r="S107" s="475"/>
      <c r="T107" s="475"/>
      <c r="U107" s="475"/>
      <c r="V107" s="475"/>
      <c r="W107" s="475"/>
      <c r="X107" s="475"/>
      <c r="Y107" s="475"/>
    </row>
    <row r="108" spans="1:25" x14ac:dyDescent="0.35">
      <c r="A108" s="42"/>
      <c r="B108" s="476"/>
      <c r="C108" s="43"/>
      <c r="D108" s="44"/>
      <c r="E108" s="42"/>
      <c r="F108" s="42"/>
      <c r="G108" s="42"/>
      <c r="H108" s="42"/>
      <c r="I108" s="42"/>
      <c r="J108" s="42"/>
      <c r="K108" s="475"/>
      <c r="L108" s="475"/>
      <c r="M108" s="475"/>
      <c r="N108" s="475"/>
      <c r="O108" s="475"/>
      <c r="P108" s="475"/>
      <c r="Q108" s="475"/>
      <c r="R108" s="475"/>
      <c r="S108" s="475"/>
      <c r="T108" s="475"/>
      <c r="U108" s="475"/>
      <c r="V108" s="475"/>
      <c r="W108" s="475"/>
      <c r="X108" s="475"/>
      <c r="Y108" s="475"/>
    </row>
    <row r="109" spans="1:25" ht="17" x14ac:dyDescent="0.35">
      <c r="A109" s="471"/>
      <c r="B109" s="473" t="s">
        <v>401</v>
      </c>
      <c r="C109" s="477">
        <f>C107</f>
        <v>30000</v>
      </c>
      <c r="D109" s="478" t="s">
        <v>278</v>
      </c>
      <c r="E109" s="471" t="s">
        <v>476</v>
      </c>
      <c r="F109" s="478">
        <v>1</v>
      </c>
      <c r="G109" s="478" t="s">
        <v>483</v>
      </c>
      <c r="H109" s="471"/>
      <c r="I109" s="471"/>
      <c r="J109" s="471"/>
      <c r="K109" s="471"/>
      <c r="L109" s="471"/>
      <c r="M109" s="471"/>
      <c r="N109" s="471"/>
      <c r="O109" s="471"/>
      <c r="P109" s="471"/>
      <c r="Q109" s="471"/>
      <c r="R109" s="471"/>
      <c r="S109" s="471"/>
      <c r="T109" s="471"/>
      <c r="U109" s="471"/>
      <c r="V109" s="471"/>
      <c r="W109" s="471"/>
      <c r="X109" s="471"/>
      <c r="Y109" s="471"/>
    </row>
    <row r="110" spans="1:25" x14ac:dyDescent="0.35">
      <c r="A110" s="471"/>
      <c r="B110" s="473"/>
      <c r="C110" s="28"/>
      <c r="D110" s="29"/>
      <c r="E110" s="471"/>
      <c r="F110" s="479">
        <v>7.4809999999999999</v>
      </c>
      <c r="G110" s="471" t="s">
        <v>278</v>
      </c>
      <c r="H110" s="471"/>
      <c r="I110" s="471"/>
      <c r="J110" s="471"/>
      <c r="K110" s="471"/>
      <c r="L110" s="471"/>
      <c r="M110" s="471"/>
      <c r="N110" s="471"/>
      <c r="O110" s="471"/>
      <c r="P110" s="471"/>
      <c r="Q110" s="471"/>
      <c r="R110" s="471"/>
      <c r="S110" s="471"/>
      <c r="T110" s="471"/>
      <c r="U110" s="471"/>
      <c r="V110" s="471"/>
      <c r="W110" s="471"/>
      <c r="X110" s="471"/>
      <c r="Y110" s="471"/>
    </row>
    <row r="111" spans="1:25" ht="16.5" x14ac:dyDescent="0.35">
      <c r="A111" s="471"/>
      <c r="B111" s="473" t="s">
        <v>401</v>
      </c>
      <c r="C111" s="28">
        <f>C109/F110</f>
        <v>4010.1590696430958</v>
      </c>
      <c r="D111" s="29" t="s">
        <v>484</v>
      </c>
      <c r="E111" s="471"/>
      <c r="F111" s="471"/>
      <c r="G111" s="471"/>
      <c r="H111" s="471"/>
      <c r="I111" s="471"/>
      <c r="J111" s="471"/>
      <c r="K111" s="471"/>
      <c r="L111" s="471"/>
      <c r="M111" s="471"/>
      <c r="N111" s="471"/>
      <c r="O111" s="471"/>
      <c r="P111" s="471"/>
      <c r="Q111" s="471"/>
      <c r="R111" s="471"/>
      <c r="S111" s="471"/>
      <c r="T111" s="471"/>
      <c r="U111" s="471"/>
      <c r="V111" s="471"/>
      <c r="W111" s="471"/>
      <c r="X111" s="471"/>
      <c r="Y111" s="471"/>
    </row>
    <row r="112" spans="1:25" x14ac:dyDescent="0.35">
      <c r="A112" s="471"/>
      <c r="B112" s="473"/>
      <c r="C112" s="28"/>
      <c r="D112" s="29"/>
      <c r="E112" s="471"/>
      <c r="F112" s="471"/>
      <c r="G112" s="471"/>
      <c r="H112" s="471"/>
      <c r="I112" s="471"/>
      <c r="J112" s="471"/>
      <c r="K112" s="471"/>
      <c r="L112" s="471"/>
      <c r="M112" s="471"/>
      <c r="N112" s="471"/>
      <c r="O112" s="471"/>
      <c r="P112" s="471"/>
      <c r="Q112" s="471"/>
      <c r="R112" s="471"/>
      <c r="S112" s="471"/>
      <c r="T112" s="471"/>
      <c r="U112" s="471"/>
      <c r="V112" s="471"/>
      <c r="W112" s="471"/>
      <c r="X112" s="471"/>
      <c r="Y112" s="471"/>
    </row>
    <row r="113" spans="1:25" x14ac:dyDescent="0.35">
      <c r="A113" s="471" t="s">
        <v>485</v>
      </c>
      <c r="B113" s="473" t="s">
        <v>401</v>
      </c>
      <c r="C113" s="326">
        <v>22</v>
      </c>
      <c r="D113" s="327" t="s">
        <v>218</v>
      </c>
      <c r="E113" s="471"/>
      <c r="F113" s="471"/>
      <c r="G113" s="471"/>
      <c r="H113" s="471"/>
      <c r="I113" s="471"/>
      <c r="J113" s="471"/>
      <c r="K113" s="471"/>
      <c r="L113" s="471"/>
      <c r="M113" s="471"/>
      <c r="N113" s="471"/>
      <c r="O113" s="471"/>
      <c r="P113" s="471"/>
      <c r="Q113" s="471"/>
      <c r="R113" s="471"/>
      <c r="S113" s="471"/>
      <c r="T113" s="471"/>
      <c r="U113" s="471"/>
      <c r="V113" s="471"/>
      <c r="W113" s="471"/>
      <c r="X113" s="471"/>
      <c r="Y113" s="471"/>
    </row>
    <row r="114" spans="1:25" x14ac:dyDescent="0.35">
      <c r="A114" s="471"/>
      <c r="B114" s="473"/>
      <c r="C114" s="28"/>
      <c r="D114" s="29"/>
      <c r="E114" s="471"/>
      <c r="F114" s="471"/>
      <c r="G114" s="471"/>
      <c r="H114" s="471"/>
      <c r="I114" s="471"/>
      <c r="J114" s="471"/>
      <c r="K114" s="471"/>
      <c r="L114" s="471"/>
      <c r="M114" s="471"/>
      <c r="N114" s="471"/>
      <c r="O114" s="471"/>
      <c r="P114" s="471"/>
      <c r="Q114" s="471"/>
      <c r="R114" s="471"/>
      <c r="S114" s="471"/>
      <c r="T114" s="471"/>
      <c r="U114" s="471"/>
      <c r="V114" s="471"/>
      <c r="W114" s="471"/>
      <c r="X114" s="471"/>
      <c r="Y114" s="471"/>
    </row>
    <row r="115" spans="1:25" ht="17" x14ac:dyDescent="0.35">
      <c r="A115" s="471" t="s">
        <v>486</v>
      </c>
      <c r="B115" s="45" t="s">
        <v>401</v>
      </c>
      <c r="C115" s="480">
        <f>C111</f>
        <v>4010.1590696430958</v>
      </c>
      <c r="D115" s="478" t="s">
        <v>483</v>
      </c>
      <c r="E115" s="471" t="s">
        <v>476</v>
      </c>
      <c r="F115" s="481">
        <v>4</v>
      </c>
      <c r="G115" s="46">
        <v>0.5</v>
      </c>
      <c r="H115" s="471"/>
      <c r="I115" s="471"/>
      <c r="J115" s="471"/>
      <c r="K115" s="471"/>
      <c r="L115" s="471"/>
      <c r="M115" s="471"/>
      <c r="N115" s="471"/>
      <c r="O115" s="471"/>
      <c r="P115" s="471"/>
      <c r="Q115" s="471"/>
      <c r="R115" s="471"/>
      <c r="S115" s="471"/>
      <c r="T115" s="471"/>
      <c r="U115" s="471"/>
      <c r="V115" s="471"/>
      <c r="W115" s="471"/>
      <c r="X115" s="471"/>
      <c r="Y115" s="471"/>
    </row>
    <row r="116" spans="1:25" x14ac:dyDescent="0.35">
      <c r="A116" s="471"/>
      <c r="B116" s="471"/>
      <c r="C116" s="482">
        <f>C113</f>
        <v>22</v>
      </c>
      <c r="D116" s="471" t="s">
        <v>218</v>
      </c>
      <c r="E116" s="471"/>
      <c r="F116" s="483" t="s">
        <v>487</v>
      </c>
      <c r="G116" s="471"/>
      <c r="H116" s="471"/>
      <c r="I116" s="471"/>
      <c r="J116" s="471"/>
      <c r="K116" s="471"/>
      <c r="L116" s="471"/>
      <c r="M116" s="471"/>
      <c r="N116" s="471"/>
      <c r="O116" s="471"/>
      <c r="P116" s="471"/>
      <c r="Q116" s="471"/>
      <c r="R116" s="471"/>
      <c r="S116" s="471"/>
      <c r="T116" s="471"/>
      <c r="U116" s="471"/>
      <c r="V116" s="471"/>
      <c r="W116" s="471"/>
      <c r="X116" s="471"/>
      <c r="Y116" s="471"/>
    </row>
    <row r="117" spans="1:25" x14ac:dyDescent="0.35">
      <c r="A117" s="471"/>
      <c r="B117" s="45" t="s">
        <v>401</v>
      </c>
      <c r="C117" s="28">
        <f>ROUNDUP(SQRT(C115/C116*F115/PI()),-0.5)</f>
        <v>16</v>
      </c>
      <c r="D117" s="29" t="s">
        <v>218</v>
      </c>
      <c r="E117" s="471"/>
      <c r="F117" s="471"/>
      <c r="G117" s="471"/>
      <c r="H117" s="471"/>
      <c r="I117" s="471"/>
      <c r="J117" s="471"/>
      <c r="K117" s="471"/>
      <c r="L117" s="471"/>
      <c r="M117" s="471"/>
      <c r="N117" s="471"/>
      <c r="O117" s="471"/>
      <c r="P117" s="471"/>
      <c r="Q117" s="471"/>
      <c r="R117" s="471"/>
      <c r="S117" s="471"/>
      <c r="T117" s="471"/>
      <c r="U117" s="471"/>
      <c r="V117" s="471"/>
      <c r="W117" s="471"/>
      <c r="X117" s="471"/>
      <c r="Y117" s="471"/>
    </row>
    <row r="118" spans="1:25" x14ac:dyDescent="0.35">
      <c r="A118" s="475"/>
      <c r="B118" s="475"/>
      <c r="C118" s="475"/>
      <c r="D118" s="475"/>
      <c r="E118" s="475"/>
      <c r="F118" s="475"/>
      <c r="G118" s="475"/>
      <c r="H118" s="475"/>
      <c r="I118" s="475"/>
      <c r="J118" s="475"/>
      <c r="K118" s="475"/>
      <c r="L118" s="475"/>
      <c r="M118" s="475"/>
      <c r="N118" s="475"/>
      <c r="O118" s="475"/>
      <c r="P118" s="475"/>
      <c r="Q118" s="475"/>
      <c r="R118" s="471"/>
      <c r="S118" s="471"/>
      <c r="T118" s="471"/>
      <c r="U118" s="471"/>
      <c r="V118" s="471"/>
      <c r="W118" s="471"/>
      <c r="X118" s="471"/>
      <c r="Y118" s="471"/>
    </row>
    <row r="119" spans="1:25" ht="17" x14ac:dyDescent="0.35">
      <c r="A119" s="471" t="s">
        <v>488</v>
      </c>
      <c r="B119" s="45" t="s">
        <v>401</v>
      </c>
      <c r="C119" s="40">
        <f>1.139 * 10^-3</f>
        <v>1.139E-3</v>
      </c>
      <c r="D119" s="40" t="s">
        <v>489</v>
      </c>
      <c r="E119" s="37" t="s">
        <v>476</v>
      </c>
      <c r="F119" s="48">
        <f>C111</f>
        <v>4010.1590696430958</v>
      </c>
      <c r="G119" s="40" t="s">
        <v>490</v>
      </c>
      <c r="H119" s="37" t="s">
        <v>476</v>
      </c>
      <c r="I119" s="48">
        <v>1</v>
      </c>
      <c r="J119" s="40" t="s">
        <v>491</v>
      </c>
      <c r="K119" s="37" t="s">
        <v>476</v>
      </c>
      <c r="L119" s="49"/>
      <c r="M119" s="40" t="s">
        <v>492</v>
      </c>
      <c r="N119" s="37" t="s">
        <v>476</v>
      </c>
      <c r="O119" s="39">
        <v>300</v>
      </c>
      <c r="P119" s="40"/>
      <c r="Q119" s="50">
        <v>2</v>
      </c>
      <c r="R119" s="471"/>
      <c r="S119" s="471"/>
      <c r="T119" s="471"/>
      <c r="U119" s="471"/>
      <c r="V119" s="471"/>
      <c r="W119" s="471"/>
      <c r="X119" s="471"/>
      <c r="Y119" s="471"/>
    </row>
    <row r="120" spans="1:25" ht="17" x14ac:dyDescent="0.35">
      <c r="A120" s="471"/>
      <c r="B120" s="471"/>
      <c r="C120" s="37"/>
      <c r="D120" s="37" t="s">
        <v>493</v>
      </c>
      <c r="E120" s="37"/>
      <c r="F120" s="37"/>
      <c r="G120" s="37"/>
      <c r="H120" s="37"/>
      <c r="I120" s="51">
        <v>35.299999999999997</v>
      </c>
      <c r="J120" s="37" t="s">
        <v>490</v>
      </c>
      <c r="K120" s="37"/>
      <c r="L120" s="51">
        <v>1000</v>
      </c>
      <c r="M120" s="37" t="s">
        <v>494</v>
      </c>
      <c r="N120" s="471"/>
      <c r="O120" s="37">
        <v>1</v>
      </c>
      <c r="P120" s="37" t="s">
        <v>495</v>
      </c>
      <c r="Q120" s="37"/>
      <c r="R120" s="471"/>
      <c r="S120" s="471"/>
      <c r="T120" s="471"/>
      <c r="U120" s="471"/>
      <c r="V120" s="471"/>
      <c r="W120" s="471"/>
      <c r="X120" s="471"/>
      <c r="Y120" s="471"/>
    </row>
    <row r="121" spans="1:25" x14ac:dyDescent="0.35">
      <c r="A121" s="471"/>
      <c r="B121" s="45" t="s">
        <v>401</v>
      </c>
      <c r="C121" s="47">
        <f>ROUNDUP((O119^Q119)*F119*C119/I120/L120,-0.5)</f>
        <v>12</v>
      </c>
      <c r="D121" s="29" t="s">
        <v>494</v>
      </c>
      <c r="E121" s="471"/>
      <c r="F121" s="471"/>
      <c r="G121" s="471"/>
      <c r="H121" s="471"/>
      <c r="I121" s="471"/>
      <c r="J121" s="471"/>
      <c r="K121" s="471"/>
      <c r="L121" s="471"/>
      <c r="M121" s="471"/>
      <c r="N121" s="471"/>
      <c r="O121" s="471"/>
      <c r="P121" s="471"/>
      <c r="Q121" s="471"/>
      <c r="R121" s="471"/>
      <c r="S121" s="471"/>
      <c r="T121" s="471"/>
      <c r="U121" s="471"/>
      <c r="V121" s="471"/>
      <c r="W121" s="471"/>
      <c r="X121" s="471"/>
      <c r="Y121" s="471"/>
    </row>
    <row r="123" spans="1:25" ht="15.5" x14ac:dyDescent="0.35">
      <c r="A123" s="595" t="s">
        <v>518</v>
      </c>
      <c r="B123" s="595"/>
      <c r="C123" s="595"/>
      <c r="D123" s="595"/>
      <c r="E123" s="595"/>
      <c r="F123" s="595"/>
      <c r="G123" s="595"/>
      <c r="H123" s="595"/>
      <c r="I123" s="595"/>
      <c r="J123" s="595"/>
      <c r="K123" s="35"/>
      <c r="L123" s="475"/>
      <c r="M123" s="475"/>
      <c r="N123" s="35"/>
      <c r="O123" s="475"/>
      <c r="P123" s="475"/>
      <c r="Q123" s="475"/>
      <c r="R123" s="475"/>
      <c r="S123" s="475"/>
      <c r="T123" s="475"/>
      <c r="U123" s="475"/>
      <c r="V123" s="475"/>
      <c r="W123" s="475"/>
      <c r="X123" s="475"/>
      <c r="Y123" s="475"/>
    </row>
    <row r="124" spans="1:25" x14ac:dyDescent="0.35">
      <c r="A124" s="596" t="s">
        <v>519</v>
      </c>
      <c r="B124" s="596"/>
      <c r="C124" s="596"/>
      <c r="D124" s="596"/>
      <c r="E124" s="596"/>
      <c r="F124" s="596"/>
      <c r="G124" s="596"/>
      <c r="H124" s="596"/>
      <c r="I124" s="596"/>
      <c r="J124" s="596"/>
      <c r="K124" s="36"/>
      <c r="L124" s="475"/>
      <c r="M124" s="475"/>
      <c r="N124" s="36"/>
      <c r="O124" s="475"/>
      <c r="P124" s="475"/>
      <c r="Q124" s="475"/>
      <c r="R124" s="475"/>
      <c r="S124" s="475"/>
      <c r="T124" s="475"/>
      <c r="U124" s="475"/>
      <c r="V124" s="475"/>
      <c r="W124" s="475"/>
      <c r="X124" s="475"/>
      <c r="Y124" s="475"/>
    </row>
    <row r="125" spans="1:25" x14ac:dyDescent="0.35">
      <c r="A125" s="37" t="s">
        <v>475</v>
      </c>
      <c r="B125" s="38" t="s">
        <v>401</v>
      </c>
      <c r="C125" s="48">
        <f>C101</f>
        <v>1500</v>
      </c>
      <c r="D125" s="40" t="s">
        <v>278</v>
      </c>
      <c r="E125" s="37" t="s">
        <v>476</v>
      </c>
      <c r="F125" s="40">
        <v>30</v>
      </c>
      <c r="G125" s="40" t="s">
        <v>477</v>
      </c>
      <c r="H125" s="37"/>
      <c r="I125" s="37"/>
      <c r="J125" s="37"/>
      <c r="K125" s="475"/>
      <c r="L125" s="475"/>
      <c r="M125" s="475"/>
      <c r="N125" s="475"/>
      <c r="O125" s="475"/>
      <c r="P125" s="475"/>
      <c r="Q125" s="475"/>
      <c r="R125" s="475"/>
      <c r="S125" s="475"/>
      <c r="T125" s="475"/>
      <c r="U125" s="475"/>
      <c r="V125" s="475"/>
      <c r="W125" s="475"/>
      <c r="X125" s="475"/>
      <c r="Y125" s="475"/>
    </row>
    <row r="126" spans="1:25" x14ac:dyDescent="0.35">
      <c r="A126" s="37"/>
      <c r="B126" s="37"/>
      <c r="C126" s="37">
        <v>1</v>
      </c>
      <c r="D126" s="37" t="s">
        <v>477</v>
      </c>
      <c r="E126" s="37"/>
      <c r="F126" s="37"/>
      <c r="G126" s="37"/>
      <c r="H126" s="37"/>
      <c r="I126" s="37"/>
      <c r="J126" s="37"/>
      <c r="K126" s="475"/>
      <c r="L126" s="475"/>
      <c r="M126" s="475"/>
      <c r="N126" s="475"/>
      <c r="O126" s="475"/>
      <c r="P126" s="475"/>
      <c r="Q126" s="475"/>
      <c r="R126" s="475"/>
      <c r="S126" s="475"/>
      <c r="T126" s="475"/>
      <c r="U126" s="475"/>
      <c r="V126" s="475"/>
      <c r="W126" s="475"/>
      <c r="X126" s="475"/>
      <c r="Y126" s="475"/>
    </row>
    <row r="127" spans="1:25" x14ac:dyDescent="0.35">
      <c r="A127" s="42"/>
      <c r="B127" s="476" t="s">
        <v>401</v>
      </c>
      <c r="C127" s="43">
        <f>C125*F125</f>
        <v>45000</v>
      </c>
      <c r="D127" s="44" t="s">
        <v>278</v>
      </c>
      <c r="E127" s="42"/>
      <c r="F127" s="42"/>
      <c r="G127" s="42"/>
      <c r="H127" s="42"/>
      <c r="I127" s="42"/>
      <c r="J127" s="42"/>
      <c r="K127" s="475"/>
      <c r="L127" s="475"/>
      <c r="M127" s="475"/>
      <c r="N127" s="475"/>
      <c r="O127" s="475"/>
      <c r="P127" s="475"/>
      <c r="Q127" s="475"/>
      <c r="R127" s="475"/>
      <c r="S127" s="475"/>
      <c r="T127" s="475"/>
      <c r="U127" s="475"/>
      <c r="V127" s="475"/>
      <c r="W127" s="475"/>
      <c r="X127" s="475"/>
      <c r="Y127" s="475"/>
    </row>
    <row r="128" spans="1:25" x14ac:dyDescent="0.35">
      <c r="A128" s="42"/>
      <c r="B128" s="476"/>
      <c r="C128" s="43"/>
      <c r="D128" s="44"/>
      <c r="E128" s="42"/>
      <c r="F128" s="42"/>
      <c r="G128" s="42"/>
      <c r="H128" s="42"/>
      <c r="I128" s="42"/>
      <c r="J128" s="42"/>
      <c r="K128" s="475"/>
      <c r="L128" s="475"/>
      <c r="M128" s="475"/>
      <c r="N128" s="475"/>
      <c r="O128" s="475"/>
      <c r="P128" s="475"/>
      <c r="Q128" s="475"/>
      <c r="R128" s="475"/>
      <c r="S128" s="475"/>
      <c r="T128" s="475"/>
      <c r="U128" s="475"/>
      <c r="V128" s="475"/>
      <c r="W128" s="475"/>
      <c r="X128" s="475"/>
      <c r="Y128" s="475"/>
    </row>
    <row r="129" spans="1:25" x14ac:dyDescent="0.35">
      <c r="A129" s="42"/>
      <c r="B129" s="38" t="s">
        <v>401</v>
      </c>
      <c r="C129" s="39">
        <f>C127</f>
        <v>45000</v>
      </c>
      <c r="D129" s="40" t="s">
        <v>278</v>
      </c>
      <c r="E129" s="37" t="s">
        <v>476</v>
      </c>
      <c r="F129" s="40">
        <v>1.1000000000000001</v>
      </c>
      <c r="G129" s="40" t="s">
        <v>481</v>
      </c>
      <c r="H129" s="42"/>
      <c r="I129" s="42"/>
      <c r="J129" s="42"/>
      <c r="K129" s="475"/>
      <c r="L129" s="475"/>
      <c r="M129" s="475"/>
      <c r="N129" s="475"/>
      <c r="O129" s="475"/>
      <c r="P129" s="475"/>
      <c r="Q129" s="475"/>
      <c r="R129" s="475"/>
      <c r="S129" s="475"/>
      <c r="T129" s="475"/>
      <c r="U129" s="475"/>
      <c r="V129" s="475"/>
      <c r="W129" s="475"/>
      <c r="X129" s="475"/>
      <c r="Y129" s="475"/>
    </row>
    <row r="130" spans="1:25" x14ac:dyDescent="0.35">
      <c r="A130" s="42"/>
      <c r="B130" s="37"/>
      <c r="C130" s="37">
        <v>1</v>
      </c>
      <c r="D130" s="37" t="s">
        <v>477</v>
      </c>
      <c r="E130" s="37"/>
      <c r="F130" s="37"/>
      <c r="G130" s="37"/>
      <c r="H130" s="42"/>
      <c r="I130" s="42"/>
      <c r="J130" s="42"/>
      <c r="K130" s="475"/>
      <c r="L130" s="475"/>
      <c r="M130" s="475"/>
      <c r="N130" s="475"/>
      <c r="O130" s="475"/>
      <c r="P130" s="475"/>
      <c r="Q130" s="475"/>
      <c r="R130" s="475"/>
      <c r="S130" s="475"/>
      <c r="T130" s="475"/>
      <c r="U130" s="475"/>
      <c r="V130" s="475"/>
      <c r="W130" s="475"/>
      <c r="X130" s="475"/>
      <c r="Y130" s="475"/>
    </row>
    <row r="131" spans="1:25" x14ac:dyDescent="0.35">
      <c r="A131" s="42"/>
      <c r="B131" s="476" t="s">
        <v>401</v>
      </c>
      <c r="C131" s="43">
        <f>ROUNDUP(C129*F129,-3)</f>
        <v>50000</v>
      </c>
      <c r="D131" s="44" t="s">
        <v>278</v>
      </c>
      <c r="E131" s="42"/>
      <c r="F131" s="42"/>
      <c r="G131" s="42"/>
      <c r="H131" s="42"/>
      <c r="I131" s="42"/>
      <c r="J131" s="42"/>
      <c r="K131" s="475"/>
      <c r="L131" s="475"/>
      <c r="M131" s="475"/>
      <c r="N131" s="475"/>
      <c r="O131" s="475"/>
      <c r="P131" s="475"/>
      <c r="Q131" s="475"/>
      <c r="R131" s="475"/>
      <c r="S131" s="475"/>
      <c r="T131" s="475"/>
      <c r="U131" s="475"/>
      <c r="V131" s="475"/>
      <c r="W131" s="475"/>
      <c r="X131" s="475"/>
      <c r="Y131" s="475"/>
    </row>
    <row r="132" spans="1:25" x14ac:dyDescent="0.35">
      <c r="A132" s="42"/>
      <c r="B132" s="476"/>
      <c r="C132" s="43"/>
      <c r="D132" s="44"/>
      <c r="E132" s="42"/>
      <c r="F132" s="42"/>
      <c r="G132" s="42"/>
      <c r="H132" s="42"/>
      <c r="I132" s="42"/>
      <c r="J132" s="42"/>
      <c r="K132" s="475"/>
      <c r="L132" s="475"/>
      <c r="M132" s="475"/>
      <c r="N132" s="475"/>
      <c r="O132" s="475"/>
      <c r="P132" s="475"/>
      <c r="Q132" s="475"/>
      <c r="R132" s="475"/>
      <c r="S132" s="475"/>
      <c r="T132" s="475"/>
      <c r="U132" s="475"/>
      <c r="V132" s="475"/>
      <c r="W132" s="475"/>
      <c r="X132" s="475"/>
      <c r="Y132" s="475"/>
    </row>
    <row r="133" spans="1:25" ht="17" x14ac:dyDescent="0.35">
      <c r="A133" s="471"/>
      <c r="B133" s="473" t="s">
        <v>401</v>
      </c>
      <c r="C133" s="477">
        <f>C131</f>
        <v>50000</v>
      </c>
      <c r="D133" s="478" t="s">
        <v>278</v>
      </c>
      <c r="E133" s="471" t="s">
        <v>476</v>
      </c>
      <c r="F133" s="478">
        <v>1</v>
      </c>
      <c r="G133" s="478" t="s">
        <v>483</v>
      </c>
      <c r="H133" s="471"/>
      <c r="I133" s="471"/>
      <c r="J133" s="471"/>
      <c r="K133" s="471"/>
      <c r="L133" s="471"/>
      <c r="M133" s="471"/>
      <c r="N133" s="471"/>
      <c r="O133" s="471"/>
      <c r="P133" s="471"/>
      <c r="Q133" s="471"/>
      <c r="R133" s="471"/>
      <c r="S133" s="471"/>
      <c r="T133" s="471"/>
      <c r="U133" s="471"/>
      <c r="V133" s="471"/>
      <c r="W133" s="471"/>
      <c r="X133" s="471"/>
      <c r="Y133" s="471"/>
    </row>
    <row r="134" spans="1:25" x14ac:dyDescent="0.35">
      <c r="A134" s="471"/>
      <c r="B134" s="473"/>
      <c r="C134" s="28"/>
      <c r="D134" s="29"/>
      <c r="E134" s="471"/>
      <c r="F134" s="479">
        <v>7.4809999999999999</v>
      </c>
      <c r="G134" s="471" t="s">
        <v>278</v>
      </c>
      <c r="H134" s="471"/>
      <c r="I134" s="471"/>
      <c r="J134" s="471"/>
      <c r="K134" s="471"/>
      <c r="L134" s="471"/>
      <c r="M134" s="471"/>
      <c r="N134" s="471"/>
      <c r="O134" s="471"/>
      <c r="P134" s="471"/>
      <c r="Q134" s="471"/>
      <c r="R134" s="471"/>
      <c r="S134" s="471"/>
      <c r="T134" s="471"/>
      <c r="U134" s="471"/>
      <c r="V134" s="471"/>
      <c r="W134" s="471"/>
      <c r="X134" s="471"/>
      <c r="Y134" s="471"/>
    </row>
    <row r="135" spans="1:25" ht="16.5" x14ac:dyDescent="0.35">
      <c r="A135" s="471"/>
      <c r="B135" s="473" t="s">
        <v>401</v>
      </c>
      <c r="C135" s="28">
        <f>C133/F134</f>
        <v>6683.59844940516</v>
      </c>
      <c r="D135" s="29" t="s">
        <v>484</v>
      </c>
      <c r="E135" s="471"/>
      <c r="F135" s="471"/>
      <c r="G135" s="471"/>
      <c r="H135" s="471"/>
      <c r="I135" s="471"/>
      <c r="J135" s="471"/>
      <c r="K135" s="471"/>
      <c r="L135" s="471"/>
      <c r="M135" s="471"/>
      <c r="N135" s="471"/>
      <c r="O135" s="471"/>
      <c r="P135" s="471"/>
      <c r="Q135" s="471"/>
      <c r="R135" s="471"/>
      <c r="S135" s="471"/>
      <c r="T135" s="471"/>
      <c r="U135" s="471"/>
      <c r="V135" s="471"/>
      <c r="W135" s="471"/>
      <c r="X135" s="471"/>
      <c r="Y135" s="471"/>
    </row>
    <row r="136" spans="1:25" x14ac:dyDescent="0.35">
      <c r="A136" s="471"/>
      <c r="B136" s="473"/>
      <c r="C136" s="28"/>
      <c r="D136" s="29"/>
      <c r="E136" s="471"/>
      <c r="F136" s="471"/>
      <c r="G136" s="471"/>
      <c r="H136" s="471"/>
      <c r="I136" s="471"/>
      <c r="J136" s="471"/>
      <c r="K136" s="471"/>
      <c r="L136" s="471"/>
      <c r="M136" s="471"/>
      <c r="N136" s="471"/>
      <c r="O136" s="471"/>
      <c r="P136" s="471"/>
      <c r="Q136" s="471"/>
      <c r="R136" s="471"/>
      <c r="S136" s="471"/>
      <c r="T136" s="471"/>
      <c r="U136" s="471"/>
      <c r="V136" s="471"/>
      <c r="W136" s="471"/>
      <c r="X136" s="471"/>
      <c r="Y136" s="471"/>
    </row>
    <row r="137" spans="1:25" x14ac:dyDescent="0.35">
      <c r="A137" s="471" t="s">
        <v>485</v>
      </c>
      <c r="B137" s="473" t="s">
        <v>401</v>
      </c>
      <c r="C137" s="326">
        <v>20</v>
      </c>
      <c r="D137" s="327" t="s">
        <v>218</v>
      </c>
      <c r="E137" s="471"/>
      <c r="F137" s="471"/>
      <c r="G137" s="471"/>
      <c r="H137" s="471"/>
      <c r="I137" s="471"/>
      <c r="J137" s="471"/>
      <c r="K137" s="471"/>
      <c r="L137" s="471"/>
      <c r="M137" s="471"/>
      <c r="N137" s="471"/>
      <c r="O137" s="471"/>
      <c r="P137" s="471"/>
      <c r="Q137" s="471"/>
      <c r="R137" s="471"/>
      <c r="S137" s="471"/>
      <c r="T137" s="471"/>
      <c r="U137" s="471"/>
      <c r="V137" s="471"/>
      <c r="W137" s="471"/>
      <c r="X137" s="471"/>
      <c r="Y137" s="471"/>
    </row>
    <row r="138" spans="1:25" x14ac:dyDescent="0.35">
      <c r="A138" s="471"/>
      <c r="B138" s="473"/>
      <c r="C138" s="28"/>
      <c r="D138" s="29"/>
      <c r="E138" s="471"/>
      <c r="F138" s="471"/>
      <c r="G138" s="471"/>
      <c r="H138" s="471"/>
      <c r="I138" s="471"/>
      <c r="J138" s="471"/>
      <c r="K138" s="471"/>
      <c r="L138" s="471"/>
      <c r="M138" s="471"/>
      <c r="N138" s="471"/>
      <c r="O138" s="471"/>
      <c r="P138" s="471"/>
      <c r="Q138" s="471"/>
      <c r="R138" s="471"/>
      <c r="S138" s="471"/>
      <c r="T138" s="471"/>
      <c r="U138" s="471"/>
      <c r="V138" s="471"/>
      <c r="W138" s="471"/>
      <c r="X138" s="471"/>
      <c r="Y138" s="471"/>
    </row>
    <row r="139" spans="1:25" ht="17" x14ac:dyDescent="0.35">
      <c r="A139" s="471" t="s">
        <v>486</v>
      </c>
      <c r="B139" s="45" t="s">
        <v>401</v>
      </c>
      <c r="C139" s="480">
        <f>C135</f>
        <v>6683.59844940516</v>
      </c>
      <c r="D139" s="478" t="s">
        <v>483</v>
      </c>
      <c r="E139" s="471" t="s">
        <v>476</v>
      </c>
      <c r="F139" s="481">
        <v>4</v>
      </c>
      <c r="G139" s="46">
        <v>0.5</v>
      </c>
      <c r="H139" s="471"/>
      <c r="I139" s="471"/>
      <c r="J139" s="471"/>
      <c r="K139" s="471"/>
      <c r="L139" s="471"/>
      <c r="M139" s="471"/>
      <c r="N139" s="471"/>
      <c r="O139" s="471"/>
      <c r="P139" s="471"/>
      <c r="Q139" s="471"/>
      <c r="R139" s="471"/>
      <c r="S139" s="471"/>
      <c r="T139" s="471"/>
      <c r="U139" s="471"/>
      <c r="V139" s="471"/>
      <c r="W139" s="471"/>
      <c r="X139" s="471"/>
      <c r="Y139" s="471"/>
    </row>
    <row r="140" spans="1:25" x14ac:dyDescent="0.35">
      <c r="A140" s="471"/>
      <c r="B140" s="471"/>
      <c r="C140" s="482">
        <f>C137</f>
        <v>20</v>
      </c>
      <c r="D140" s="471" t="s">
        <v>218</v>
      </c>
      <c r="E140" s="471"/>
      <c r="F140" s="483" t="s">
        <v>487</v>
      </c>
      <c r="G140" s="471"/>
      <c r="H140" s="471"/>
      <c r="I140" s="471"/>
      <c r="J140" s="471"/>
      <c r="K140" s="471"/>
      <c r="L140" s="471"/>
      <c r="M140" s="471"/>
      <c r="N140" s="471"/>
      <c r="O140" s="471"/>
      <c r="P140" s="471"/>
      <c r="Q140" s="471"/>
      <c r="R140" s="471"/>
      <c r="S140" s="471"/>
      <c r="T140" s="471"/>
      <c r="U140" s="471"/>
      <c r="V140" s="471"/>
      <c r="W140" s="471"/>
      <c r="X140" s="471"/>
      <c r="Y140" s="471"/>
    </row>
    <row r="141" spans="1:25" x14ac:dyDescent="0.35">
      <c r="A141" s="471"/>
      <c r="B141" s="45" t="s">
        <v>401</v>
      </c>
      <c r="C141" s="47">
        <f>ROUNDUP(SQRT(C139/C140*F139/PI()),-0.5)</f>
        <v>21</v>
      </c>
      <c r="D141" s="29" t="s">
        <v>218</v>
      </c>
      <c r="E141" s="471"/>
      <c r="F141" s="471"/>
      <c r="G141" s="471"/>
      <c r="H141" s="471"/>
      <c r="I141" s="471"/>
      <c r="J141" s="471"/>
      <c r="K141" s="471"/>
      <c r="L141" s="471"/>
      <c r="M141" s="471"/>
      <c r="N141" s="471"/>
      <c r="O141" s="471"/>
      <c r="P141" s="471"/>
      <c r="Q141" s="471"/>
      <c r="R141" s="471"/>
      <c r="S141" s="471"/>
      <c r="T141" s="471"/>
      <c r="U141" s="471"/>
      <c r="V141" s="471"/>
      <c r="W141" s="471"/>
      <c r="X141" s="471"/>
      <c r="Y141" s="471"/>
    </row>
    <row r="142" spans="1:25" x14ac:dyDescent="0.35">
      <c r="A142" s="475"/>
      <c r="B142" s="475"/>
      <c r="C142" s="475"/>
      <c r="D142" s="475"/>
      <c r="E142" s="475"/>
      <c r="F142" s="475"/>
      <c r="G142" s="475"/>
      <c r="H142" s="475"/>
      <c r="I142" s="475"/>
      <c r="J142" s="475"/>
      <c r="K142" s="475"/>
      <c r="L142" s="475"/>
      <c r="M142" s="475"/>
      <c r="N142" s="475"/>
      <c r="O142" s="475"/>
      <c r="P142" s="475"/>
      <c r="Q142" s="475"/>
      <c r="R142" s="471"/>
      <c r="S142" s="471"/>
      <c r="T142" s="471"/>
      <c r="U142" s="471"/>
      <c r="V142" s="471"/>
      <c r="W142" s="471"/>
      <c r="X142" s="471"/>
      <c r="Y142" s="471"/>
    </row>
    <row r="143" spans="1:25" ht="15.5" x14ac:dyDescent="0.35">
      <c r="A143" s="595" t="s">
        <v>520</v>
      </c>
      <c r="B143" s="595"/>
      <c r="C143" s="595"/>
      <c r="D143" s="595"/>
      <c r="E143" s="595"/>
      <c r="F143" s="595"/>
      <c r="G143" s="595"/>
      <c r="H143" s="595"/>
      <c r="I143" s="595"/>
      <c r="J143" s="595"/>
      <c r="K143" s="35"/>
      <c r="L143" s="475"/>
      <c r="M143" s="475"/>
      <c r="N143" s="35"/>
      <c r="O143" s="475"/>
      <c r="P143" s="475"/>
      <c r="Q143" s="475"/>
      <c r="R143" s="475"/>
      <c r="S143" s="475"/>
      <c r="T143" s="475"/>
      <c r="U143" s="475"/>
      <c r="V143" s="475"/>
      <c r="W143" s="475"/>
      <c r="X143" s="475"/>
      <c r="Y143" s="475"/>
    </row>
    <row r="144" spans="1:25" x14ac:dyDescent="0.35">
      <c r="A144" s="596" t="s">
        <v>521</v>
      </c>
      <c r="B144" s="596"/>
      <c r="C144" s="596"/>
      <c r="D144" s="596"/>
      <c r="E144" s="596"/>
      <c r="F144" s="596"/>
      <c r="G144" s="596"/>
      <c r="H144" s="596"/>
      <c r="I144" s="596"/>
      <c r="J144" s="596"/>
      <c r="K144" s="36"/>
      <c r="L144" s="475"/>
      <c r="M144" s="475"/>
      <c r="N144" s="36"/>
      <c r="O144" s="475"/>
      <c r="P144" s="475"/>
      <c r="Q144" s="475"/>
      <c r="R144" s="475"/>
      <c r="S144" s="475"/>
      <c r="T144" s="475"/>
      <c r="U144" s="475"/>
      <c r="V144" s="475"/>
      <c r="W144" s="475"/>
      <c r="X144" s="475"/>
      <c r="Y144" s="475"/>
    </row>
    <row r="145" spans="1:25" x14ac:dyDescent="0.35">
      <c r="A145" s="475" t="s">
        <v>522</v>
      </c>
      <c r="B145" s="38" t="s">
        <v>401</v>
      </c>
      <c r="C145" s="489">
        <v>21000</v>
      </c>
      <c r="D145" s="490" t="s">
        <v>523</v>
      </c>
      <c r="E145" s="475" t="s">
        <v>476</v>
      </c>
      <c r="F145" s="489">
        <v>1</v>
      </c>
      <c r="G145" s="490" t="s">
        <v>524</v>
      </c>
      <c r="H145" s="475"/>
      <c r="I145" s="475"/>
      <c r="J145" s="475"/>
      <c r="K145" s="475"/>
      <c r="L145" s="475"/>
      <c r="M145" s="475"/>
      <c r="N145" s="475"/>
      <c r="O145" s="475"/>
      <c r="P145" s="475"/>
      <c r="Q145" s="475"/>
      <c r="R145" s="475"/>
      <c r="S145" s="475"/>
      <c r="T145" s="475"/>
      <c r="U145" s="475"/>
      <c r="V145" s="475"/>
      <c r="W145" s="475"/>
      <c r="X145" s="475"/>
      <c r="Y145" s="475"/>
    </row>
    <row r="146" spans="1:25" ht="16" x14ac:dyDescent="0.4">
      <c r="A146" s="55" t="s">
        <v>525</v>
      </c>
      <c r="B146" s="37"/>
      <c r="C146" s="491">
        <v>1</v>
      </c>
      <c r="D146" s="475" t="s">
        <v>524</v>
      </c>
      <c r="E146" s="42"/>
      <c r="F146" s="484">
        <v>10040</v>
      </c>
      <c r="G146" s="475" t="s">
        <v>526</v>
      </c>
      <c r="H146" s="475"/>
      <c r="I146" s="475"/>
      <c r="J146" s="475"/>
      <c r="K146" s="475"/>
      <c r="L146" s="475"/>
      <c r="M146" s="475"/>
      <c r="N146" s="475"/>
      <c r="O146" s="475"/>
      <c r="P146" s="475"/>
      <c r="Q146" s="475"/>
      <c r="R146" s="475"/>
      <c r="S146" s="475"/>
      <c r="T146" s="475"/>
      <c r="U146" s="475"/>
      <c r="V146" s="475"/>
      <c r="W146" s="475"/>
      <c r="X146" s="475"/>
      <c r="Y146" s="475"/>
    </row>
    <row r="147" spans="1:25" x14ac:dyDescent="0.35">
      <c r="A147" s="56" t="s">
        <v>527</v>
      </c>
      <c r="B147" s="38" t="s">
        <v>401</v>
      </c>
      <c r="C147" s="57">
        <f>C145/F146</f>
        <v>2.0916334661354581</v>
      </c>
      <c r="D147" s="44" t="s">
        <v>453</v>
      </c>
      <c r="E147" s="42"/>
      <c r="F147" s="42"/>
      <c r="G147" s="42"/>
      <c r="H147" s="475"/>
      <c r="I147" s="475"/>
      <c r="J147" s="475"/>
      <c r="K147" s="475"/>
      <c r="L147" s="475"/>
      <c r="M147" s="475"/>
      <c r="N147" s="475"/>
      <c r="O147" s="475"/>
      <c r="P147" s="475"/>
      <c r="Q147" s="475"/>
      <c r="R147" s="475"/>
      <c r="S147" s="475"/>
      <c r="T147" s="475"/>
      <c r="U147" s="475"/>
      <c r="V147" s="475"/>
      <c r="W147" s="475"/>
      <c r="X147" s="475"/>
      <c r="Y147" s="475"/>
    </row>
    <row r="148" spans="1:25" x14ac:dyDescent="0.35">
      <c r="A148" s="42"/>
      <c r="B148" s="475"/>
      <c r="C148" s="475"/>
      <c r="D148" s="475"/>
      <c r="E148" s="475"/>
      <c r="F148" s="475"/>
      <c r="G148" s="475"/>
      <c r="H148" s="42"/>
      <c r="I148" s="42"/>
      <c r="J148" s="42"/>
      <c r="K148" s="42"/>
      <c r="L148" s="42"/>
      <c r="M148" s="42"/>
      <c r="N148" s="42"/>
      <c r="O148" s="42"/>
      <c r="P148" s="42"/>
      <c r="Q148" s="475"/>
      <c r="R148" s="475"/>
      <c r="S148" s="475"/>
      <c r="T148" s="475"/>
      <c r="U148" s="475"/>
      <c r="V148" s="475"/>
      <c r="W148" s="475"/>
      <c r="X148" s="475"/>
      <c r="Y148" s="475"/>
    </row>
    <row r="149" spans="1:25" ht="16" x14ac:dyDescent="0.4">
      <c r="A149" s="475" t="s">
        <v>528</v>
      </c>
      <c r="B149" s="38" t="s">
        <v>401</v>
      </c>
      <c r="C149" s="489">
        <f>C15</f>
        <v>6858.393508587802</v>
      </c>
      <c r="D149" s="490" t="s">
        <v>526</v>
      </c>
      <c r="E149" s="475" t="s">
        <v>476</v>
      </c>
      <c r="F149" s="492">
        <v>2.0916334661354581</v>
      </c>
      <c r="G149" s="490" t="s">
        <v>529</v>
      </c>
      <c r="H149" s="42"/>
      <c r="I149" s="42"/>
      <c r="J149" s="42"/>
      <c r="K149" s="42"/>
      <c r="L149" s="42"/>
      <c r="M149" s="42"/>
      <c r="N149" s="42"/>
      <c r="O149" s="42"/>
      <c r="P149" s="42"/>
      <c r="Q149" s="475"/>
      <c r="R149" s="475"/>
      <c r="S149" s="475"/>
      <c r="T149" s="475"/>
      <c r="U149" s="475"/>
      <c r="V149" s="475"/>
      <c r="W149" s="475"/>
      <c r="X149" s="475"/>
      <c r="Y149" s="475"/>
    </row>
    <row r="150" spans="1:25" ht="16" x14ac:dyDescent="0.4">
      <c r="A150" s="42"/>
      <c r="B150" s="37"/>
      <c r="C150" s="491">
        <v>1</v>
      </c>
      <c r="D150" s="475" t="s">
        <v>524</v>
      </c>
      <c r="E150" s="42"/>
      <c r="F150" s="475">
        <v>1</v>
      </c>
      <c r="G150" s="475" t="s">
        <v>530</v>
      </c>
      <c r="H150" s="42"/>
      <c r="I150" s="42"/>
      <c r="J150" s="42"/>
      <c r="K150" s="42"/>
      <c r="L150" s="42"/>
      <c r="M150" s="42"/>
      <c r="N150" s="42"/>
      <c r="O150" s="42"/>
      <c r="P150" s="42"/>
      <c r="Q150" s="475"/>
      <c r="R150" s="475"/>
      <c r="S150" s="475"/>
      <c r="T150" s="475"/>
      <c r="U150" s="475"/>
      <c r="V150" s="475"/>
      <c r="W150" s="475"/>
      <c r="X150" s="475"/>
      <c r="Y150" s="475"/>
    </row>
    <row r="151" spans="1:25" x14ac:dyDescent="0.35">
      <c r="A151" s="42"/>
      <c r="B151" s="38" t="s">
        <v>401</v>
      </c>
      <c r="C151" s="43">
        <f>C149*F149</f>
        <v>14345.24538648843</v>
      </c>
      <c r="D151" s="44" t="s">
        <v>453</v>
      </c>
      <c r="E151" s="42"/>
      <c r="F151" s="42"/>
      <c r="G151" s="42"/>
      <c r="H151" s="42"/>
      <c r="I151" s="42"/>
      <c r="J151" s="42"/>
      <c r="K151" s="42"/>
      <c r="L151" s="42"/>
      <c r="M151" s="42"/>
      <c r="N151" s="42"/>
      <c r="O151" s="42"/>
      <c r="P151" s="42"/>
      <c r="Q151" s="475"/>
      <c r="R151" s="475"/>
      <c r="S151" s="475"/>
      <c r="T151" s="475"/>
      <c r="U151" s="475"/>
      <c r="V151" s="475"/>
      <c r="W151" s="475"/>
      <c r="X151" s="475"/>
      <c r="Y151" s="475"/>
    </row>
    <row r="152" spans="1:25" x14ac:dyDescent="0.35">
      <c r="A152" s="42"/>
      <c r="B152" s="38"/>
      <c r="C152" s="43"/>
      <c r="D152" s="44"/>
      <c r="E152" s="42"/>
      <c r="F152" s="42"/>
      <c r="G152" s="42"/>
      <c r="H152" s="42"/>
      <c r="I152" s="42"/>
      <c r="J152" s="42"/>
      <c r="K152" s="42"/>
      <c r="L152" s="42"/>
      <c r="M152" s="42"/>
      <c r="N152" s="42"/>
      <c r="O152" s="42"/>
      <c r="P152" s="42"/>
      <c r="Q152" s="475"/>
      <c r="R152" s="475"/>
      <c r="S152" s="475"/>
      <c r="T152" s="475"/>
      <c r="U152" s="475"/>
      <c r="V152" s="475"/>
      <c r="W152" s="475"/>
      <c r="X152" s="475"/>
      <c r="Y152" s="475"/>
    </row>
    <row r="153" spans="1:25" x14ac:dyDescent="0.35">
      <c r="A153" s="37" t="s">
        <v>531</v>
      </c>
      <c r="B153" s="38" t="s">
        <v>401</v>
      </c>
      <c r="C153" s="48">
        <f>C151</f>
        <v>14345.24538648843</v>
      </c>
      <c r="D153" s="40" t="s">
        <v>532</v>
      </c>
      <c r="E153" s="37" t="s">
        <v>476</v>
      </c>
      <c r="F153" s="58">
        <f>C13-C98</f>
        <v>851</v>
      </c>
      <c r="G153" s="40" t="s">
        <v>278</v>
      </c>
      <c r="H153" s="37" t="s">
        <v>476</v>
      </c>
      <c r="I153" s="59">
        <v>3.7850000000000001</v>
      </c>
      <c r="J153" s="40" t="s">
        <v>524</v>
      </c>
      <c r="K153" s="37" t="s">
        <v>476</v>
      </c>
      <c r="L153" s="58">
        <v>1440</v>
      </c>
      <c r="M153" s="40" t="s">
        <v>477</v>
      </c>
      <c r="N153" s="37" t="s">
        <v>476</v>
      </c>
      <c r="O153" s="58">
        <v>1</v>
      </c>
      <c r="P153" s="40" t="s">
        <v>508</v>
      </c>
      <c r="Q153" s="475"/>
      <c r="R153" s="475"/>
      <c r="S153" s="475"/>
      <c r="T153" s="475"/>
      <c r="U153" s="475"/>
      <c r="V153" s="475"/>
      <c r="W153" s="475"/>
      <c r="X153" s="475"/>
      <c r="Y153" s="475"/>
    </row>
    <row r="154" spans="1:25" x14ac:dyDescent="0.35">
      <c r="A154" s="37"/>
      <c r="B154" s="37"/>
      <c r="C154" s="60">
        <v>1</v>
      </c>
      <c r="D154" s="37" t="s">
        <v>524</v>
      </c>
      <c r="E154" s="37"/>
      <c r="F154" s="37">
        <v>1</v>
      </c>
      <c r="G154" s="37" t="s">
        <v>477</v>
      </c>
      <c r="H154" s="37"/>
      <c r="I154" s="37">
        <v>1</v>
      </c>
      <c r="J154" s="37" t="s">
        <v>278</v>
      </c>
      <c r="K154" s="37"/>
      <c r="L154" s="37">
        <v>1</v>
      </c>
      <c r="M154" s="37" t="s">
        <v>235</v>
      </c>
      <c r="N154" s="37"/>
      <c r="O154" s="51">
        <v>454000</v>
      </c>
      <c r="P154" s="37" t="s">
        <v>532</v>
      </c>
      <c r="Q154" s="475"/>
      <c r="R154" s="475"/>
      <c r="S154" s="475"/>
      <c r="T154" s="475"/>
      <c r="U154" s="475"/>
      <c r="V154" s="475"/>
      <c r="W154" s="475"/>
      <c r="X154" s="475"/>
      <c r="Y154" s="475"/>
    </row>
    <row r="155" spans="1:25" x14ac:dyDescent="0.35">
      <c r="A155" s="42"/>
      <c r="B155" s="476" t="s">
        <v>401</v>
      </c>
      <c r="C155" s="43">
        <f>C153*F153*I153*L153/O154</f>
        <v>146558.18053258496</v>
      </c>
      <c r="D155" s="44" t="s">
        <v>457</v>
      </c>
      <c r="E155" s="42"/>
      <c r="F155" s="42"/>
      <c r="G155" s="42"/>
      <c r="H155" s="42"/>
      <c r="I155" s="42"/>
      <c r="J155" s="42"/>
      <c r="K155" s="475"/>
      <c r="L155" s="475"/>
      <c r="M155" s="475"/>
      <c r="N155" s="475"/>
      <c r="O155" s="475"/>
      <c r="P155" s="475"/>
      <c r="Q155" s="475"/>
      <c r="R155" s="475"/>
      <c r="S155" s="475"/>
      <c r="T155" s="475"/>
      <c r="U155" s="475"/>
      <c r="V155" s="475"/>
      <c r="W155" s="475"/>
      <c r="X155" s="475"/>
      <c r="Y155" s="475"/>
    </row>
    <row r="156" spans="1:25" x14ac:dyDescent="0.35">
      <c r="A156"/>
      <c r="B156" s="45"/>
      <c r="C156" s="47"/>
      <c r="D156" s="29"/>
      <c r="E156"/>
      <c r="F156"/>
      <c r="G156"/>
      <c r="H156"/>
      <c r="I156"/>
      <c r="J156"/>
      <c r="K156"/>
      <c r="L156"/>
      <c r="M156"/>
      <c r="N156"/>
      <c r="O156"/>
      <c r="P156"/>
      <c r="Q156" s="475"/>
      <c r="R156" s="475"/>
      <c r="S156" s="475"/>
      <c r="T156" s="475"/>
      <c r="U156" s="475"/>
      <c r="V156" s="475"/>
      <c r="W156" s="475"/>
      <c r="X156" s="475"/>
      <c r="Y156" s="475"/>
    </row>
    <row r="157" spans="1:25" x14ac:dyDescent="0.35">
      <c r="A157" s="475" t="s">
        <v>533</v>
      </c>
      <c r="B157" s="38" t="s">
        <v>401</v>
      </c>
      <c r="C157" s="48">
        <f>C155</f>
        <v>146558.18053258496</v>
      </c>
      <c r="D157" s="40" t="s">
        <v>508</v>
      </c>
      <c r="E157" s="37" t="s">
        <v>476</v>
      </c>
      <c r="F157" s="58">
        <v>1</v>
      </c>
      <c r="G157" s="40" t="s">
        <v>534</v>
      </c>
      <c r="H157" s="37"/>
      <c r="I157" s="475"/>
      <c r="J157" s="475"/>
      <c r="K157" s="475"/>
      <c r="L157" s="475"/>
      <c r="M157" s="475"/>
      <c r="N157" s="475"/>
      <c r="O157" s="475"/>
      <c r="P157" s="475"/>
      <c r="Q157" s="475"/>
      <c r="R157" s="475"/>
      <c r="S157" s="475"/>
      <c r="T157" s="475"/>
      <c r="U157" s="475"/>
      <c r="V157" s="475"/>
      <c r="W157" s="475"/>
      <c r="X157" s="475"/>
      <c r="Y157" s="475"/>
    </row>
    <row r="158" spans="1:25" x14ac:dyDescent="0.35">
      <c r="A158" s="55"/>
      <c r="B158" s="38"/>
      <c r="C158" s="60">
        <v>1</v>
      </c>
      <c r="D158" s="37" t="s">
        <v>510</v>
      </c>
      <c r="E158" s="37"/>
      <c r="F158" s="61">
        <v>0.5</v>
      </c>
      <c r="G158" s="37" t="s">
        <v>535</v>
      </c>
      <c r="H158" s="37"/>
      <c r="I158" s="475"/>
      <c r="J158" s="475"/>
      <c r="K158" s="475"/>
      <c r="L158" s="475"/>
      <c r="M158" s="475"/>
      <c r="N158" s="475"/>
      <c r="O158" s="475"/>
      <c r="P158" s="475"/>
      <c r="Q158" s="475"/>
      <c r="R158" s="475"/>
      <c r="S158" s="475"/>
      <c r="T158" s="475"/>
      <c r="U158" s="475"/>
      <c r="V158" s="475"/>
      <c r="W158" s="475"/>
      <c r="X158" s="475"/>
      <c r="Y158" s="475"/>
    </row>
    <row r="159" spans="1:25" x14ac:dyDescent="0.35">
      <c r="A159" s="475"/>
      <c r="B159" s="38"/>
      <c r="C159" s="43">
        <f>C157/F158</f>
        <v>293116.36106516991</v>
      </c>
      <c r="D159" s="44" t="s">
        <v>457</v>
      </c>
      <c r="E159" s="42"/>
      <c r="F159" s="42"/>
      <c r="G159" s="42"/>
      <c r="H159" s="42"/>
      <c r="I159" s="475"/>
      <c r="J159" s="475"/>
      <c r="K159" s="475"/>
      <c r="L159" s="475"/>
      <c r="M159" s="475"/>
      <c r="N159" s="475"/>
      <c r="O159" s="475"/>
      <c r="P159" s="475"/>
      <c r="Q159" s="475"/>
      <c r="R159" s="475"/>
      <c r="S159" s="475"/>
      <c r="T159" s="475"/>
      <c r="U159" s="475"/>
      <c r="V159" s="475"/>
      <c r="W159" s="475"/>
      <c r="X159" s="475"/>
      <c r="Y159" s="475"/>
    </row>
    <row r="160" spans="1:25" x14ac:dyDescent="0.35">
      <c r="A160" s="475"/>
      <c r="B160" s="38"/>
      <c r="C160" s="53"/>
      <c r="D160" s="44"/>
      <c r="E160" s="475"/>
      <c r="F160" s="475"/>
      <c r="G160" s="475"/>
      <c r="H160" s="475"/>
      <c r="I160" s="475"/>
      <c r="J160" s="475"/>
      <c r="K160" s="475"/>
      <c r="L160" s="475"/>
      <c r="M160" s="475"/>
      <c r="N160" s="475"/>
      <c r="O160" s="475"/>
      <c r="P160" s="475"/>
      <c r="Q160" s="475"/>
      <c r="R160" s="475"/>
      <c r="S160" s="475"/>
      <c r="T160" s="475"/>
      <c r="U160" s="475"/>
      <c r="V160" s="475"/>
      <c r="W160" s="475"/>
      <c r="X160" s="475"/>
      <c r="Y160" s="475"/>
    </row>
    <row r="161" spans="1:25" x14ac:dyDescent="0.35">
      <c r="A161" s="475" t="s">
        <v>536</v>
      </c>
      <c r="B161" s="38" t="s">
        <v>401</v>
      </c>
      <c r="C161" s="58">
        <f>C155</f>
        <v>146558.18053258496</v>
      </c>
      <c r="D161" s="40" t="s">
        <v>457</v>
      </c>
      <c r="E161" s="37" t="s">
        <v>476</v>
      </c>
      <c r="F161" s="58">
        <v>1</v>
      </c>
      <c r="G161" s="40" t="s">
        <v>537</v>
      </c>
      <c r="H161" s="475"/>
      <c r="I161" s="475"/>
      <c r="J161" s="475"/>
      <c r="K161" s="475"/>
      <c r="L161" s="475"/>
      <c r="M161" s="475"/>
      <c r="N161" s="475"/>
      <c r="O161" s="475"/>
      <c r="P161" s="475"/>
      <c r="Q161" s="475"/>
      <c r="R161" s="475"/>
      <c r="S161" s="475"/>
      <c r="T161" s="475"/>
      <c r="U161" s="475"/>
      <c r="V161" s="475"/>
      <c r="W161" s="475"/>
      <c r="X161" s="475"/>
      <c r="Y161" s="475"/>
    </row>
    <row r="162" spans="1:25" x14ac:dyDescent="0.35">
      <c r="A162" s="55" t="s">
        <v>538</v>
      </c>
      <c r="B162" s="38"/>
      <c r="C162" s="60">
        <v>1</v>
      </c>
      <c r="D162" s="37" t="s">
        <v>510</v>
      </c>
      <c r="E162" s="37"/>
      <c r="F162" s="61">
        <v>0.25</v>
      </c>
      <c r="G162" s="37" t="s">
        <v>534</v>
      </c>
      <c r="H162" s="475"/>
      <c r="I162" s="475"/>
      <c r="J162" s="475"/>
      <c r="K162" s="475"/>
      <c r="L162" s="475"/>
      <c r="M162" s="475"/>
      <c r="N162" s="475"/>
      <c r="O162" s="475"/>
      <c r="P162" s="475"/>
      <c r="Q162" s="475"/>
      <c r="R162" s="475"/>
      <c r="S162" s="475"/>
      <c r="T162" s="475"/>
      <c r="U162" s="475"/>
      <c r="V162" s="475"/>
      <c r="W162" s="475"/>
      <c r="X162" s="475"/>
      <c r="Y162" s="475"/>
    </row>
    <row r="163" spans="1:25" x14ac:dyDescent="0.35">
      <c r="A163" s="475"/>
      <c r="B163" s="38"/>
      <c r="C163" s="43">
        <f>C161/F162</f>
        <v>586232.72213033983</v>
      </c>
      <c r="D163" s="44" t="s">
        <v>457</v>
      </c>
      <c r="E163" s="42"/>
      <c r="F163" s="42"/>
      <c r="G163" s="42"/>
      <c r="H163" s="475"/>
      <c r="I163" s="475"/>
      <c r="J163" s="475"/>
      <c r="K163" s="475"/>
      <c r="L163" s="475"/>
      <c r="M163" s="475"/>
      <c r="N163" s="475"/>
      <c r="O163" s="475"/>
      <c r="P163" s="475"/>
      <c r="Q163" s="475"/>
      <c r="R163" s="475"/>
      <c r="S163" s="475"/>
      <c r="T163" s="475"/>
      <c r="U163" s="475"/>
      <c r="V163" s="475"/>
      <c r="W163" s="475"/>
      <c r="X163" s="475"/>
      <c r="Y163" s="475"/>
    </row>
    <row r="164" spans="1:25" x14ac:dyDescent="0.35">
      <c r="A164" s="475"/>
      <c r="B164" s="38"/>
      <c r="C164" s="53"/>
      <c r="D164" s="44"/>
      <c r="E164" s="475"/>
      <c r="F164" s="475"/>
      <c r="G164" s="475"/>
      <c r="H164" s="475"/>
      <c r="I164" s="475"/>
      <c r="J164" s="475"/>
      <c r="K164" s="475"/>
      <c r="L164" s="475"/>
      <c r="M164" s="475"/>
      <c r="N164" s="475"/>
      <c r="O164" s="475"/>
      <c r="P164" s="475"/>
      <c r="Q164" s="475"/>
      <c r="R164" s="475"/>
      <c r="S164" s="475"/>
      <c r="T164" s="475"/>
      <c r="U164" s="475"/>
      <c r="V164" s="475"/>
      <c r="W164" s="475"/>
      <c r="X164" s="475"/>
      <c r="Y164" s="475"/>
    </row>
    <row r="165" spans="1:25" x14ac:dyDescent="0.35">
      <c r="A165" s="475" t="s">
        <v>539</v>
      </c>
      <c r="B165" s="38" t="s">
        <v>401</v>
      </c>
      <c r="C165" s="48">
        <f>C163</f>
        <v>586232.72213033983</v>
      </c>
      <c r="D165" s="40" t="s">
        <v>508</v>
      </c>
      <c r="E165" s="37" t="s">
        <v>540</v>
      </c>
      <c r="F165" s="58">
        <f>C159</f>
        <v>293116.36106516991</v>
      </c>
      <c r="G165" s="40" t="s">
        <v>508</v>
      </c>
      <c r="H165" s="475"/>
      <c r="I165" s="475"/>
      <c r="J165" s="475"/>
      <c r="K165" s="475"/>
      <c r="L165" s="475"/>
      <c r="M165" s="475"/>
      <c r="N165" s="475"/>
      <c r="O165" s="475"/>
      <c r="P165" s="475"/>
      <c r="Q165" s="475"/>
      <c r="R165" s="475"/>
      <c r="S165" s="475"/>
      <c r="T165" s="475"/>
      <c r="U165" s="475"/>
      <c r="V165" s="475"/>
      <c r="W165" s="475"/>
      <c r="X165" s="475"/>
      <c r="Y165" s="475"/>
    </row>
    <row r="166" spans="1:25" x14ac:dyDescent="0.35">
      <c r="A166" s="55" t="s">
        <v>541</v>
      </c>
      <c r="B166" s="38"/>
      <c r="C166" s="60">
        <v>1</v>
      </c>
      <c r="D166" s="37" t="s">
        <v>510</v>
      </c>
      <c r="E166" s="37"/>
      <c r="F166" s="60">
        <v>1</v>
      </c>
      <c r="G166" s="37" t="s">
        <v>510</v>
      </c>
      <c r="H166" s="475"/>
      <c r="I166" s="475"/>
      <c r="J166" s="475"/>
      <c r="K166" s="475"/>
      <c r="L166" s="475"/>
      <c r="M166" s="475"/>
      <c r="N166" s="475"/>
      <c r="O166" s="475"/>
      <c r="P166" s="475"/>
      <c r="Q166" s="475"/>
      <c r="R166" s="475"/>
      <c r="S166" s="475"/>
      <c r="T166" s="475"/>
      <c r="U166" s="475"/>
      <c r="V166" s="475"/>
      <c r="W166" s="475"/>
      <c r="X166" s="475"/>
      <c r="Y166" s="475"/>
    </row>
    <row r="167" spans="1:25" x14ac:dyDescent="0.35">
      <c r="A167" s="475"/>
      <c r="B167" s="38"/>
      <c r="C167" s="43">
        <f>C165-F165</f>
        <v>293116.36106516991</v>
      </c>
      <c r="D167" s="44" t="s">
        <v>457</v>
      </c>
      <c r="E167" s="42"/>
      <c r="F167" s="42"/>
      <c r="G167" s="42"/>
      <c r="H167" s="475"/>
      <c r="I167" s="475"/>
      <c r="J167" s="475"/>
      <c r="K167" s="475"/>
      <c r="L167" s="475"/>
      <c r="M167" s="475"/>
      <c r="N167" s="475"/>
      <c r="O167" s="475"/>
      <c r="P167" s="475"/>
      <c r="Q167" s="475"/>
      <c r="R167" s="475"/>
      <c r="S167" s="475"/>
      <c r="T167" s="475"/>
      <c r="U167" s="475"/>
      <c r="V167" s="475"/>
      <c r="W167" s="475"/>
      <c r="X167" s="475"/>
      <c r="Y167" s="475"/>
    </row>
    <row r="168" spans="1:25" x14ac:dyDescent="0.35">
      <c r="A168" s="475"/>
      <c r="B168" s="38"/>
      <c r="C168" s="43"/>
      <c r="D168" s="44"/>
      <c r="E168" s="42"/>
      <c r="F168" s="42"/>
      <c r="G168" s="42"/>
      <c r="H168" s="475"/>
      <c r="I168" s="475"/>
      <c r="J168" s="475"/>
      <c r="K168" s="475"/>
      <c r="L168" s="475"/>
      <c r="M168" s="475"/>
      <c r="N168" s="475"/>
      <c r="O168" s="475"/>
      <c r="P168" s="475"/>
      <c r="Q168" s="475"/>
      <c r="R168" s="475"/>
      <c r="S168" s="475"/>
      <c r="T168" s="475"/>
      <c r="U168" s="475"/>
      <c r="V168" s="475"/>
      <c r="W168" s="475"/>
      <c r="X168" s="475"/>
      <c r="Y168" s="475"/>
    </row>
    <row r="169" spans="1:25" ht="17" x14ac:dyDescent="0.35">
      <c r="A169" s="475"/>
      <c r="B169" s="38" t="s">
        <v>401</v>
      </c>
      <c r="C169" s="48">
        <f>C167</f>
        <v>293116.36106516991</v>
      </c>
      <c r="D169" s="40" t="s">
        <v>508</v>
      </c>
      <c r="E169" s="37" t="s">
        <v>476</v>
      </c>
      <c r="F169" s="58">
        <v>1</v>
      </c>
      <c r="G169" s="40" t="s">
        <v>509</v>
      </c>
      <c r="H169" s="37" t="s">
        <v>476</v>
      </c>
      <c r="I169" s="58">
        <f>C162</f>
        <v>1</v>
      </c>
      <c r="J169" s="40" t="s">
        <v>491</v>
      </c>
      <c r="K169" s="37" t="s">
        <v>476</v>
      </c>
      <c r="L169" s="58">
        <v>1</v>
      </c>
      <c r="M169" s="40" t="s">
        <v>510</v>
      </c>
      <c r="N169" s="37" t="s">
        <v>476</v>
      </c>
      <c r="O169" s="58">
        <v>264.2</v>
      </c>
      <c r="P169" s="40" t="s">
        <v>278</v>
      </c>
      <c r="Q169" s="475"/>
      <c r="R169" s="475"/>
      <c r="S169" s="475"/>
      <c r="T169" s="475"/>
      <c r="U169" s="475"/>
      <c r="V169" s="475"/>
      <c r="W169" s="475"/>
      <c r="X169" s="475"/>
      <c r="Y169" s="475"/>
    </row>
    <row r="170" spans="1:25" ht="17" x14ac:dyDescent="0.35">
      <c r="A170" s="475"/>
      <c r="B170" s="38"/>
      <c r="C170" s="60">
        <v>1</v>
      </c>
      <c r="D170" s="37" t="s">
        <v>510</v>
      </c>
      <c r="E170" s="37"/>
      <c r="F170" s="62">
        <v>2.2000000000000002</v>
      </c>
      <c r="G170" s="37" t="s">
        <v>508</v>
      </c>
      <c r="H170" s="37"/>
      <c r="I170" s="51">
        <v>1000</v>
      </c>
      <c r="J170" s="51" t="s">
        <v>509</v>
      </c>
      <c r="K170" s="51"/>
      <c r="L170" s="51">
        <v>1440</v>
      </c>
      <c r="M170" s="51" t="s">
        <v>477</v>
      </c>
      <c r="N170" s="37"/>
      <c r="O170" s="60">
        <v>1</v>
      </c>
      <c r="P170" s="37" t="s">
        <v>491</v>
      </c>
      <c r="Q170" s="475"/>
      <c r="R170" s="475"/>
      <c r="S170" s="475"/>
      <c r="T170" s="475"/>
      <c r="U170" s="475"/>
      <c r="V170" s="475"/>
      <c r="W170" s="475"/>
      <c r="X170" s="475"/>
      <c r="Y170" s="475"/>
    </row>
    <row r="171" spans="1:25" x14ac:dyDescent="0.35">
      <c r="A171" s="475"/>
      <c r="B171" s="38"/>
      <c r="C171" s="43">
        <f>C169*O169/F170/I170/L170</f>
        <v>24.444868242871799</v>
      </c>
      <c r="D171" s="44" t="s">
        <v>264</v>
      </c>
      <c r="E171" s="42"/>
      <c r="F171" s="42"/>
      <c r="G171" s="42"/>
      <c r="H171" s="475"/>
      <c r="I171" s="475"/>
      <c r="J171" s="475"/>
      <c r="K171" s="475"/>
      <c r="L171" s="475"/>
      <c r="M171" s="475"/>
      <c r="N171" s="475"/>
      <c r="O171" s="475"/>
      <c r="P171" s="475"/>
      <c r="Q171" s="475"/>
      <c r="R171" s="475"/>
      <c r="S171" s="475"/>
      <c r="T171" s="475"/>
      <c r="U171" s="475"/>
      <c r="V171" s="475"/>
      <c r="W171" s="475"/>
      <c r="X171" s="475"/>
      <c r="Y171" s="475"/>
    </row>
    <row r="172" spans="1:25" x14ac:dyDescent="0.35">
      <c r="A172" s="475"/>
      <c r="B172" s="38"/>
      <c r="C172" s="53"/>
      <c r="D172" s="44"/>
      <c r="E172" s="475"/>
      <c r="F172" s="475"/>
      <c r="G172" s="475"/>
      <c r="H172" s="475"/>
      <c r="I172" s="475"/>
      <c r="J172" s="475"/>
      <c r="K172" s="475"/>
      <c r="L172" s="475"/>
      <c r="M172" s="475"/>
      <c r="N172" s="475"/>
      <c r="O172" s="475"/>
      <c r="P172" s="475"/>
      <c r="Q172" s="475"/>
      <c r="R172" s="475"/>
      <c r="S172" s="475"/>
      <c r="T172" s="475"/>
      <c r="U172" s="475"/>
      <c r="V172" s="475"/>
      <c r="W172" s="475"/>
      <c r="X172" s="475"/>
      <c r="Y172" s="475"/>
    </row>
    <row r="173" spans="1:25" ht="17" x14ac:dyDescent="0.35">
      <c r="A173" s="475" t="s">
        <v>542</v>
      </c>
      <c r="B173" s="38" t="s">
        <v>401</v>
      </c>
      <c r="C173" s="48">
        <f>C159</f>
        <v>293116.36106516991</v>
      </c>
      <c r="D173" s="40" t="s">
        <v>508</v>
      </c>
      <c r="E173" s="37" t="s">
        <v>476</v>
      </c>
      <c r="F173" s="58">
        <v>1</v>
      </c>
      <c r="G173" s="40" t="s">
        <v>490</v>
      </c>
      <c r="H173" s="37" t="s">
        <v>476</v>
      </c>
      <c r="I173" s="58">
        <v>365</v>
      </c>
      <c r="J173" s="40" t="s">
        <v>196</v>
      </c>
      <c r="K173" s="475"/>
      <c r="L173" s="475"/>
      <c r="M173" s="475"/>
      <c r="N173" s="475"/>
      <c r="O173" s="475"/>
      <c r="P173" s="475"/>
      <c r="Q173" s="475"/>
      <c r="R173" s="475"/>
      <c r="S173" s="475"/>
      <c r="T173" s="475"/>
      <c r="U173" s="475"/>
      <c r="V173" s="475"/>
      <c r="W173" s="475"/>
      <c r="X173" s="475"/>
      <c r="Y173" s="475"/>
    </row>
    <row r="174" spans="1:25" x14ac:dyDescent="0.35">
      <c r="A174" s="63"/>
      <c r="B174" s="38"/>
      <c r="C174" s="60">
        <v>1</v>
      </c>
      <c r="D174" s="37" t="s">
        <v>510</v>
      </c>
      <c r="E174" s="37"/>
      <c r="F174" s="60">
        <v>100</v>
      </c>
      <c r="G174" s="37" t="s">
        <v>508</v>
      </c>
      <c r="H174" s="37"/>
      <c r="I174" s="60">
        <v>1</v>
      </c>
      <c r="J174" s="37" t="s">
        <v>543</v>
      </c>
      <c r="K174" s="475"/>
      <c r="L174" s="475"/>
      <c r="M174" s="475"/>
      <c r="N174" s="475"/>
      <c r="O174" s="475"/>
      <c r="P174" s="475"/>
      <c r="Q174" s="475"/>
      <c r="R174" s="475"/>
      <c r="S174" s="475"/>
      <c r="T174" s="475"/>
      <c r="U174" s="475"/>
      <c r="V174" s="475"/>
      <c r="W174" s="475"/>
      <c r="X174" s="475"/>
      <c r="Y174" s="475"/>
    </row>
    <row r="175" spans="1:25" ht="16.5" x14ac:dyDescent="0.35">
      <c r="A175" s="475"/>
      <c r="B175" s="38"/>
      <c r="C175" s="43">
        <f>C173*I173/F174</f>
        <v>1069874.7178878703</v>
      </c>
      <c r="D175" s="44" t="s">
        <v>544</v>
      </c>
      <c r="E175" s="42"/>
      <c r="F175" s="42" t="s">
        <v>0</v>
      </c>
      <c r="G175" s="42"/>
      <c r="H175" s="475"/>
      <c r="I175" s="475"/>
      <c r="J175" s="475"/>
      <c r="K175" s="475"/>
      <c r="L175" s="475"/>
      <c r="M175" s="475"/>
      <c r="N175" s="475"/>
      <c r="O175" s="475"/>
      <c r="P175" s="475"/>
      <c r="Q175" s="475"/>
      <c r="R175" s="475"/>
      <c r="S175" s="475"/>
      <c r="T175" s="475"/>
      <c r="U175" s="475"/>
      <c r="V175" s="475"/>
      <c r="W175" s="475"/>
      <c r="X175" s="475"/>
      <c r="Y175" s="475"/>
    </row>
    <row r="176" spans="1:25" x14ac:dyDescent="0.35">
      <c r="A176" s="475"/>
      <c r="B176" s="38"/>
      <c r="C176" s="53"/>
      <c r="D176" s="44"/>
      <c r="E176" s="475"/>
      <c r="F176" s="475"/>
      <c r="G176" s="475"/>
      <c r="H176" s="475"/>
      <c r="I176" s="475"/>
      <c r="J176" s="475"/>
      <c r="K176" s="475"/>
      <c r="L176" s="475"/>
      <c r="M176" s="475"/>
      <c r="N176" s="475"/>
      <c r="O176" s="475"/>
      <c r="P176" s="475"/>
      <c r="Q176" s="475"/>
      <c r="R176" s="475"/>
      <c r="S176" s="475"/>
      <c r="T176" s="475"/>
      <c r="U176" s="475"/>
      <c r="V176" s="475"/>
      <c r="W176" s="475"/>
      <c r="X176" s="475"/>
      <c r="Y176" s="475"/>
    </row>
    <row r="177" spans="1:25" ht="17" x14ac:dyDescent="0.35">
      <c r="A177" s="475" t="s">
        <v>545</v>
      </c>
      <c r="B177" s="38" t="s">
        <v>401</v>
      </c>
      <c r="C177" s="48">
        <f>C175</f>
        <v>1069874.7178878703</v>
      </c>
      <c r="D177" s="40" t="s">
        <v>490</v>
      </c>
      <c r="E177" s="37" t="s">
        <v>476</v>
      </c>
      <c r="F177" s="58">
        <v>1</v>
      </c>
      <c r="G177" s="40" t="s">
        <v>543</v>
      </c>
      <c r="H177" s="37" t="s">
        <v>476</v>
      </c>
      <c r="I177" s="58">
        <v>1</v>
      </c>
      <c r="J177" s="40" t="s">
        <v>196</v>
      </c>
      <c r="K177" s="37" t="s">
        <v>476</v>
      </c>
      <c r="L177" s="58">
        <v>1</v>
      </c>
      <c r="M177" s="40" t="s">
        <v>546</v>
      </c>
      <c r="N177" s="475"/>
      <c r="O177" s="475"/>
      <c r="P177" s="475"/>
      <c r="Q177" s="475"/>
      <c r="R177" s="475"/>
      <c r="S177" s="475"/>
      <c r="T177" s="475"/>
      <c r="U177" s="475"/>
      <c r="V177" s="475"/>
      <c r="W177" s="475"/>
      <c r="X177" s="475"/>
      <c r="Y177" s="475"/>
    </row>
    <row r="178" spans="1:25" x14ac:dyDescent="0.35">
      <c r="A178" s="63"/>
      <c r="B178" s="38"/>
      <c r="C178" s="60">
        <v>1</v>
      </c>
      <c r="D178" s="37" t="s">
        <v>543</v>
      </c>
      <c r="E178" s="37"/>
      <c r="F178" s="60">
        <f>I173</f>
        <v>365</v>
      </c>
      <c r="G178" s="37" t="s">
        <v>196</v>
      </c>
      <c r="H178" s="37"/>
      <c r="I178" s="60">
        <v>8</v>
      </c>
      <c r="J178" s="37" t="s">
        <v>546</v>
      </c>
      <c r="K178" s="37"/>
      <c r="L178" s="60">
        <v>2</v>
      </c>
      <c r="M178" s="37" t="s">
        <v>547</v>
      </c>
      <c r="N178" s="475"/>
      <c r="O178" s="475"/>
      <c r="P178" s="63" t="s">
        <v>548</v>
      </c>
      <c r="Q178" s="475"/>
      <c r="R178" s="475"/>
      <c r="S178" s="475">
        <v>6</v>
      </c>
      <c r="T178" s="475" t="s">
        <v>549</v>
      </c>
      <c r="U178" s="475"/>
      <c r="V178" s="475"/>
      <c r="W178" s="475"/>
      <c r="X178" s="475"/>
      <c r="Y178" s="475"/>
    </row>
    <row r="179" spans="1:25" ht="16.5" x14ac:dyDescent="0.35">
      <c r="A179" s="475"/>
      <c r="B179" s="38"/>
      <c r="C179" s="43">
        <f>ROUNDDOWN((C177*I177/F178/I178/L178),-2)</f>
        <v>100</v>
      </c>
      <c r="D179" s="44" t="s">
        <v>550</v>
      </c>
      <c r="E179" s="42"/>
      <c r="F179" s="42"/>
      <c r="G179" s="42"/>
      <c r="H179" s="475"/>
      <c r="I179" s="475"/>
      <c r="J179" s="475"/>
      <c r="K179" s="475"/>
      <c r="L179" s="475"/>
      <c r="M179" s="475"/>
      <c r="N179" s="475"/>
      <c r="O179" s="475"/>
      <c r="P179" s="475"/>
      <c r="Q179" s="475"/>
      <c r="R179" s="475"/>
      <c r="S179" s="475"/>
      <c r="T179" s="475"/>
      <c r="U179" s="475"/>
      <c r="V179" s="475"/>
      <c r="W179" s="475"/>
      <c r="X179" s="475"/>
      <c r="Y179" s="475"/>
    </row>
    <row r="180" spans="1:25" x14ac:dyDescent="0.35">
      <c r="A180" s="475"/>
      <c r="B180" s="38"/>
      <c r="C180" s="53"/>
      <c r="D180" s="44"/>
      <c r="E180" s="475"/>
      <c r="F180" s="475"/>
      <c r="G180" s="475"/>
      <c r="H180" s="475"/>
      <c r="I180" s="475"/>
      <c r="J180" s="475"/>
      <c r="K180" s="475"/>
      <c r="L180" s="475"/>
      <c r="M180" s="475"/>
      <c r="N180" s="475"/>
      <c r="O180" s="475"/>
      <c r="P180" s="475"/>
      <c r="Q180" s="475"/>
      <c r="R180" s="475"/>
      <c r="S180" s="475"/>
      <c r="T180" s="475"/>
      <c r="U180" s="475"/>
      <c r="V180" s="475"/>
      <c r="W180" s="475"/>
      <c r="X180" s="475"/>
      <c r="Y180" s="475"/>
    </row>
    <row r="181" spans="1:25" ht="17" x14ac:dyDescent="0.35">
      <c r="A181" s="475" t="s">
        <v>551</v>
      </c>
      <c r="B181" s="38" t="s">
        <v>401</v>
      </c>
      <c r="C181" s="48">
        <f>'STS Calculation Summary'!V111</f>
        <v>108339.61122482012</v>
      </c>
      <c r="D181" s="40" t="s">
        <v>508</v>
      </c>
      <c r="E181" s="37" t="s">
        <v>476</v>
      </c>
      <c r="F181" s="58">
        <v>1</v>
      </c>
      <c r="G181" s="40" t="s">
        <v>490</v>
      </c>
      <c r="H181" s="37" t="s">
        <v>476</v>
      </c>
      <c r="I181" s="58">
        <v>365</v>
      </c>
      <c r="J181" s="40" t="s">
        <v>196</v>
      </c>
      <c r="K181" s="475"/>
      <c r="L181" s="475"/>
      <c r="M181" s="475"/>
      <c r="N181" s="475"/>
      <c r="O181" s="475"/>
      <c r="P181" s="475"/>
      <c r="Q181" s="475"/>
      <c r="R181" s="475"/>
      <c r="S181" s="475"/>
      <c r="T181" s="475"/>
      <c r="U181" s="475"/>
      <c r="V181" s="475"/>
      <c r="W181" s="475"/>
      <c r="X181" s="475"/>
      <c r="Y181" s="475"/>
    </row>
    <row r="182" spans="1:25" x14ac:dyDescent="0.35">
      <c r="A182" s="63"/>
      <c r="B182" s="38"/>
      <c r="C182" s="60">
        <v>1</v>
      </c>
      <c r="D182" s="37" t="s">
        <v>510</v>
      </c>
      <c r="E182" s="37"/>
      <c r="F182" s="60">
        <v>100</v>
      </c>
      <c r="G182" s="37" t="s">
        <v>508</v>
      </c>
      <c r="H182" s="37"/>
      <c r="I182" s="60">
        <v>1</v>
      </c>
      <c r="J182" s="37" t="s">
        <v>543</v>
      </c>
      <c r="K182" s="475"/>
      <c r="L182" s="475"/>
      <c r="M182" s="475"/>
      <c r="N182" s="475"/>
      <c r="O182" s="475"/>
      <c r="P182" s="475"/>
      <c r="Q182" s="475"/>
      <c r="R182" s="475"/>
      <c r="S182" s="475"/>
      <c r="T182" s="475"/>
      <c r="U182" s="475"/>
      <c r="V182" s="475"/>
      <c r="W182" s="475"/>
      <c r="X182" s="475"/>
      <c r="Y182" s="475"/>
    </row>
    <row r="183" spans="1:25" ht="16.5" x14ac:dyDescent="0.35">
      <c r="A183" s="475"/>
      <c r="B183" s="38"/>
      <c r="C183" s="43">
        <f>C181*I181/F182</f>
        <v>395439.5809705935</v>
      </c>
      <c r="D183" s="44" t="s">
        <v>544</v>
      </c>
      <c r="E183" s="42"/>
      <c r="F183" s="42"/>
      <c r="G183" s="42"/>
      <c r="H183" s="475"/>
      <c r="I183" s="475"/>
      <c r="J183" s="475"/>
      <c r="K183" s="475"/>
      <c r="L183" s="475"/>
      <c r="M183" s="475"/>
      <c r="N183" s="475"/>
      <c r="O183" s="475"/>
      <c r="P183" s="475"/>
      <c r="Q183" s="475"/>
      <c r="R183" s="475"/>
      <c r="S183" s="475"/>
      <c r="T183" s="475"/>
      <c r="U183" s="475"/>
      <c r="V183" s="475"/>
      <c r="W183" s="475"/>
      <c r="X183" s="475"/>
      <c r="Y183" s="475"/>
    </row>
    <row r="184" spans="1:25" x14ac:dyDescent="0.35">
      <c r="A184" s="475"/>
      <c r="B184" s="38"/>
      <c r="C184" s="53"/>
      <c r="D184" s="44"/>
      <c r="E184" s="475"/>
      <c r="F184" s="475"/>
      <c r="G184" s="475"/>
      <c r="H184" s="475"/>
      <c r="I184" s="475"/>
      <c r="J184" s="475"/>
      <c r="K184" s="475"/>
      <c r="L184" s="475"/>
      <c r="M184" s="475"/>
      <c r="N184" s="475"/>
      <c r="O184" s="475"/>
      <c r="P184" s="475"/>
      <c r="Q184" s="475"/>
      <c r="R184" s="475"/>
      <c r="S184" s="475"/>
      <c r="T184" s="475"/>
      <c r="U184" s="475"/>
      <c r="V184" s="475"/>
      <c r="W184" s="475"/>
      <c r="X184" s="475"/>
      <c r="Y184" s="475"/>
    </row>
    <row r="185" spans="1:25" ht="17" x14ac:dyDescent="0.35">
      <c r="A185" s="475" t="s">
        <v>552</v>
      </c>
      <c r="B185" s="38" t="s">
        <v>401</v>
      </c>
      <c r="C185" s="48">
        <f>C183</f>
        <v>395439.5809705935</v>
      </c>
      <c r="D185" s="40" t="s">
        <v>490</v>
      </c>
      <c r="E185" s="37" t="s">
        <v>476</v>
      </c>
      <c r="F185" s="58">
        <v>1</v>
      </c>
      <c r="G185" s="40" t="s">
        <v>543</v>
      </c>
      <c r="H185" s="37" t="s">
        <v>476</v>
      </c>
      <c r="I185" s="58">
        <v>1</v>
      </c>
      <c r="J185" s="40" t="s">
        <v>196</v>
      </c>
      <c r="K185" s="37" t="s">
        <v>476</v>
      </c>
      <c r="L185" s="58">
        <v>1</v>
      </c>
      <c r="M185" s="40" t="s">
        <v>546</v>
      </c>
      <c r="N185" s="475"/>
      <c r="O185" s="475"/>
      <c r="P185" s="63" t="s">
        <v>553</v>
      </c>
      <c r="Q185" s="475"/>
      <c r="R185" s="475"/>
      <c r="S185" s="475"/>
      <c r="T185" s="475"/>
      <c r="U185" s="475"/>
      <c r="V185" s="475"/>
      <c r="W185" s="475"/>
      <c r="X185" s="475"/>
      <c r="Y185" s="475"/>
    </row>
    <row r="186" spans="1:25" x14ac:dyDescent="0.35">
      <c r="A186" s="63"/>
      <c r="B186" s="38"/>
      <c r="C186" s="60">
        <v>1</v>
      </c>
      <c r="D186" s="37" t="s">
        <v>543</v>
      </c>
      <c r="E186" s="37"/>
      <c r="F186" s="60">
        <f>I181</f>
        <v>365</v>
      </c>
      <c r="G186" s="37" t="s">
        <v>196</v>
      </c>
      <c r="H186" s="37"/>
      <c r="I186" s="60">
        <v>8</v>
      </c>
      <c r="J186" s="37" t="s">
        <v>546</v>
      </c>
      <c r="K186" s="37"/>
      <c r="L186" s="60">
        <v>1</v>
      </c>
      <c r="M186" s="37" t="s">
        <v>547</v>
      </c>
      <c r="N186" s="475"/>
      <c r="O186" s="475"/>
      <c r="P186" s="475"/>
      <c r="Q186" s="475"/>
      <c r="R186" s="475"/>
      <c r="S186" s="475"/>
      <c r="T186" s="475"/>
      <c r="U186" s="475"/>
      <c r="V186" s="475"/>
      <c r="W186" s="475"/>
      <c r="X186" s="475"/>
      <c r="Y186" s="475"/>
    </row>
    <row r="187" spans="1:25" ht="16.5" x14ac:dyDescent="0.35">
      <c r="A187" s="475"/>
      <c r="B187" s="38"/>
      <c r="C187" s="43">
        <f>ROUNDUP((C185*I185/F186/I186/L186),0)</f>
        <v>136</v>
      </c>
      <c r="D187" s="44" t="s">
        <v>550</v>
      </c>
      <c r="E187" s="42"/>
      <c r="F187" s="42"/>
      <c r="G187" s="42"/>
      <c r="H187" s="475"/>
      <c r="I187" s="475"/>
      <c r="J187" s="475"/>
      <c r="K187" s="475"/>
      <c r="L187" s="475"/>
      <c r="M187" s="475"/>
      <c r="N187" s="475"/>
      <c r="O187" s="475"/>
      <c r="P187" s="475"/>
      <c r="Q187" s="475"/>
      <c r="R187" s="475"/>
      <c r="S187" s="475"/>
      <c r="T187" s="475"/>
      <c r="U187" s="475"/>
      <c r="V187" s="475"/>
      <c r="W187" s="475"/>
      <c r="X187" s="475"/>
      <c r="Y187" s="475"/>
    </row>
    <row r="188" spans="1:25" x14ac:dyDescent="0.35">
      <c r="A188" s="475"/>
      <c r="B188" s="38"/>
      <c r="C188" s="53"/>
      <c r="D188" s="44"/>
      <c r="E188" s="475"/>
      <c r="F188" s="475"/>
      <c r="G188" s="475"/>
      <c r="H188" s="475"/>
      <c r="I188" s="475"/>
      <c r="J188" s="475"/>
      <c r="K188" s="475"/>
      <c r="L188" s="475"/>
      <c r="M188" s="475"/>
      <c r="N188" s="475"/>
      <c r="O188" s="475"/>
      <c r="P188" s="475"/>
      <c r="Q188" s="475"/>
      <c r="R188" s="475"/>
      <c r="S188" s="475"/>
      <c r="T188" s="475"/>
      <c r="U188" s="475"/>
      <c r="V188" s="475"/>
      <c r="W188" s="475"/>
      <c r="X188" s="475"/>
      <c r="Y188" s="475"/>
    </row>
    <row r="189" spans="1:25" x14ac:dyDescent="0.35">
      <c r="A189" s="42" t="s">
        <v>554</v>
      </c>
      <c r="B189" s="38" t="s">
        <v>401</v>
      </c>
      <c r="C189" s="39">
        <f>C93</f>
        <v>42</v>
      </c>
      <c r="D189" s="40" t="s">
        <v>278</v>
      </c>
      <c r="E189" s="37" t="s">
        <v>476</v>
      </c>
      <c r="F189" s="40">
        <v>270</v>
      </c>
      <c r="G189" s="40" t="s">
        <v>477</v>
      </c>
      <c r="H189" s="37" t="s">
        <v>476</v>
      </c>
      <c r="I189" s="40">
        <v>1.1000000000000001</v>
      </c>
      <c r="J189" s="40" t="s">
        <v>481</v>
      </c>
      <c r="K189" s="475"/>
      <c r="L189" s="475"/>
      <c r="M189" s="475"/>
      <c r="N189" s="475"/>
      <c r="O189" s="475"/>
      <c r="P189" s="475"/>
      <c r="Q189" s="475"/>
      <c r="R189" s="475"/>
      <c r="S189" s="475"/>
      <c r="T189" s="475"/>
      <c r="U189" s="475"/>
      <c r="V189" s="475"/>
      <c r="W189" s="475"/>
      <c r="X189" s="475"/>
      <c r="Y189" s="475"/>
    </row>
    <row r="190" spans="1:25" x14ac:dyDescent="0.35">
      <c r="A190" s="42"/>
      <c r="B190" s="37"/>
      <c r="C190" s="37">
        <v>1</v>
      </c>
      <c r="D190" s="37" t="s">
        <v>477</v>
      </c>
      <c r="E190" s="37"/>
      <c r="F190" s="37"/>
      <c r="G190" s="37"/>
      <c r="H190" s="37"/>
      <c r="I190" s="37"/>
      <c r="J190" s="37"/>
      <c r="K190" s="475"/>
      <c r="L190" s="475"/>
      <c r="M190" s="475"/>
      <c r="N190" s="475"/>
      <c r="O190" s="475"/>
      <c r="P190" s="475"/>
      <c r="Q190" s="475"/>
      <c r="R190" s="475"/>
      <c r="S190" s="475"/>
      <c r="T190" s="475"/>
      <c r="U190" s="475"/>
      <c r="V190" s="475"/>
      <c r="W190" s="475"/>
      <c r="X190" s="475"/>
      <c r="Y190" s="475"/>
    </row>
    <row r="191" spans="1:25" x14ac:dyDescent="0.35">
      <c r="A191" s="42"/>
      <c r="B191" s="476" t="s">
        <v>401</v>
      </c>
      <c r="C191" s="43">
        <f>ROUNDUP((C189*F189*I189),-3)</f>
        <v>13000</v>
      </c>
      <c r="D191" s="44" t="s">
        <v>278</v>
      </c>
      <c r="E191" s="42"/>
      <c r="F191" s="42"/>
      <c r="G191" s="42"/>
      <c r="H191" s="42"/>
      <c r="I191" s="42"/>
      <c r="J191" s="42"/>
      <c r="K191" s="475"/>
      <c r="L191" s="475"/>
      <c r="M191" s="475"/>
      <c r="N191" s="475"/>
      <c r="O191" s="475"/>
      <c r="P191" s="475"/>
      <c r="Q191" s="475"/>
      <c r="R191" s="475"/>
      <c r="S191" s="475"/>
      <c r="T191" s="475"/>
      <c r="U191" s="475"/>
      <c r="V191" s="475"/>
      <c r="W191" s="475"/>
      <c r="X191" s="475"/>
      <c r="Y191" s="475"/>
    </row>
    <row r="192" spans="1:25" x14ac:dyDescent="0.35">
      <c r="A192" s="42"/>
      <c r="B192" s="476"/>
      <c r="C192" s="43"/>
      <c r="D192" s="44"/>
      <c r="E192" s="42"/>
      <c r="F192" s="42"/>
      <c r="G192" s="42"/>
      <c r="H192" s="42"/>
      <c r="I192" s="42"/>
      <c r="J192" s="42"/>
      <c r="K192" s="475"/>
      <c r="L192" s="475"/>
      <c r="M192" s="475"/>
      <c r="N192" s="475"/>
      <c r="O192" s="475"/>
      <c r="P192" s="475"/>
      <c r="Q192" s="475"/>
      <c r="R192" s="475"/>
      <c r="S192" s="475"/>
      <c r="T192" s="475"/>
      <c r="U192" s="475"/>
      <c r="V192" s="475"/>
      <c r="W192" s="475"/>
      <c r="X192" s="475"/>
      <c r="Y192" s="475"/>
    </row>
    <row r="193" spans="1:25" ht="17" x14ac:dyDescent="0.35">
      <c r="A193" s="471"/>
      <c r="B193" s="473" t="s">
        <v>401</v>
      </c>
      <c r="C193" s="477">
        <f>C191</f>
        <v>13000</v>
      </c>
      <c r="D193" s="478" t="s">
        <v>278</v>
      </c>
      <c r="E193" s="471" t="s">
        <v>476</v>
      </c>
      <c r="F193" s="478">
        <v>1</v>
      </c>
      <c r="G193" s="478" t="s">
        <v>483</v>
      </c>
      <c r="H193" s="471"/>
      <c r="I193" s="471"/>
      <c r="J193" s="471"/>
      <c r="K193" s="471"/>
      <c r="L193" s="471"/>
      <c r="M193" s="471"/>
      <c r="N193" s="471"/>
      <c r="O193" s="471"/>
      <c r="P193" s="471"/>
      <c r="Q193" s="471"/>
      <c r="R193" s="471"/>
      <c r="S193" s="471"/>
      <c r="T193" s="471"/>
      <c r="U193" s="471"/>
      <c r="V193" s="471"/>
      <c r="W193" s="471"/>
      <c r="X193" s="471"/>
      <c r="Y193" s="471"/>
    </row>
    <row r="194" spans="1:25" x14ac:dyDescent="0.35">
      <c r="A194" s="471"/>
      <c r="B194" s="473"/>
      <c r="C194" s="28"/>
      <c r="D194" s="29"/>
      <c r="E194" s="471"/>
      <c r="F194" s="479">
        <v>7.4809999999999999</v>
      </c>
      <c r="G194" s="471" t="s">
        <v>278</v>
      </c>
      <c r="H194" s="471"/>
      <c r="I194" s="471"/>
      <c r="J194" s="471"/>
      <c r="K194" s="471"/>
      <c r="L194" s="471"/>
      <c r="M194" s="471"/>
      <c r="N194" s="471"/>
      <c r="O194" s="471"/>
      <c r="P194" s="471"/>
      <c r="Q194" s="471"/>
      <c r="R194" s="471"/>
      <c r="S194" s="471"/>
      <c r="T194" s="471"/>
      <c r="U194" s="471"/>
      <c r="V194" s="471"/>
      <c r="W194" s="471"/>
      <c r="X194" s="471"/>
      <c r="Y194" s="471"/>
    </row>
    <row r="195" spans="1:25" ht="16.5" x14ac:dyDescent="0.35">
      <c r="A195" s="471"/>
      <c r="B195" s="473" t="s">
        <v>401</v>
      </c>
      <c r="C195" s="28">
        <f>C193/F194</f>
        <v>1737.7355968453417</v>
      </c>
      <c r="D195" s="29" t="s">
        <v>484</v>
      </c>
      <c r="E195" s="471"/>
      <c r="F195" s="471"/>
      <c r="G195" s="471"/>
      <c r="H195" s="471"/>
      <c r="I195" s="471"/>
      <c r="J195" s="471"/>
      <c r="K195" s="471"/>
      <c r="L195" s="471"/>
      <c r="M195" s="471"/>
      <c r="N195" s="471"/>
      <c r="O195" s="471"/>
      <c r="P195" s="471"/>
      <c r="Q195" s="471"/>
      <c r="R195" s="471"/>
      <c r="S195" s="471"/>
      <c r="T195" s="471"/>
      <c r="U195" s="471"/>
      <c r="V195" s="471"/>
      <c r="W195" s="471"/>
      <c r="X195" s="471"/>
      <c r="Y195" s="471"/>
    </row>
    <row r="196" spans="1:25" x14ac:dyDescent="0.35">
      <c r="A196" s="471"/>
      <c r="B196" s="473"/>
      <c r="C196" s="28"/>
      <c r="D196" s="29"/>
      <c r="E196" s="471"/>
      <c r="F196" s="471"/>
      <c r="G196" s="471"/>
      <c r="H196" s="471"/>
      <c r="I196" s="471"/>
      <c r="J196" s="471"/>
      <c r="K196" s="471"/>
      <c r="L196" s="471"/>
      <c r="M196" s="471"/>
      <c r="N196" s="471"/>
      <c r="O196" s="471"/>
      <c r="P196" s="471"/>
      <c r="Q196" s="471"/>
      <c r="R196" s="471"/>
      <c r="S196" s="471"/>
      <c r="T196" s="471"/>
      <c r="U196" s="471"/>
      <c r="V196" s="471"/>
      <c r="W196" s="471"/>
      <c r="X196" s="471"/>
      <c r="Y196" s="471"/>
    </row>
    <row r="197" spans="1:25" x14ac:dyDescent="0.35">
      <c r="A197" s="471" t="s">
        <v>485</v>
      </c>
      <c r="B197" s="473" t="s">
        <v>401</v>
      </c>
      <c r="C197" s="326">
        <v>16</v>
      </c>
      <c r="D197" s="327" t="s">
        <v>218</v>
      </c>
      <c r="E197" s="471"/>
      <c r="F197" s="471"/>
      <c r="G197" s="471"/>
      <c r="H197" s="471"/>
      <c r="I197" s="471"/>
      <c r="J197" s="471"/>
      <c r="K197" s="471"/>
      <c r="L197" s="471"/>
      <c r="M197" s="471"/>
      <c r="N197" s="471"/>
      <c r="O197" s="471"/>
      <c r="P197" s="471"/>
      <c r="Q197" s="471"/>
      <c r="R197" s="471"/>
      <c r="S197" s="471"/>
      <c r="T197" s="471"/>
      <c r="U197" s="471"/>
      <c r="V197" s="471"/>
      <c r="W197" s="471"/>
      <c r="X197" s="471"/>
      <c r="Y197" s="471"/>
    </row>
    <row r="198" spans="1:25" x14ac:dyDescent="0.35">
      <c r="A198" s="471"/>
      <c r="B198" s="473"/>
      <c r="C198" s="28"/>
      <c r="D198" s="29"/>
      <c r="E198" s="471"/>
      <c r="F198" s="471"/>
      <c r="G198" s="471"/>
      <c r="H198" s="471"/>
      <c r="I198" s="471"/>
      <c r="J198" s="471"/>
      <c r="K198" s="471"/>
      <c r="L198" s="471"/>
      <c r="M198" s="471"/>
      <c r="N198" s="471"/>
      <c r="O198" s="471"/>
      <c r="P198" s="471"/>
      <c r="Q198" s="471"/>
      <c r="R198" s="471"/>
      <c r="S198" s="471"/>
      <c r="T198" s="471"/>
      <c r="U198" s="471"/>
      <c r="V198" s="471"/>
      <c r="W198" s="471"/>
      <c r="X198" s="471"/>
      <c r="Y198" s="471"/>
    </row>
    <row r="199" spans="1:25" ht="17" x14ac:dyDescent="0.35">
      <c r="A199" s="471" t="s">
        <v>486</v>
      </c>
      <c r="B199" s="45" t="s">
        <v>401</v>
      </c>
      <c r="C199" s="480">
        <f>C195</f>
        <v>1737.7355968453417</v>
      </c>
      <c r="D199" s="478" t="s">
        <v>483</v>
      </c>
      <c r="E199" s="471" t="s">
        <v>476</v>
      </c>
      <c r="F199" s="481">
        <v>4</v>
      </c>
      <c r="G199" s="46">
        <v>0.5</v>
      </c>
      <c r="H199" s="471"/>
      <c r="I199" s="471"/>
      <c r="J199" s="471"/>
      <c r="K199" s="471"/>
      <c r="L199" s="471"/>
      <c r="M199" s="471"/>
      <c r="N199" s="471"/>
      <c r="O199" s="471"/>
      <c r="P199" s="471"/>
      <c r="Q199" s="471"/>
      <c r="R199" s="471"/>
      <c r="S199" s="471"/>
      <c r="T199" s="471"/>
      <c r="U199" s="471"/>
      <c r="V199" s="471"/>
      <c r="W199" s="471"/>
      <c r="X199" s="471"/>
      <c r="Y199" s="471"/>
    </row>
    <row r="200" spans="1:25" x14ac:dyDescent="0.35">
      <c r="A200" s="471"/>
      <c r="B200" s="471"/>
      <c r="C200" s="482">
        <f>C197</f>
        <v>16</v>
      </c>
      <c r="D200" s="471" t="s">
        <v>218</v>
      </c>
      <c r="E200" s="471"/>
      <c r="F200" s="483" t="s">
        <v>487</v>
      </c>
      <c r="G200" s="471"/>
      <c r="H200" s="471"/>
      <c r="I200" s="471"/>
      <c r="J200" s="471"/>
      <c r="K200" s="471"/>
      <c r="L200" s="471"/>
      <c r="M200" s="471"/>
      <c r="N200" s="471"/>
      <c r="O200" s="471"/>
      <c r="P200" s="471"/>
      <c r="Q200" s="471"/>
      <c r="R200" s="471"/>
      <c r="S200" s="471"/>
      <c r="T200" s="471"/>
      <c r="U200" s="471"/>
      <c r="V200" s="471"/>
      <c r="W200" s="471"/>
      <c r="X200" s="471"/>
      <c r="Y200" s="471"/>
    </row>
    <row r="201" spans="1:25" x14ac:dyDescent="0.35">
      <c r="A201" s="471"/>
      <c r="B201" s="45" t="s">
        <v>401</v>
      </c>
      <c r="C201" s="47">
        <f>ROUNDUP(SQRT(C199/C200*F199/PI()),-0.5)</f>
        <v>12</v>
      </c>
      <c r="D201" s="29" t="s">
        <v>218</v>
      </c>
      <c r="E201" s="471"/>
      <c r="F201" s="471"/>
      <c r="G201" s="471"/>
      <c r="H201" s="471"/>
      <c r="I201" s="471"/>
      <c r="J201" s="471"/>
      <c r="K201" s="471"/>
      <c r="L201" s="471"/>
      <c r="M201" s="471"/>
      <c r="N201" s="471"/>
      <c r="O201" s="471"/>
      <c r="P201" s="471"/>
      <c r="Q201" s="471"/>
      <c r="R201" s="471"/>
      <c r="S201" s="471"/>
      <c r="T201" s="471"/>
      <c r="U201" s="471"/>
      <c r="V201" s="471"/>
      <c r="W201" s="471"/>
      <c r="X201" s="471"/>
      <c r="Y201" s="471"/>
    </row>
    <row r="202" spans="1:25" x14ac:dyDescent="0.35">
      <c r="A202" s="475"/>
      <c r="B202" s="475"/>
      <c r="C202" s="475"/>
      <c r="D202" s="475"/>
      <c r="E202" s="475"/>
      <c r="F202" s="475"/>
      <c r="G202" s="475"/>
      <c r="H202" s="475"/>
      <c r="I202" s="475"/>
      <c r="J202" s="475"/>
      <c r="K202" s="475"/>
      <c r="L202" s="475"/>
      <c r="M202" s="475"/>
      <c r="N202" s="475"/>
      <c r="O202" s="475"/>
      <c r="P202" s="475"/>
      <c r="Q202" s="475"/>
      <c r="R202" s="475"/>
      <c r="S202" s="475"/>
      <c r="T202" s="475"/>
      <c r="U202" s="475"/>
      <c r="V202" s="475"/>
      <c r="W202" s="475"/>
      <c r="X202" s="475"/>
      <c r="Y202" s="475"/>
    </row>
    <row r="203" spans="1:25" x14ac:dyDescent="0.35">
      <c r="A203" s="596" t="s">
        <v>309</v>
      </c>
      <c r="B203" s="596"/>
      <c r="C203" s="596"/>
      <c r="D203" s="596"/>
      <c r="E203" s="596"/>
      <c r="F203" s="596"/>
      <c r="G203" s="596"/>
      <c r="H203" s="596"/>
      <c r="I203" s="596"/>
      <c r="J203" s="596"/>
      <c r="K203" s="471"/>
      <c r="L203" s="471"/>
      <c r="M203" s="471"/>
      <c r="N203" s="471"/>
      <c r="O203" s="471"/>
      <c r="P203" s="471"/>
      <c r="Q203" s="471"/>
      <c r="R203" s="471"/>
      <c r="S203" s="471"/>
      <c r="T203" s="471"/>
      <c r="U203" s="471"/>
      <c r="V203" s="471"/>
      <c r="W203" s="471"/>
      <c r="X203" s="471"/>
      <c r="Y203" s="471"/>
    </row>
    <row r="204" spans="1:25" x14ac:dyDescent="0.35">
      <c r="A204" s="493" t="s">
        <v>555</v>
      </c>
      <c r="B204" s="38" t="s">
        <v>401</v>
      </c>
      <c r="C204" s="51">
        <f>ROUNDUP((C171*0.5),0)</f>
        <v>13</v>
      </c>
      <c r="D204" s="51" t="s">
        <v>264</v>
      </c>
      <c r="E204" s="37"/>
      <c r="F204" s="37"/>
      <c r="G204" s="37"/>
      <c r="H204" s="475"/>
      <c r="I204" s="475"/>
      <c r="J204" s="475"/>
      <c r="K204" s="475"/>
      <c r="L204" s="475"/>
      <c r="M204" s="475"/>
      <c r="N204" s="475"/>
      <c r="O204" s="475"/>
      <c r="P204" s="475"/>
      <c r="Q204" s="475"/>
      <c r="R204" s="475"/>
      <c r="S204" s="475"/>
      <c r="T204" s="475"/>
      <c r="U204" s="475"/>
      <c r="V204" s="475"/>
      <c r="W204" s="475"/>
      <c r="X204" s="475"/>
      <c r="Y204" s="475"/>
    </row>
    <row r="205" spans="1:25" x14ac:dyDescent="0.35">
      <c r="A205" s="493"/>
      <c r="B205" s="38"/>
      <c r="C205" s="51"/>
      <c r="D205" s="51"/>
      <c r="E205" s="37"/>
      <c r="F205" s="37"/>
      <c r="G205" s="37"/>
      <c r="H205" s="475"/>
      <c r="I205" s="475"/>
      <c r="J205" s="475"/>
      <c r="K205" s="475"/>
      <c r="L205" s="475"/>
      <c r="M205" s="475"/>
      <c r="N205" s="475"/>
      <c r="O205" s="475"/>
      <c r="P205" s="475"/>
      <c r="Q205" s="475"/>
      <c r="R205" s="475"/>
      <c r="S205" s="475"/>
      <c r="T205" s="475"/>
      <c r="U205" s="475"/>
      <c r="V205" s="475"/>
      <c r="W205" s="475"/>
      <c r="X205" s="475"/>
      <c r="Y205" s="475"/>
    </row>
    <row r="206" spans="1:25" x14ac:dyDescent="0.35">
      <c r="A206" s="64" t="s">
        <v>475</v>
      </c>
      <c r="B206" s="65" t="s">
        <v>401</v>
      </c>
      <c r="C206" s="39">
        <f>C204</f>
        <v>13</v>
      </c>
      <c r="D206" s="40" t="s">
        <v>278</v>
      </c>
      <c r="E206" s="37" t="s">
        <v>476</v>
      </c>
      <c r="F206" s="40">
        <f>60*4</f>
        <v>240</v>
      </c>
      <c r="G206" s="40" t="s">
        <v>477</v>
      </c>
      <c r="H206" s="37"/>
      <c r="I206" s="37"/>
      <c r="J206" s="37"/>
      <c r="K206" s="475"/>
      <c r="L206" s="475"/>
      <c r="M206" s="475"/>
      <c r="N206" s="475"/>
      <c r="O206" s="475"/>
      <c r="P206" s="475"/>
      <c r="Q206" s="475"/>
      <c r="R206" s="475"/>
      <c r="S206" s="475"/>
      <c r="T206" s="475"/>
      <c r="U206" s="475"/>
      <c r="V206" s="475"/>
      <c r="W206" s="475"/>
      <c r="X206" s="475"/>
      <c r="Y206" s="475"/>
    </row>
    <row r="207" spans="1:25" x14ac:dyDescent="0.35">
      <c r="A207" s="64"/>
      <c r="B207" s="65"/>
      <c r="C207" s="60">
        <v>1</v>
      </c>
      <c r="D207" s="37" t="s">
        <v>477</v>
      </c>
      <c r="E207" s="37"/>
      <c r="F207" s="37"/>
      <c r="G207" s="37"/>
      <c r="H207" s="37"/>
      <c r="I207" s="37"/>
      <c r="J207" s="37"/>
      <c r="K207" s="475"/>
      <c r="L207" s="475"/>
      <c r="M207" s="475"/>
      <c r="N207" s="475"/>
      <c r="O207" s="475"/>
      <c r="P207" s="475"/>
      <c r="Q207" s="475"/>
      <c r="R207" s="475"/>
      <c r="S207" s="475"/>
      <c r="T207" s="475"/>
      <c r="U207" s="475"/>
      <c r="V207" s="475"/>
      <c r="W207" s="475"/>
      <c r="X207" s="475"/>
      <c r="Y207" s="475"/>
    </row>
    <row r="208" spans="1:25" x14ac:dyDescent="0.35">
      <c r="A208" s="64"/>
      <c r="B208" s="65" t="s">
        <v>401</v>
      </c>
      <c r="C208" s="66">
        <f>ROUNDUP((C206*F206),-3)</f>
        <v>4000</v>
      </c>
      <c r="D208" s="67" t="s">
        <v>278</v>
      </c>
      <c r="E208" s="37"/>
      <c r="F208" s="37"/>
      <c r="G208" s="37"/>
      <c r="H208" s="37"/>
      <c r="I208" s="37"/>
      <c r="J208" s="37"/>
      <c r="K208" s="475"/>
      <c r="L208" s="475"/>
      <c r="M208" s="475"/>
      <c r="N208" s="475"/>
      <c r="O208" s="475"/>
      <c r="P208" s="475"/>
      <c r="Q208" s="475"/>
      <c r="R208" s="475"/>
      <c r="S208" s="475"/>
      <c r="T208" s="475"/>
      <c r="U208" s="475"/>
      <c r="V208" s="475"/>
      <c r="W208" s="475"/>
      <c r="X208" s="475"/>
      <c r="Y208" s="475"/>
    </row>
    <row r="209" spans="1:25" x14ac:dyDescent="0.35">
      <c r="A209" s="64"/>
      <c r="B209" s="65"/>
      <c r="C209" s="60"/>
      <c r="D209" s="37"/>
      <c r="E209" s="37"/>
      <c r="F209" s="37"/>
      <c r="G209" s="37"/>
      <c r="H209" s="37"/>
      <c r="I209" s="37"/>
      <c r="J209" s="37"/>
      <c r="K209" s="475"/>
      <c r="L209" s="475"/>
      <c r="M209" s="475"/>
      <c r="N209" s="475"/>
      <c r="O209" s="475"/>
      <c r="P209" s="475"/>
      <c r="Q209" s="475"/>
      <c r="R209" s="475"/>
      <c r="S209" s="475"/>
      <c r="T209" s="475"/>
      <c r="U209" s="475"/>
      <c r="V209" s="475"/>
      <c r="W209" s="475"/>
      <c r="X209" s="475"/>
      <c r="Y209" s="475"/>
    </row>
    <row r="210" spans="1:25" ht="17" x14ac:dyDescent="0.35">
      <c r="A210" s="471"/>
      <c r="B210" s="473" t="s">
        <v>401</v>
      </c>
      <c r="C210" s="477">
        <f>C208</f>
        <v>4000</v>
      </c>
      <c r="D210" s="478" t="s">
        <v>278</v>
      </c>
      <c r="E210" s="471" t="s">
        <v>476</v>
      </c>
      <c r="F210" s="478">
        <v>1</v>
      </c>
      <c r="G210" s="478" t="s">
        <v>483</v>
      </c>
      <c r="H210" s="471"/>
      <c r="I210" s="471"/>
      <c r="J210" s="471"/>
      <c r="K210" s="471"/>
      <c r="L210" s="471"/>
      <c r="M210" s="471"/>
      <c r="N210" s="471"/>
      <c r="O210" s="471"/>
      <c r="P210" s="471"/>
      <c r="Q210" s="471"/>
      <c r="R210" s="471"/>
      <c r="S210" s="471"/>
      <c r="T210" s="471"/>
      <c r="U210" s="471"/>
      <c r="V210" s="471"/>
      <c r="W210" s="471"/>
      <c r="X210" s="471"/>
      <c r="Y210" s="471"/>
    </row>
    <row r="211" spans="1:25" x14ac:dyDescent="0.35">
      <c r="A211" s="471"/>
      <c r="B211" s="473"/>
      <c r="C211" s="28"/>
      <c r="D211" s="29"/>
      <c r="E211" s="471"/>
      <c r="F211" s="479">
        <v>7.4809999999999999</v>
      </c>
      <c r="G211" s="471" t="s">
        <v>278</v>
      </c>
      <c r="H211" s="471"/>
      <c r="I211" s="471"/>
      <c r="J211" s="471"/>
      <c r="K211" s="471"/>
      <c r="L211" s="471"/>
      <c r="M211" s="471"/>
      <c r="N211" s="471"/>
      <c r="O211" s="471"/>
      <c r="P211" s="471"/>
      <c r="Q211" s="471"/>
      <c r="R211" s="471"/>
      <c r="S211" s="471"/>
      <c r="T211" s="471"/>
      <c r="U211" s="471"/>
      <c r="V211" s="471"/>
      <c r="W211" s="471"/>
      <c r="X211" s="471"/>
      <c r="Y211" s="471"/>
    </row>
    <row r="212" spans="1:25" ht="16.5" x14ac:dyDescent="0.35">
      <c r="A212" s="471"/>
      <c r="B212" s="473" t="s">
        <v>401</v>
      </c>
      <c r="C212" s="28">
        <f>C210/F211</f>
        <v>534.68787595241281</v>
      </c>
      <c r="D212" s="29" t="s">
        <v>484</v>
      </c>
      <c r="E212" s="471"/>
      <c r="F212" s="471"/>
      <c r="G212" s="471"/>
      <c r="H212" s="471"/>
      <c r="I212" s="471"/>
      <c r="J212" s="471"/>
      <c r="K212" s="471"/>
      <c r="L212" s="471"/>
      <c r="M212" s="471"/>
      <c r="N212" s="471"/>
      <c r="O212" s="471"/>
      <c r="P212" s="471"/>
      <c r="Q212" s="471"/>
      <c r="R212" s="471"/>
      <c r="S212" s="471"/>
      <c r="T212" s="471"/>
      <c r="U212" s="471"/>
      <c r="V212" s="471"/>
      <c r="W212" s="471"/>
      <c r="X212" s="471"/>
      <c r="Y212" s="471"/>
    </row>
    <row r="213" spans="1:25" x14ac:dyDescent="0.35">
      <c r="A213" s="471"/>
      <c r="B213" s="473"/>
      <c r="C213" s="28"/>
      <c r="D213" s="29"/>
      <c r="E213" s="471"/>
      <c r="F213" s="471"/>
      <c r="G213" s="471"/>
      <c r="H213" s="471"/>
      <c r="I213" s="471"/>
      <c r="J213" s="471"/>
      <c r="K213" s="471"/>
      <c r="L213" s="471"/>
      <c r="M213" s="471"/>
      <c r="N213" s="471"/>
      <c r="O213" s="471"/>
      <c r="P213" s="471"/>
      <c r="Q213" s="471"/>
      <c r="R213" s="471"/>
      <c r="S213" s="471"/>
      <c r="T213" s="471"/>
      <c r="U213" s="471"/>
      <c r="V213" s="471"/>
      <c r="W213" s="471"/>
      <c r="X213" s="471"/>
      <c r="Y213" s="471"/>
    </row>
    <row r="214" spans="1:25" x14ac:dyDescent="0.35">
      <c r="A214" s="471" t="s">
        <v>485</v>
      </c>
      <c r="B214" s="473" t="s">
        <v>401</v>
      </c>
      <c r="C214" s="326">
        <v>10</v>
      </c>
      <c r="D214" s="327" t="s">
        <v>218</v>
      </c>
      <c r="E214" s="471"/>
      <c r="F214" s="471"/>
      <c r="G214" s="471"/>
      <c r="H214" s="471"/>
      <c r="I214" s="471"/>
      <c r="J214" s="471"/>
      <c r="K214" s="471"/>
      <c r="L214" s="471"/>
      <c r="M214" s="471"/>
      <c r="N214" s="471"/>
      <c r="O214" s="471"/>
      <c r="P214" s="471"/>
      <c r="Q214" s="471"/>
      <c r="R214" s="471"/>
      <c r="S214" s="471"/>
      <c r="T214" s="471"/>
      <c r="U214" s="471"/>
      <c r="V214" s="471"/>
      <c r="W214" s="471"/>
      <c r="X214" s="471"/>
      <c r="Y214" s="471"/>
    </row>
    <row r="215" spans="1:25" x14ac:dyDescent="0.35">
      <c r="A215" s="471"/>
      <c r="B215" s="473"/>
      <c r="C215" s="28"/>
      <c r="D215" s="29"/>
      <c r="E215" s="471"/>
      <c r="F215" s="471"/>
      <c r="G215" s="471"/>
      <c r="H215" s="471"/>
      <c r="I215" s="471"/>
      <c r="J215" s="471"/>
      <c r="K215" s="471"/>
      <c r="L215" s="471"/>
      <c r="M215" s="471"/>
      <c r="N215" s="471"/>
      <c r="O215" s="471"/>
      <c r="P215" s="471"/>
      <c r="Q215" s="471"/>
      <c r="R215" s="471"/>
      <c r="S215" s="471"/>
      <c r="T215" s="471"/>
      <c r="U215" s="471"/>
      <c r="V215" s="471"/>
      <c r="W215" s="471"/>
      <c r="X215" s="471"/>
      <c r="Y215" s="471"/>
    </row>
    <row r="216" spans="1:25" ht="17" x14ac:dyDescent="0.35">
      <c r="A216" s="471" t="s">
        <v>486</v>
      </c>
      <c r="B216" s="45" t="s">
        <v>401</v>
      </c>
      <c r="C216" s="480">
        <f>C212</f>
        <v>534.68787595241281</v>
      </c>
      <c r="D216" s="478" t="s">
        <v>483</v>
      </c>
      <c r="E216" s="471" t="s">
        <v>476</v>
      </c>
      <c r="F216" s="481">
        <v>4</v>
      </c>
      <c r="G216" s="46">
        <v>0.5</v>
      </c>
      <c r="H216" s="471"/>
      <c r="I216" s="471"/>
      <c r="J216" s="471"/>
      <c r="K216" s="471"/>
      <c r="L216" s="471"/>
      <c r="M216" s="471"/>
      <c r="N216" s="471"/>
      <c r="O216" s="471"/>
      <c r="P216" s="471"/>
      <c r="Q216" s="471"/>
      <c r="R216" s="471"/>
      <c r="S216" s="471"/>
      <c r="T216" s="471"/>
      <c r="U216" s="471"/>
      <c r="V216" s="471"/>
      <c r="W216" s="471"/>
      <c r="X216" s="471"/>
      <c r="Y216" s="471"/>
    </row>
    <row r="217" spans="1:25" x14ac:dyDescent="0.35">
      <c r="A217" s="471"/>
      <c r="B217" s="471"/>
      <c r="C217" s="482">
        <f>C214</f>
        <v>10</v>
      </c>
      <c r="D217" s="471" t="s">
        <v>218</v>
      </c>
      <c r="E217" s="471"/>
      <c r="F217" s="483" t="s">
        <v>487</v>
      </c>
      <c r="G217" s="471"/>
      <c r="H217" s="471"/>
      <c r="I217" s="471"/>
      <c r="J217" s="471"/>
      <c r="K217" s="471"/>
      <c r="L217" s="471"/>
      <c r="M217" s="471"/>
      <c r="N217" s="471"/>
      <c r="O217" s="471"/>
      <c r="P217" s="471"/>
      <c r="Q217" s="471"/>
      <c r="R217" s="471"/>
      <c r="S217" s="471"/>
      <c r="T217" s="471"/>
      <c r="U217" s="471"/>
      <c r="V217" s="471"/>
      <c r="W217" s="471"/>
      <c r="X217" s="471"/>
      <c r="Y217" s="471"/>
    </row>
    <row r="218" spans="1:25" x14ac:dyDescent="0.35">
      <c r="A218" s="471"/>
      <c r="B218" s="45" t="s">
        <v>401</v>
      </c>
      <c r="C218" s="47">
        <f>ROUNDUP(SQRT(C216/C217*F216/PI()),-0.5)</f>
        <v>9</v>
      </c>
      <c r="D218" s="29" t="s">
        <v>218</v>
      </c>
      <c r="E218" s="471"/>
      <c r="F218" s="471"/>
      <c r="G218" s="471"/>
      <c r="H218" s="471"/>
      <c r="I218" s="471"/>
      <c r="J218" s="471"/>
      <c r="K218" s="471"/>
      <c r="L218" s="471"/>
      <c r="M218" s="471"/>
      <c r="N218" s="471"/>
      <c r="O218" s="471"/>
      <c r="P218" s="471"/>
      <c r="Q218" s="471"/>
      <c r="R218" s="471"/>
      <c r="S218" s="471"/>
      <c r="T218" s="471"/>
      <c r="U218" s="471"/>
      <c r="V218" s="471"/>
      <c r="W218" s="471"/>
      <c r="X218" s="471"/>
      <c r="Y218" s="471"/>
    </row>
    <row r="219" spans="1:25" x14ac:dyDescent="0.35">
      <c r="A219" s="64"/>
      <c r="B219" s="65"/>
      <c r="C219" s="60"/>
      <c r="D219" s="37"/>
      <c r="E219" s="37"/>
      <c r="F219" s="37"/>
      <c r="G219" s="37"/>
      <c r="H219" s="37"/>
      <c r="I219" s="37"/>
      <c r="J219" s="37"/>
      <c r="K219" s="475"/>
      <c r="L219" s="475"/>
      <c r="M219" s="475"/>
      <c r="N219" s="475"/>
      <c r="O219" s="475"/>
      <c r="P219" s="475"/>
      <c r="Q219" s="475"/>
      <c r="R219" s="475"/>
      <c r="S219" s="475"/>
      <c r="T219" s="475"/>
      <c r="U219" s="475"/>
      <c r="V219" s="475"/>
      <c r="W219" s="475"/>
      <c r="X219" s="475"/>
      <c r="Y219" s="475"/>
    </row>
    <row r="220" spans="1:25" ht="15.5" x14ac:dyDescent="0.35">
      <c r="A220" s="595" t="s">
        <v>556</v>
      </c>
      <c r="B220" s="595"/>
      <c r="C220" s="595"/>
      <c r="D220" s="595"/>
      <c r="E220" s="595"/>
      <c r="F220" s="595"/>
      <c r="G220" s="595"/>
      <c r="H220" s="595"/>
      <c r="I220" s="595"/>
      <c r="J220" s="595"/>
      <c r="K220" s="35"/>
      <c r="L220" s="475"/>
      <c r="M220" s="475"/>
      <c r="N220" s="35"/>
      <c r="O220" s="475"/>
      <c r="P220" s="475"/>
      <c r="Q220" s="475"/>
      <c r="R220" s="475"/>
      <c r="S220" s="475"/>
      <c r="T220" s="475"/>
      <c r="U220" s="475"/>
      <c r="V220" s="475"/>
      <c r="W220" s="475"/>
      <c r="X220" s="475"/>
      <c r="Y220" s="475"/>
    </row>
    <row r="221" spans="1:25" x14ac:dyDescent="0.35">
      <c r="A221" s="594" t="s">
        <v>557</v>
      </c>
      <c r="B221" s="594"/>
      <c r="C221" s="594"/>
      <c r="D221" s="594"/>
      <c r="E221" s="594"/>
      <c r="F221" s="594"/>
      <c r="G221" s="594"/>
      <c r="H221" s="594"/>
      <c r="I221" s="594"/>
      <c r="J221" s="594"/>
      <c r="K221" s="68"/>
      <c r="L221" s="472"/>
      <c r="M221" s="472"/>
      <c r="N221" s="68"/>
      <c r="O221" s="472"/>
      <c r="P221" s="472"/>
      <c r="Q221" s="472"/>
      <c r="R221" s="472"/>
      <c r="S221" s="472"/>
      <c r="T221" s="472"/>
      <c r="U221" s="472"/>
      <c r="V221" s="472"/>
      <c r="W221" s="472"/>
      <c r="X221" s="472"/>
      <c r="Y221" s="472"/>
    </row>
    <row r="222" spans="1:25" x14ac:dyDescent="0.35">
      <c r="A222" s="475" t="s">
        <v>558</v>
      </c>
      <c r="B222" s="38" t="s">
        <v>401</v>
      </c>
      <c r="C222" s="489">
        <v>5270</v>
      </c>
      <c r="D222" s="490" t="s">
        <v>559</v>
      </c>
      <c r="E222" s="475" t="s">
        <v>476</v>
      </c>
      <c r="F222" s="489">
        <v>1</v>
      </c>
      <c r="G222" s="490" t="s">
        <v>524</v>
      </c>
      <c r="H222" s="475"/>
      <c r="I222" s="475"/>
      <c r="J222" s="475"/>
      <c r="K222" s="475"/>
      <c r="L222" s="475"/>
      <c r="M222" s="475"/>
      <c r="N222" s="475"/>
      <c r="O222" s="475"/>
      <c r="P222" s="475"/>
      <c r="Q222" s="475"/>
      <c r="R222" s="475"/>
      <c r="S222" s="475"/>
      <c r="T222" s="475"/>
      <c r="U222" s="475"/>
      <c r="V222" s="475"/>
      <c r="W222" s="475"/>
      <c r="X222" s="475"/>
      <c r="Y222" s="475"/>
    </row>
    <row r="223" spans="1:25" ht="16" x14ac:dyDescent="0.4">
      <c r="A223" s="55" t="s">
        <v>525</v>
      </c>
      <c r="B223" s="37"/>
      <c r="C223" s="491">
        <v>1</v>
      </c>
      <c r="D223" s="475" t="s">
        <v>524</v>
      </c>
      <c r="E223" s="42"/>
      <c r="F223" s="484">
        <v>10040</v>
      </c>
      <c r="G223" s="475" t="s">
        <v>526</v>
      </c>
      <c r="H223" s="475"/>
      <c r="I223" s="475"/>
      <c r="J223" s="475"/>
      <c r="K223" s="475"/>
      <c r="L223" s="475"/>
      <c r="M223" s="475"/>
      <c r="N223" s="475"/>
      <c r="O223" s="475"/>
      <c r="P223" s="475"/>
      <c r="Q223" s="475"/>
      <c r="R223" s="475"/>
      <c r="S223" s="475"/>
      <c r="T223" s="475"/>
      <c r="U223" s="475"/>
      <c r="V223" s="475"/>
      <c r="W223" s="475"/>
      <c r="X223" s="475"/>
      <c r="Y223" s="475"/>
    </row>
    <row r="224" spans="1:25" ht="17" x14ac:dyDescent="0.45">
      <c r="A224" s="56"/>
      <c r="B224" s="38" t="s">
        <v>401</v>
      </c>
      <c r="C224" s="57">
        <f>C222/F223</f>
        <v>0.52490039840637448</v>
      </c>
      <c r="D224" s="44" t="s">
        <v>560</v>
      </c>
      <c r="E224" s="42"/>
      <c r="F224" s="42"/>
      <c r="G224" s="42"/>
      <c r="H224" s="475"/>
      <c r="I224" s="475"/>
      <c r="J224" s="475"/>
      <c r="K224" s="475"/>
      <c r="L224" s="475"/>
      <c r="M224" s="475"/>
      <c r="N224" s="475"/>
      <c r="O224" s="475"/>
      <c r="P224" s="475"/>
      <c r="Q224" s="475"/>
      <c r="R224" s="475"/>
      <c r="S224" s="475"/>
      <c r="T224" s="475"/>
      <c r="U224" s="475"/>
      <c r="V224" s="475"/>
      <c r="W224" s="475"/>
      <c r="X224" s="475"/>
      <c r="Y224" s="475"/>
    </row>
    <row r="225" spans="1:25" x14ac:dyDescent="0.35">
      <c r="A225" s="42"/>
      <c r="B225" s="475"/>
      <c r="C225" s="475"/>
      <c r="D225" s="475"/>
      <c r="E225" s="475"/>
      <c r="F225" s="475"/>
      <c r="G225" s="475"/>
      <c r="H225" s="42"/>
      <c r="I225" s="42"/>
      <c r="J225" s="42"/>
      <c r="K225" s="42"/>
      <c r="L225" s="42"/>
      <c r="M225" s="42"/>
      <c r="N225" s="42"/>
      <c r="O225" s="42"/>
      <c r="P225" s="42"/>
      <c r="Q225" s="475"/>
      <c r="R225" s="475"/>
      <c r="S225" s="475"/>
      <c r="T225" s="475"/>
      <c r="U225" s="475"/>
      <c r="V225" s="475"/>
      <c r="W225" s="475"/>
      <c r="X225" s="475"/>
      <c r="Y225" s="475"/>
    </row>
    <row r="226" spans="1:25" ht="16" x14ac:dyDescent="0.4">
      <c r="A226" s="475" t="s">
        <v>561</v>
      </c>
      <c r="B226" s="38" t="s">
        <v>401</v>
      </c>
      <c r="C226" s="489">
        <f>C15</f>
        <v>6858.393508587802</v>
      </c>
      <c r="D226" s="490" t="s">
        <v>526</v>
      </c>
      <c r="E226" s="475" t="s">
        <v>476</v>
      </c>
      <c r="F226" s="492">
        <f>C224</f>
        <v>0.52490039840637448</v>
      </c>
      <c r="G226" s="490" t="s">
        <v>562</v>
      </c>
      <c r="H226" s="42"/>
      <c r="I226" s="42"/>
      <c r="J226" s="42"/>
      <c r="K226" s="42"/>
      <c r="L226" s="42"/>
      <c r="M226" s="42"/>
      <c r="N226" s="42"/>
      <c r="O226" s="42"/>
      <c r="P226" s="42"/>
      <c r="Q226" s="475"/>
      <c r="R226" s="475"/>
      <c r="S226" s="475"/>
      <c r="T226" s="475"/>
      <c r="U226" s="475"/>
      <c r="V226" s="475"/>
      <c r="W226" s="475"/>
      <c r="X226" s="475"/>
      <c r="Y226" s="475"/>
    </row>
    <row r="227" spans="1:25" ht="16" x14ac:dyDescent="0.4">
      <c r="A227" s="42"/>
      <c r="B227" s="37"/>
      <c r="C227" s="491">
        <v>1</v>
      </c>
      <c r="D227" s="475" t="s">
        <v>524</v>
      </c>
      <c r="E227" s="42"/>
      <c r="F227" s="475">
        <v>1</v>
      </c>
      <c r="G227" s="475" t="s">
        <v>530</v>
      </c>
      <c r="H227" s="42"/>
      <c r="I227" s="42"/>
      <c r="J227" s="42"/>
      <c r="K227" s="42"/>
      <c r="L227" s="42"/>
      <c r="M227" s="42"/>
      <c r="N227" s="42"/>
      <c r="O227" s="42"/>
      <c r="P227" s="42"/>
      <c r="Q227" s="475"/>
      <c r="R227" s="475"/>
      <c r="S227" s="475"/>
      <c r="T227" s="475"/>
      <c r="U227" s="475"/>
      <c r="V227" s="475"/>
      <c r="W227" s="475"/>
      <c r="X227" s="475"/>
      <c r="Y227" s="475"/>
    </row>
    <row r="228" spans="1:25" x14ac:dyDescent="0.35">
      <c r="A228" s="42"/>
      <c r="B228" s="38" t="s">
        <v>401</v>
      </c>
      <c r="C228" s="43">
        <f>C226*F226</f>
        <v>3599.9734850854297</v>
      </c>
      <c r="D228" s="44" t="s">
        <v>562</v>
      </c>
      <c r="E228" s="42"/>
      <c r="F228" s="42"/>
      <c r="G228" s="42"/>
      <c r="H228" s="42"/>
      <c r="I228" s="42"/>
      <c r="J228" s="42"/>
      <c r="K228" s="42"/>
      <c r="L228" s="42"/>
      <c r="M228" s="42"/>
      <c r="N228" s="42"/>
      <c r="O228" s="42"/>
      <c r="P228" s="42"/>
      <c r="Q228" s="475"/>
      <c r="R228" s="475"/>
      <c r="S228" s="475"/>
      <c r="T228" s="475"/>
      <c r="U228" s="475"/>
      <c r="V228" s="475"/>
      <c r="W228" s="475"/>
      <c r="X228" s="475"/>
      <c r="Y228" s="475"/>
    </row>
    <row r="229" spans="1:25" x14ac:dyDescent="0.35">
      <c r="A229" s="42"/>
      <c r="B229" s="38"/>
      <c r="C229" s="43"/>
      <c r="D229" s="44"/>
      <c r="E229" s="42"/>
      <c r="F229" s="42"/>
      <c r="G229" s="42"/>
      <c r="H229" s="42"/>
      <c r="I229" s="42"/>
      <c r="J229" s="42"/>
      <c r="K229" s="42"/>
      <c r="L229" s="42"/>
      <c r="M229" s="42"/>
      <c r="N229" s="42"/>
      <c r="O229" s="42"/>
      <c r="P229" s="42"/>
      <c r="Q229" s="475"/>
      <c r="R229" s="475"/>
      <c r="S229" s="475"/>
      <c r="T229" s="475"/>
      <c r="U229" s="475"/>
      <c r="V229" s="475"/>
      <c r="W229" s="475"/>
      <c r="X229" s="475"/>
      <c r="Y229" s="475"/>
    </row>
    <row r="230" spans="1:25" x14ac:dyDescent="0.35">
      <c r="A230" s="472" t="s">
        <v>558</v>
      </c>
      <c r="B230" s="494" t="s">
        <v>401</v>
      </c>
      <c r="C230" s="495">
        <f>C228</f>
        <v>3599.9734850854297</v>
      </c>
      <c r="D230" s="496" t="s">
        <v>559</v>
      </c>
      <c r="E230" s="494" t="s">
        <v>476</v>
      </c>
      <c r="F230" s="497">
        <v>3.7850000000000001</v>
      </c>
      <c r="G230" s="496" t="s">
        <v>524</v>
      </c>
      <c r="H230" s="494" t="s">
        <v>476</v>
      </c>
      <c r="I230" s="495">
        <v>1</v>
      </c>
      <c r="J230" s="496" t="s">
        <v>508</v>
      </c>
      <c r="K230" s="494" t="s">
        <v>476</v>
      </c>
      <c r="L230" s="498">
        <f>C13-C98</f>
        <v>851</v>
      </c>
      <c r="M230" s="496" t="s">
        <v>278</v>
      </c>
      <c r="N230" s="494" t="s">
        <v>476</v>
      </c>
      <c r="O230" s="495">
        <v>1440</v>
      </c>
      <c r="P230" s="496" t="s">
        <v>477</v>
      </c>
      <c r="Q230" s="472"/>
      <c r="R230" s="472"/>
      <c r="S230" s="472"/>
      <c r="T230" s="472"/>
      <c r="U230" s="472"/>
      <c r="V230" s="475"/>
      <c r="W230" s="475"/>
      <c r="X230" s="475"/>
      <c r="Y230" s="475"/>
    </row>
    <row r="231" spans="1:25" x14ac:dyDescent="0.35">
      <c r="A231" s="472"/>
      <c r="B231" s="494"/>
      <c r="C231" s="494">
        <v>1</v>
      </c>
      <c r="D231" s="494" t="s">
        <v>524</v>
      </c>
      <c r="E231" s="494"/>
      <c r="F231" s="494">
        <v>1</v>
      </c>
      <c r="G231" s="494" t="s">
        <v>278</v>
      </c>
      <c r="H231" s="494"/>
      <c r="I231" s="499">
        <v>454000</v>
      </c>
      <c r="J231" s="494" t="s">
        <v>532</v>
      </c>
      <c r="K231" s="494"/>
      <c r="L231" s="499">
        <v>1</v>
      </c>
      <c r="M231" s="494" t="s">
        <v>477</v>
      </c>
      <c r="N231" s="494"/>
      <c r="O231" s="499">
        <v>1</v>
      </c>
      <c r="P231" s="494" t="s">
        <v>510</v>
      </c>
      <c r="Q231" s="472"/>
      <c r="R231" s="472"/>
      <c r="S231" s="472"/>
      <c r="T231" s="472"/>
      <c r="U231" s="472"/>
      <c r="V231" s="475"/>
      <c r="W231" s="475"/>
      <c r="X231" s="475"/>
      <c r="Y231" s="475"/>
    </row>
    <row r="232" spans="1:25" x14ac:dyDescent="0.35">
      <c r="A232" s="472"/>
      <c r="B232" s="494" t="s">
        <v>401</v>
      </c>
      <c r="C232" s="69">
        <f>C230*F230*L230*O230/I231</f>
        <v>36779.124352701081</v>
      </c>
      <c r="D232" s="70" t="s">
        <v>563</v>
      </c>
      <c r="E232" s="494"/>
      <c r="F232" s="494"/>
      <c r="G232" s="494"/>
      <c r="H232" s="494"/>
      <c r="I232" s="494"/>
      <c r="J232" s="494"/>
      <c r="K232" s="494"/>
      <c r="L232" s="494"/>
      <c r="M232" s="494"/>
      <c r="N232" s="494"/>
      <c r="O232" s="494"/>
      <c r="P232" s="494"/>
      <c r="Q232" s="494"/>
      <c r="R232" s="494"/>
      <c r="S232" s="494"/>
      <c r="T232" s="494"/>
      <c r="U232" s="494"/>
      <c r="V232" s="494"/>
      <c r="W232" s="494"/>
      <c r="X232" s="494"/>
      <c r="Y232" s="475"/>
    </row>
    <row r="233" spans="1:25" x14ac:dyDescent="0.35">
      <c r="A233" s="42"/>
      <c r="B233" s="38"/>
      <c r="C233" s="43"/>
      <c r="D233" s="44"/>
      <c r="E233" s="42"/>
      <c r="F233" s="42"/>
      <c r="G233" s="42"/>
      <c r="H233" s="42"/>
      <c r="I233" s="42"/>
      <c r="J233" s="42"/>
      <c r="K233" s="42"/>
      <c r="L233" s="42"/>
      <c r="M233" s="42"/>
      <c r="N233" s="42"/>
      <c r="O233" s="42"/>
      <c r="P233" s="42"/>
      <c r="Q233" s="475"/>
      <c r="R233" s="475"/>
      <c r="S233" s="475"/>
      <c r="T233" s="475"/>
      <c r="U233" s="475"/>
      <c r="V233" s="475"/>
      <c r="W233" s="475"/>
      <c r="X233" s="475"/>
      <c r="Y233" s="475"/>
    </row>
    <row r="234" spans="1:25" ht="16" x14ac:dyDescent="0.4">
      <c r="A234" s="472" t="s">
        <v>564</v>
      </c>
      <c r="B234" s="494" t="s">
        <v>401</v>
      </c>
      <c r="C234" s="495">
        <f>C232</f>
        <v>36779.124352701081</v>
      </c>
      <c r="D234" s="496" t="s">
        <v>508</v>
      </c>
      <c r="E234" s="494" t="s">
        <v>476</v>
      </c>
      <c r="F234" s="500">
        <v>1</v>
      </c>
      <c r="G234" s="496" t="s">
        <v>509</v>
      </c>
      <c r="H234" s="494" t="s">
        <v>476</v>
      </c>
      <c r="I234" s="496">
        <v>1</v>
      </c>
      <c r="J234" s="496" t="s">
        <v>524</v>
      </c>
      <c r="K234" s="494" t="s">
        <v>476</v>
      </c>
      <c r="L234" s="496">
        <v>1</v>
      </c>
      <c r="M234" s="496" t="s">
        <v>510</v>
      </c>
      <c r="N234" s="494" t="s">
        <v>476</v>
      </c>
      <c r="O234" s="496">
        <v>1</v>
      </c>
      <c r="P234" s="496" t="s">
        <v>565</v>
      </c>
      <c r="Q234" s="494" t="s">
        <v>476</v>
      </c>
      <c r="R234" s="496">
        <v>1</v>
      </c>
      <c r="S234" s="496"/>
      <c r="T234" s="494" t="s">
        <v>476</v>
      </c>
      <c r="U234" s="496">
        <v>1</v>
      </c>
      <c r="V234" s="496" t="s">
        <v>278</v>
      </c>
      <c r="W234" s="472" t="s">
        <v>476</v>
      </c>
      <c r="X234" s="501">
        <v>75</v>
      </c>
      <c r="Y234" s="501" t="s">
        <v>566</v>
      </c>
    </row>
    <row r="235" spans="1:25" x14ac:dyDescent="0.35">
      <c r="A235" s="472" t="s">
        <v>567</v>
      </c>
      <c r="B235" s="494"/>
      <c r="C235" s="499">
        <v>1</v>
      </c>
      <c r="D235" s="494" t="s">
        <v>510</v>
      </c>
      <c r="E235" s="494"/>
      <c r="F235" s="494">
        <v>2.2000000000000002</v>
      </c>
      <c r="G235" s="494" t="s">
        <v>508</v>
      </c>
      <c r="H235" s="494"/>
      <c r="I235" s="494">
        <v>1</v>
      </c>
      <c r="J235" s="494" t="s">
        <v>509</v>
      </c>
      <c r="K235" s="494"/>
      <c r="L235" s="494">
        <v>1440</v>
      </c>
      <c r="M235" s="494" t="s">
        <v>477</v>
      </c>
      <c r="N235" s="494"/>
      <c r="O235" s="502">
        <v>0.1</v>
      </c>
      <c r="P235" s="494" t="s">
        <v>568</v>
      </c>
      <c r="Q235" s="494"/>
      <c r="R235" s="494">
        <v>1.07</v>
      </c>
      <c r="S235" s="494" t="s">
        <v>515</v>
      </c>
      <c r="T235" s="494"/>
      <c r="U235" s="494">
        <v>3.7850000000000001</v>
      </c>
      <c r="V235" s="494" t="s">
        <v>524</v>
      </c>
      <c r="W235" s="472"/>
      <c r="X235" s="472">
        <v>56</v>
      </c>
      <c r="Y235" s="472" t="s">
        <v>559</v>
      </c>
    </row>
    <row r="236" spans="1:25" x14ac:dyDescent="0.35">
      <c r="A236" s="472"/>
      <c r="B236" s="494" t="s">
        <v>401</v>
      </c>
      <c r="C236" s="77">
        <f>ROUNDUP((C234*F234*I234*L234*O234*R234/R235/O235/F235/L235/U235*X234/X235),0)</f>
        <v>39</v>
      </c>
      <c r="D236" s="70" t="s">
        <v>264</v>
      </c>
      <c r="E236" s="494"/>
      <c r="F236" s="494"/>
      <c r="G236" s="494"/>
      <c r="H236" s="494"/>
      <c r="I236" s="494"/>
      <c r="J236" s="494"/>
      <c r="K236" s="494"/>
      <c r="L236" s="494"/>
      <c r="M236" s="494"/>
      <c r="N236" s="494"/>
      <c r="O236" s="494"/>
      <c r="P236" s="494"/>
      <c r="Q236" s="494"/>
      <c r="R236" s="494"/>
      <c r="S236" s="494"/>
      <c r="T236" s="494"/>
      <c r="U236" s="494"/>
      <c r="V236" s="494"/>
      <c r="W236" s="494"/>
      <c r="X236" s="494"/>
      <c r="Y236" s="472"/>
    </row>
    <row r="237" spans="1:25" x14ac:dyDescent="0.35">
      <c r="A237" s="472"/>
      <c r="B237" s="494"/>
      <c r="C237" s="499"/>
      <c r="D237" s="494"/>
      <c r="E237" s="494"/>
      <c r="F237" s="494"/>
      <c r="G237" s="494"/>
      <c r="H237" s="494"/>
      <c r="I237" s="494"/>
      <c r="J237" s="494"/>
      <c r="K237" s="494"/>
      <c r="L237" s="503"/>
      <c r="M237" s="494"/>
      <c r="N237" s="494"/>
      <c r="O237" s="494"/>
      <c r="P237" s="494"/>
      <c r="Q237" s="494"/>
      <c r="R237" s="494"/>
      <c r="S237" s="494"/>
      <c r="T237" s="494"/>
      <c r="U237" s="494"/>
      <c r="V237" s="494"/>
      <c r="W237" s="494"/>
      <c r="X237" s="494"/>
      <c r="Y237" s="472"/>
    </row>
    <row r="238" spans="1:25" x14ac:dyDescent="0.35">
      <c r="A238" s="472" t="s">
        <v>569</v>
      </c>
      <c r="B238" s="494" t="s">
        <v>401</v>
      </c>
      <c r="C238" s="495">
        <f>ROUNDUP(C234,0)</f>
        <v>36780</v>
      </c>
      <c r="D238" s="496" t="s">
        <v>570</v>
      </c>
      <c r="E238" s="494" t="s">
        <v>476</v>
      </c>
      <c r="F238" s="495">
        <v>1</v>
      </c>
      <c r="G238" s="496" t="s">
        <v>510</v>
      </c>
      <c r="H238" s="494" t="s">
        <v>476</v>
      </c>
      <c r="I238" s="495">
        <v>1</v>
      </c>
      <c r="J238" s="496" t="s">
        <v>477</v>
      </c>
      <c r="K238" s="494"/>
      <c r="L238" s="499"/>
      <c r="M238" s="494"/>
      <c r="N238" s="494"/>
      <c r="O238" s="499"/>
      <c r="P238" s="494"/>
      <c r="Q238" s="494"/>
      <c r="R238" s="499"/>
      <c r="S238" s="494"/>
      <c r="T238" s="472"/>
      <c r="U238" s="472"/>
      <c r="V238" s="472"/>
      <c r="W238" s="472"/>
      <c r="X238" s="472"/>
      <c r="Y238" s="472"/>
    </row>
    <row r="239" spans="1:25" x14ac:dyDescent="0.35">
      <c r="A239" s="472"/>
      <c r="B239" s="494"/>
      <c r="C239" s="494">
        <v>1</v>
      </c>
      <c r="D239" s="494" t="s">
        <v>510</v>
      </c>
      <c r="E239" s="494"/>
      <c r="F239" s="499">
        <v>1440</v>
      </c>
      <c r="G239" s="499" t="s">
        <v>477</v>
      </c>
      <c r="H239" s="499"/>
      <c r="I239" s="499">
        <f>C13</f>
        <v>1100</v>
      </c>
      <c r="J239" s="494" t="s">
        <v>278</v>
      </c>
      <c r="K239" s="494"/>
      <c r="L239" s="499"/>
      <c r="M239" s="494"/>
      <c r="N239" s="494"/>
      <c r="O239" s="499"/>
      <c r="P239" s="494"/>
      <c r="Q239" s="494"/>
      <c r="R239" s="499"/>
      <c r="S239" s="494"/>
      <c r="T239" s="472"/>
      <c r="U239" s="472"/>
      <c r="V239" s="472"/>
      <c r="W239" s="472"/>
      <c r="X239" s="472"/>
      <c r="Y239" s="472"/>
    </row>
    <row r="240" spans="1:25" x14ac:dyDescent="0.35">
      <c r="A240" s="472"/>
      <c r="B240" s="494" t="s">
        <v>401</v>
      </c>
      <c r="C240" s="382">
        <f>C238/F239/I239</f>
        <v>2.321969696969697E-2</v>
      </c>
      <c r="D240" s="71" t="s">
        <v>571</v>
      </c>
      <c r="E240" s="494"/>
      <c r="F240" s="499"/>
      <c r="G240" s="499"/>
      <c r="H240" s="499"/>
      <c r="I240" s="499"/>
      <c r="J240" s="494"/>
      <c r="K240" s="494"/>
      <c r="L240" s="494"/>
      <c r="M240" s="494"/>
      <c r="N240" s="494"/>
      <c r="O240" s="494"/>
      <c r="P240" s="494"/>
      <c r="Q240" s="494"/>
      <c r="R240" s="494"/>
      <c r="S240" s="494"/>
      <c r="T240" s="494"/>
      <c r="U240" s="494"/>
      <c r="V240" s="494"/>
      <c r="W240" s="494"/>
      <c r="X240" s="494"/>
      <c r="Y240" s="472"/>
    </row>
    <row r="241" spans="1:25" x14ac:dyDescent="0.35">
      <c r="A241" s="472"/>
      <c r="B241" s="494"/>
      <c r="C241" s="494"/>
      <c r="D241" s="494"/>
      <c r="E241" s="494"/>
      <c r="F241" s="499"/>
      <c r="G241" s="499"/>
      <c r="H241" s="499"/>
      <c r="I241" s="499"/>
      <c r="J241" s="494"/>
      <c r="K241" s="494"/>
      <c r="L241" s="503"/>
      <c r="M241" s="494"/>
      <c r="N241" s="494"/>
      <c r="O241" s="494"/>
      <c r="P241" s="494"/>
      <c r="Q241" s="494"/>
      <c r="R241" s="494"/>
      <c r="S241" s="494"/>
      <c r="T241" s="494"/>
      <c r="U241" s="494"/>
      <c r="V241" s="494"/>
      <c r="W241" s="494"/>
      <c r="X241" s="494"/>
      <c r="Y241" s="472"/>
    </row>
    <row r="242" spans="1:25" x14ac:dyDescent="0.35">
      <c r="A242" s="472" t="s">
        <v>572</v>
      </c>
      <c r="B242" s="494" t="s">
        <v>401</v>
      </c>
      <c r="C242" s="495">
        <f>C238</f>
        <v>36780</v>
      </c>
      <c r="D242" s="496" t="s">
        <v>573</v>
      </c>
      <c r="E242" s="494" t="s">
        <v>476</v>
      </c>
      <c r="F242" s="495">
        <v>365</v>
      </c>
      <c r="G242" s="495" t="s">
        <v>510</v>
      </c>
      <c r="H242" s="499" t="s">
        <v>476</v>
      </c>
      <c r="I242" s="495">
        <v>1</v>
      </c>
      <c r="J242" s="496" t="s">
        <v>574</v>
      </c>
      <c r="K242" s="472"/>
      <c r="L242" s="472"/>
      <c r="M242" s="472"/>
      <c r="N242" s="472"/>
      <c r="O242" s="472"/>
      <c r="P242" s="472"/>
      <c r="Q242" s="472"/>
      <c r="R242" s="472"/>
      <c r="S242" s="472"/>
      <c r="T242" s="472"/>
      <c r="U242" s="472"/>
      <c r="V242" s="472"/>
      <c r="W242" s="472"/>
      <c r="X242" s="472"/>
      <c r="Y242" s="472"/>
    </row>
    <row r="243" spans="1:25" x14ac:dyDescent="0.35">
      <c r="A243" s="472"/>
      <c r="B243" s="494"/>
      <c r="C243" s="494">
        <v>1</v>
      </c>
      <c r="D243" s="494" t="s">
        <v>510</v>
      </c>
      <c r="E243" s="494"/>
      <c r="F243" s="499">
        <v>1</v>
      </c>
      <c r="G243" s="499" t="s">
        <v>543</v>
      </c>
      <c r="H243" s="499"/>
      <c r="I243" s="499">
        <v>2000</v>
      </c>
      <c r="J243" s="494" t="s">
        <v>575</v>
      </c>
      <c r="K243" s="472"/>
      <c r="L243" s="472"/>
      <c r="M243" s="472"/>
      <c r="N243" s="472"/>
      <c r="O243" s="472"/>
      <c r="P243" s="472"/>
      <c r="Q243" s="472"/>
      <c r="R243" s="472"/>
      <c r="S243" s="472"/>
      <c r="T243" s="472"/>
      <c r="U243" s="472"/>
      <c r="V243" s="472"/>
      <c r="W243" s="472"/>
      <c r="X243" s="472"/>
      <c r="Y243" s="472"/>
    </row>
    <row r="244" spans="1:25" x14ac:dyDescent="0.35">
      <c r="A244" s="472"/>
      <c r="B244" s="494" t="s">
        <v>401</v>
      </c>
      <c r="C244" s="69">
        <f>ROUNDUP((C242*F242/I243),0)</f>
        <v>6713</v>
      </c>
      <c r="D244" s="70" t="s">
        <v>576</v>
      </c>
      <c r="E244" s="494"/>
      <c r="F244" s="494"/>
      <c r="G244" s="494"/>
      <c r="H244" s="494"/>
      <c r="I244" s="494"/>
      <c r="J244" s="494"/>
      <c r="K244" s="494"/>
      <c r="L244" s="503"/>
      <c r="M244" s="494"/>
      <c r="N244" s="494"/>
      <c r="O244" s="494"/>
      <c r="P244" s="494"/>
      <c r="Q244" s="494"/>
      <c r="R244" s="494"/>
      <c r="S244" s="494"/>
      <c r="T244" s="494"/>
      <c r="U244" s="494"/>
      <c r="V244" s="494"/>
      <c r="W244" s="494"/>
      <c r="X244" s="494"/>
      <c r="Y244" s="472"/>
    </row>
    <row r="245" spans="1:25" x14ac:dyDescent="0.35">
      <c r="A245" s="472"/>
      <c r="B245" s="494"/>
      <c r="C245" s="69"/>
      <c r="D245" s="70"/>
      <c r="E245" s="494"/>
      <c r="F245" s="494"/>
      <c r="G245" s="494"/>
      <c r="H245" s="494"/>
      <c r="I245" s="494"/>
      <c r="J245" s="494"/>
      <c r="K245" s="494"/>
      <c r="L245" s="503"/>
      <c r="M245" s="494"/>
      <c r="N245" s="494"/>
      <c r="O245" s="494"/>
      <c r="P245" s="494"/>
      <c r="Q245" s="494"/>
      <c r="R245" s="494"/>
      <c r="S245" s="494"/>
      <c r="T245" s="494"/>
      <c r="U245" s="494"/>
      <c r="V245" s="494"/>
      <c r="W245" s="494"/>
      <c r="X245" s="494"/>
      <c r="Y245" s="472"/>
    </row>
    <row r="246" spans="1:25" x14ac:dyDescent="0.35">
      <c r="A246" s="493" t="s">
        <v>577</v>
      </c>
      <c r="B246" s="38" t="s">
        <v>401</v>
      </c>
      <c r="C246" s="51">
        <f>C236+C98</f>
        <v>288</v>
      </c>
      <c r="D246" s="51" t="s">
        <v>264</v>
      </c>
      <c r="E246" s="37"/>
      <c r="F246" s="37"/>
      <c r="G246" s="37"/>
      <c r="H246" s="494"/>
      <c r="I246" s="494"/>
      <c r="J246" s="494"/>
      <c r="K246" s="494"/>
      <c r="L246" s="503"/>
      <c r="M246" s="494"/>
      <c r="N246" s="494"/>
      <c r="O246" s="494"/>
      <c r="P246" s="494"/>
      <c r="Q246" s="494"/>
      <c r="R246" s="494"/>
      <c r="S246" s="494"/>
      <c r="T246" s="494"/>
      <c r="U246" s="494"/>
      <c r="V246" s="494"/>
      <c r="W246" s="494"/>
      <c r="X246" s="494"/>
      <c r="Y246" s="472"/>
    </row>
    <row r="247" spans="1:25" x14ac:dyDescent="0.35">
      <c r="A247" s="493"/>
      <c r="B247" s="38"/>
      <c r="C247" s="51"/>
      <c r="D247" s="51"/>
      <c r="E247" s="37"/>
      <c r="F247" s="37"/>
      <c r="G247" s="37"/>
      <c r="H247" s="494"/>
      <c r="I247" s="494"/>
      <c r="J247" s="494"/>
      <c r="K247" s="494"/>
      <c r="L247" s="503"/>
      <c r="M247" s="494"/>
      <c r="N247" s="494"/>
      <c r="O247" s="494"/>
      <c r="P247" s="494"/>
      <c r="Q247" s="494"/>
      <c r="R247" s="494"/>
      <c r="S247" s="494"/>
      <c r="T247" s="494"/>
      <c r="U247" s="494"/>
      <c r="V247" s="494"/>
      <c r="W247" s="494"/>
      <c r="X247" s="494"/>
      <c r="Y247" s="472"/>
    </row>
    <row r="248" spans="1:25" x14ac:dyDescent="0.35">
      <c r="A248" s="64" t="s">
        <v>475</v>
      </c>
      <c r="B248" s="65" t="s">
        <v>401</v>
      </c>
      <c r="C248" s="39">
        <f>C246</f>
        <v>288</v>
      </c>
      <c r="D248" s="40" t="s">
        <v>278</v>
      </c>
      <c r="E248" s="37" t="s">
        <v>476</v>
      </c>
      <c r="F248" s="40">
        <v>5</v>
      </c>
      <c r="G248" s="40" t="s">
        <v>477</v>
      </c>
      <c r="H248" s="494"/>
      <c r="I248" s="494"/>
      <c r="J248" s="494"/>
      <c r="K248" s="494"/>
      <c r="L248" s="503"/>
      <c r="M248" s="494"/>
      <c r="N248" s="494"/>
      <c r="O248" s="494"/>
      <c r="P248" s="494"/>
      <c r="Q248" s="494"/>
      <c r="R248" s="494"/>
      <c r="S248" s="494"/>
      <c r="T248" s="494"/>
      <c r="U248" s="494"/>
      <c r="V248" s="494"/>
      <c r="W248" s="494"/>
      <c r="X248" s="494"/>
      <c r="Y248" s="472"/>
    </row>
    <row r="249" spans="1:25" x14ac:dyDescent="0.35">
      <c r="A249" s="64"/>
      <c r="B249" s="65"/>
      <c r="C249" s="60">
        <v>1</v>
      </c>
      <c r="D249" s="37" t="s">
        <v>477</v>
      </c>
      <c r="E249" s="37"/>
      <c r="F249" s="37"/>
      <c r="G249" s="37"/>
      <c r="H249" s="494"/>
      <c r="I249" s="494"/>
      <c r="J249" s="494"/>
      <c r="K249" s="494"/>
      <c r="L249" s="503"/>
      <c r="M249" s="494"/>
      <c r="N249" s="494"/>
      <c r="O249" s="494"/>
      <c r="P249" s="494"/>
      <c r="Q249" s="494"/>
      <c r="R249" s="494"/>
      <c r="S249" s="494"/>
      <c r="T249" s="494"/>
      <c r="U249" s="494"/>
      <c r="V249" s="494"/>
      <c r="W249" s="494"/>
      <c r="X249" s="494"/>
      <c r="Y249" s="472"/>
    </row>
    <row r="250" spans="1:25" x14ac:dyDescent="0.35">
      <c r="A250" s="64"/>
      <c r="B250" s="65" t="s">
        <v>401</v>
      </c>
      <c r="C250" s="66">
        <f>ROUNDUP((C248*F248),-2)</f>
        <v>1500</v>
      </c>
      <c r="D250" s="67" t="s">
        <v>278</v>
      </c>
      <c r="E250" s="37"/>
      <c r="F250" s="37"/>
      <c r="G250" s="37"/>
      <c r="H250" s="494"/>
      <c r="I250" s="494"/>
      <c r="J250" s="494"/>
      <c r="K250" s="494"/>
      <c r="L250" s="503"/>
      <c r="M250" s="494"/>
      <c r="N250" s="494"/>
      <c r="O250" s="494"/>
      <c r="P250" s="494"/>
      <c r="Q250" s="494"/>
      <c r="R250" s="494"/>
      <c r="S250" s="494"/>
      <c r="T250" s="494"/>
      <c r="U250" s="494"/>
      <c r="V250" s="494"/>
      <c r="W250" s="494"/>
      <c r="X250" s="494"/>
      <c r="Y250" s="472"/>
    </row>
    <row r="251" spans="1:25" x14ac:dyDescent="0.35">
      <c r="A251" s="64"/>
      <c r="B251" s="65"/>
      <c r="C251" s="60"/>
      <c r="D251" s="37"/>
      <c r="E251" s="37"/>
      <c r="F251" s="37"/>
      <c r="G251" s="37"/>
      <c r="H251" s="494"/>
      <c r="I251" s="494"/>
      <c r="J251" s="494"/>
      <c r="K251" s="494"/>
      <c r="L251" s="503"/>
      <c r="M251" s="494"/>
      <c r="N251" s="494"/>
      <c r="O251" s="494"/>
      <c r="P251" s="494"/>
      <c r="Q251" s="494"/>
      <c r="R251" s="494"/>
      <c r="S251" s="494"/>
      <c r="T251" s="494"/>
      <c r="U251" s="494"/>
      <c r="V251" s="494"/>
      <c r="W251" s="494"/>
      <c r="X251" s="494"/>
      <c r="Y251" s="472"/>
    </row>
    <row r="252" spans="1:25" ht="17" x14ac:dyDescent="0.35">
      <c r="A252" s="471"/>
      <c r="B252" s="473" t="s">
        <v>401</v>
      </c>
      <c r="C252" s="477">
        <f>C250</f>
        <v>1500</v>
      </c>
      <c r="D252" s="478" t="s">
        <v>278</v>
      </c>
      <c r="E252" s="471" t="s">
        <v>476</v>
      </c>
      <c r="F252" s="478">
        <v>1</v>
      </c>
      <c r="G252" s="478" t="s">
        <v>483</v>
      </c>
      <c r="H252" s="494"/>
      <c r="I252" s="494"/>
      <c r="J252" s="494"/>
      <c r="K252" s="494"/>
      <c r="L252" s="503"/>
      <c r="M252" s="494"/>
      <c r="N252" s="494"/>
      <c r="O252" s="494"/>
      <c r="P252" s="494"/>
      <c r="Q252" s="494"/>
      <c r="R252" s="494"/>
      <c r="S252" s="494"/>
      <c r="T252" s="494"/>
      <c r="U252" s="494"/>
      <c r="V252" s="494"/>
      <c r="W252" s="494"/>
      <c r="X252" s="494"/>
      <c r="Y252" s="472"/>
    </row>
    <row r="253" spans="1:25" x14ac:dyDescent="0.35">
      <c r="A253" s="471"/>
      <c r="B253" s="473"/>
      <c r="C253" s="28"/>
      <c r="D253" s="29"/>
      <c r="E253" s="471"/>
      <c r="F253" s="479">
        <v>7.4809999999999999</v>
      </c>
      <c r="G253" s="471" t="s">
        <v>278</v>
      </c>
      <c r="H253" s="494"/>
      <c r="I253" s="494"/>
      <c r="J253" s="494"/>
      <c r="K253" s="494"/>
      <c r="L253" s="503"/>
      <c r="M253" s="494"/>
      <c r="N253" s="494"/>
      <c r="O253" s="494"/>
      <c r="P253" s="494"/>
      <c r="Q253" s="494"/>
      <c r="R253" s="494"/>
      <c r="S253" s="494"/>
      <c r="T253" s="494"/>
      <c r="U253" s="494"/>
      <c r="V253" s="494"/>
      <c r="W253" s="494"/>
      <c r="X253" s="494"/>
      <c r="Y253" s="472"/>
    </row>
    <row r="254" spans="1:25" ht="16.5" x14ac:dyDescent="0.35">
      <c r="A254" s="471"/>
      <c r="B254" s="473" t="s">
        <v>401</v>
      </c>
      <c r="C254" s="28">
        <f>C252/F253</f>
        <v>200.50795348215479</v>
      </c>
      <c r="D254" s="29" t="s">
        <v>484</v>
      </c>
      <c r="E254" s="471"/>
      <c r="F254" s="471"/>
      <c r="G254" s="471"/>
      <c r="H254" s="494"/>
      <c r="I254" s="494"/>
      <c r="J254" s="494"/>
      <c r="K254" s="494"/>
      <c r="L254" s="503"/>
      <c r="M254" s="494"/>
      <c r="N254" s="494"/>
      <c r="O254" s="494"/>
      <c r="P254" s="494"/>
      <c r="Q254" s="494"/>
      <c r="R254" s="494"/>
      <c r="S254" s="494"/>
      <c r="T254" s="494"/>
      <c r="U254" s="494"/>
      <c r="V254" s="494"/>
      <c r="W254" s="494"/>
      <c r="X254" s="494"/>
      <c r="Y254" s="472"/>
    </row>
    <row r="255" spans="1:25" x14ac:dyDescent="0.35">
      <c r="A255" s="471"/>
      <c r="B255" s="473"/>
      <c r="C255" s="28"/>
      <c r="D255" s="29"/>
      <c r="E255" s="471"/>
      <c r="F255" s="471"/>
      <c r="G255" s="471"/>
      <c r="H255" s="494"/>
      <c r="I255" s="494"/>
      <c r="J255" s="494"/>
      <c r="K255" s="494"/>
      <c r="L255" s="503"/>
      <c r="M255" s="494"/>
      <c r="N255" s="494"/>
      <c r="O255" s="494"/>
      <c r="P255" s="494"/>
      <c r="Q255" s="494"/>
      <c r="R255" s="494"/>
      <c r="S255" s="494"/>
      <c r="T255" s="494"/>
      <c r="U255" s="494"/>
      <c r="V255" s="494"/>
      <c r="W255" s="494"/>
      <c r="X255" s="494"/>
      <c r="Y255" s="472"/>
    </row>
    <row r="256" spans="1:25" x14ac:dyDescent="0.35">
      <c r="A256" s="471" t="s">
        <v>485</v>
      </c>
      <c r="B256" s="473" t="s">
        <v>401</v>
      </c>
      <c r="C256" s="326">
        <v>6</v>
      </c>
      <c r="D256" s="327" t="s">
        <v>218</v>
      </c>
      <c r="E256" s="471"/>
      <c r="F256" s="471"/>
      <c r="G256" s="471"/>
      <c r="H256" s="494"/>
      <c r="I256" s="494"/>
      <c r="J256" s="494"/>
      <c r="K256" s="494"/>
      <c r="L256" s="503"/>
      <c r="M256" s="494"/>
      <c r="N256" s="494"/>
      <c r="O256" s="494"/>
      <c r="P256" s="494"/>
      <c r="Q256" s="494"/>
      <c r="R256" s="494"/>
      <c r="S256" s="494"/>
      <c r="T256" s="494"/>
      <c r="U256" s="494"/>
      <c r="V256" s="494"/>
      <c r="W256" s="494"/>
      <c r="X256" s="494"/>
      <c r="Y256" s="472"/>
    </row>
    <row r="257" spans="1:25" x14ac:dyDescent="0.35">
      <c r="A257" s="471"/>
      <c r="B257" s="473"/>
      <c r="C257" s="28"/>
      <c r="D257" s="29"/>
      <c r="E257" s="471"/>
      <c r="F257" s="471"/>
      <c r="G257" s="471"/>
      <c r="H257" s="494"/>
      <c r="I257" s="494"/>
      <c r="J257" s="494"/>
      <c r="K257" s="494"/>
      <c r="L257" s="503"/>
      <c r="M257" s="494"/>
      <c r="N257" s="494"/>
      <c r="O257" s="494"/>
      <c r="P257" s="494"/>
      <c r="Q257" s="494"/>
      <c r="R257" s="494"/>
      <c r="S257" s="494"/>
      <c r="T257" s="494"/>
      <c r="U257" s="494"/>
      <c r="V257" s="494"/>
      <c r="W257" s="494"/>
      <c r="X257" s="494"/>
      <c r="Y257" s="472"/>
    </row>
    <row r="258" spans="1:25" ht="17" x14ac:dyDescent="0.35">
      <c r="A258" s="471" t="s">
        <v>486</v>
      </c>
      <c r="B258" s="45" t="s">
        <v>401</v>
      </c>
      <c r="C258" s="480">
        <f>C254</f>
        <v>200.50795348215479</v>
      </c>
      <c r="D258" s="478" t="s">
        <v>483</v>
      </c>
      <c r="E258" s="471" t="s">
        <v>476</v>
      </c>
      <c r="F258" s="481">
        <v>4</v>
      </c>
      <c r="G258" s="46">
        <v>0.5</v>
      </c>
      <c r="H258" s="494"/>
      <c r="I258" s="494"/>
      <c r="J258" s="494"/>
      <c r="K258" s="494"/>
      <c r="L258" s="503"/>
      <c r="M258" s="494"/>
      <c r="N258" s="494"/>
      <c r="O258" s="494"/>
      <c r="P258" s="494"/>
      <c r="Q258" s="494"/>
      <c r="R258" s="494"/>
      <c r="S258" s="494"/>
      <c r="T258" s="494"/>
      <c r="U258" s="494"/>
      <c r="V258" s="494"/>
      <c r="W258" s="494"/>
      <c r="X258" s="494"/>
      <c r="Y258" s="472"/>
    </row>
    <row r="259" spans="1:25" x14ac:dyDescent="0.35">
      <c r="A259" s="471"/>
      <c r="B259" s="471"/>
      <c r="C259" s="482">
        <f>C256</f>
        <v>6</v>
      </c>
      <c r="D259" s="471" t="s">
        <v>218</v>
      </c>
      <c r="E259" s="471"/>
      <c r="F259" s="483" t="s">
        <v>487</v>
      </c>
      <c r="G259" s="471"/>
      <c r="H259" s="494"/>
      <c r="I259" s="494"/>
      <c r="J259" s="494"/>
      <c r="K259" s="494"/>
      <c r="L259" s="503"/>
      <c r="M259" s="494"/>
      <c r="N259" s="494"/>
      <c r="O259" s="494"/>
      <c r="P259" s="494"/>
      <c r="Q259" s="494"/>
      <c r="R259" s="494"/>
      <c r="S259" s="494"/>
      <c r="T259" s="494"/>
      <c r="U259" s="494"/>
      <c r="V259" s="494"/>
      <c r="W259" s="494"/>
      <c r="X259" s="494"/>
      <c r="Y259" s="472"/>
    </row>
    <row r="260" spans="1:25" x14ac:dyDescent="0.35">
      <c r="A260" s="471"/>
      <c r="B260" s="45" t="s">
        <v>401</v>
      </c>
      <c r="C260" s="47">
        <f>ROUNDUP(SQRT(C258/C259*F258/PI()),-0.5)</f>
        <v>7</v>
      </c>
      <c r="D260" s="29" t="s">
        <v>218</v>
      </c>
      <c r="E260" s="471"/>
      <c r="F260" s="471"/>
      <c r="G260" s="471"/>
      <c r="H260" s="494"/>
      <c r="I260" s="494"/>
      <c r="J260" s="494"/>
      <c r="K260" s="494"/>
      <c r="L260" s="503"/>
      <c r="M260" s="494"/>
      <c r="N260" s="494"/>
      <c r="O260" s="494"/>
      <c r="P260" s="494"/>
      <c r="Q260" s="494"/>
      <c r="R260" s="494"/>
      <c r="S260" s="494"/>
      <c r="T260" s="494"/>
      <c r="U260" s="494"/>
      <c r="V260" s="494"/>
      <c r="W260" s="494"/>
      <c r="X260" s="494"/>
      <c r="Y260" s="472"/>
    </row>
    <row r="261" spans="1:25" x14ac:dyDescent="0.35">
      <c r="A261" s="467"/>
      <c r="B261" s="467"/>
      <c r="C261" s="504"/>
      <c r="D261" s="467"/>
      <c r="E261" s="467"/>
      <c r="F261" s="467"/>
      <c r="G261" s="467"/>
      <c r="H261" s="467"/>
      <c r="I261" s="467"/>
      <c r="J261" s="467"/>
      <c r="K261" s="467"/>
      <c r="L261" s="467"/>
      <c r="M261" s="467"/>
      <c r="N261" s="467"/>
      <c r="O261" s="467"/>
      <c r="P261" s="467"/>
      <c r="Q261" s="467"/>
      <c r="R261" s="467"/>
      <c r="S261" s="467"/>
      <c r="T261" s="467"/>
      <c r="U261" s="467"/>
      <c r="V261" s="467"/>
      <c r="W261" s="467"/>
      <c r="X261" s="467"/>
      <c r="Y261" s="467"/>
    </row>
    <row r="262" spans="1:25" x14ac:dyDescent="0.35">
      <c r="A262" s="594" t="s">
        <v>578</v>
      </c>
      <c r="B262" s="594"/>
      <c r="C262" s="594"/>
      <c r="D262" s="594"/>
      <c r="E262" s="594"/>
      <c r="F262" s="594"/>
      <c r="G262" s="594"/>
      <c r="H262" s="594"/>
      <c r="I262" s="594"/>
      <c r="J262" s="594"/>
      <c r="K262" s="68"/>
      <c r="L262" s="472"/>
      <c r="M262" s="472"/>
      <c r="N262" s="68"/>
      <c r="O262" s="472"/>
      <c r="P262" s="472"/>
      <c r="Q262" s="472"/>
      <c r="R262" s="472"/>
      <c r="S262" s="472"/>
      <c r="T262" s="472"/>
      <c r="U262" s="472"/>
      <c r="V262" s="472"/>
      <c r="W262" s="472"/>
      <c r="X262" s="472"/>
      <c r="Y262" s="472"/>
    </row>
    <row r="263" spans="1:25" x14ac:dyDescent="0.35">
      <c r="A263" s="472" t="s">
        <v>579</v>
      </c>
      <c r="B263" s="494" t="s">
        <v>401</v>
      </c>
      <c r="C263" s="495">
        <v>10</v>
      </c>
      <c r="D263" s="496" t="s">
        <v>532</v>
      </c>
      <c r="E263" s="494" t="s">
        <v>476</v>
      </c>
      <c r="F263" s="505">
        <v>3.7850000000000001</v>
      </c>
      <c r="G263" s="496" t="s">
        <v>524</v>
      </c>
      <c r="H263" s="494" t="s">
        <v>476</v>
      </c>
      <c r="I263" s="495">
        <f>I239</f>
        <v>1100</v>
      </c>
      <c r="J263" s="496" t="s">
        <v>278</v>
      </c>
      <c r="K263" s="494" t="s">
        <v>476</v>
      </c>
      <c r="L263" s="496">
        <v>1</v>
      </c>
      <c r="M263" s="496" t="s">
        <v>508</v>
      </c>
      <c r="N263" s="472"/>
      <c r="O263" s="472"/>
      <c r="P263" s="472"/>
      <c r="Q263" s="472"/>
      <c r="R263" s="472"/>
      <c r="S263" s="472"/>
      <c r="T263" s="494"/>
      <c r="U263" s="494"/>
      <c r="V263" s="472"/>
      <c r="W263" s="472"/>
      <c r="X263" s="472"/>
      <c r="Y263" s="472"/>
    </row>
    <row r="264" spans="1:25" x14ac:dyDescent="0.35">
      <c r="A264" s="31" t="s">
        <v>580</v>
      </c>
      <c r="B264" s="494"/>
      <c r="C264" s="494">
        <v>1</v>
      </c>
      <c r="D264" s="494" t="s">
        <v>524</v>
      </c>
      <c r="E264" s="494"/>
      <c r="F264" s="494">
        <v>1</v>
      </c>
      <c r="G264" s="494" t="s">
        <v>278</v>
      </c>
      <c r="H264" s="494"/>
      <c r="I264" s="503"/>
      <c r="J264" s="494" t="s">
        <v>477</v>
      </c>
      <c r="K264" s="494"/>
      <c r="L264" s="499">
        <v>453600</v>
      </c>
      <c r="M264" s="494" t="s">
        <v>532</v>
      </c>
      <c r="N264" s="472"/>
      <c r="O264" s="472"/>
      <c r="P264" s="472"/>
      <c r="Q264" s="472"/>
      <c r="R264" s="472"/>
      <c r="S264" s="472"/>
      <c r="T264" s="494"/>
      <c r="U264" s="494"/>
      <c r="V264" s="472"/>
      <c r="W264" s="472"/>
      <c r="X264" s="472"/>
      <c r="Y264" s="472"/>
    </row>
    <row r="265" spans="1:25" x14ac:dyDescent="0.35">
      <c r="A265" s="472" t="s">
        <v>581</v>
      </c>
      <c r="B265" s="494" t="s">
        <v>401</v>
      </c>
      <c r="C265" s="73">
        <f>C263*F263*I263/L264</f>
        <v>9.1787918871252205E-2</v>
      </c>
      <c r="D265" s="70" t="s">
        <v>582</v>
      </c>
      <c r="E265" s="494"/>
      <c r="F265" s="494"/>
      <c r="G265" s="494"/>
      <c r="H265" s="494"/>
      <c r="I265" s="494"/>
      <c r="J265" s="494"/>
      <c r="K265" s="494"/>
      <c r="L265" s="503"/>
      <c r="M265" s="494"/>
      <c r="N265" s="494"/>
      <c r="O265" s="494"/>
      <c r="P265" s="494"/>
      <c r="Q265" s="494"/>
      <c r="R265" s="494"/>
      <c r="S265" s="494"/>
      <c r="T265" s="494"/>
      <c r="U265" s="494"/>
      <c r="V265" s="494"/>
      <c r="W265" s="494"/>
      <c r="X265" s="494"/>
      <c r="Y265" s="472"/>
    </row>
    <row r="266" spans="1:25" x14ac:dyDescent="0.35">
      <c r="A266" s="472"/>
      <c r="B266" s="494"/>
      <c r="C266" s="69"/>
      <c r="D266" s="70"/>
      <c r="E266" s="494"/>
      <c r="F266" s="494"/>
      <c r="G266" s="494"/>
      <c r="H266" s="494"/>
      <c r="I266" s="494"/>
      <c r="J266" s="494"/>
      <c r="K266" s="494"/>
      <c r="L266" s="503"/>
      <c r="M266" s="494"/>
      <c r="N266" s="494"/>
      <c r="O266" s="494"/>
      <c r="P266" s="494"/>
      <c r="Q266" s="494"/>
      <c r="R266" s="494"/>
      <c r="S266" s="494"/>
      <c r="T266" s="494"/>
      <c r="U266" s="494"/>
      <c r="V266" s="494"/>
      <c r="W266" s="494"/>
      <c r="X266" s="494"/>
      <c r="Y266" s="472"/>
    </row>
    <row r="267" spans="1:25" x14ac:dyDescent="0.35">
      <c r="A267" s="472" t="s">
        <v>583</v>
      </c>
      <c r="B267" s="494" t="s">
        <v>401</v>
      </c>
      <c r="C267" s="506">
        <f>C265</f>
        <v>9.1787918871252205E-2</v>
      </c>
      <c r="D267" s="496" t="s">
        <v>508</v>
      </c>
      <c r="E267" s="494" t="s">
        <v>476</v>
      </c>
      <c r="F267" s="496"/>
      <c r="G267" s="496"/>
      <c r="H267" s="494" t="s">
        <v>476</v>
      </c>
      <c r="I267" s="496">
        <v>1440</v>
      </c>
      <c r="J267" s="496" t="s">
        <v>477</v>
      </c>
      <c r="K267" s="494" t="s">
        <v>476</v>
      </c>
      <c r="L267" s="496">
        <v>365</v>
      </c>
      <c r="M267" s="496" t="s">
        <v>235</v>
      </c>
      <c r="N267" s="472"/>
      <c r="O267" s="472"/>
      <c r="P267" s="472"/>
      <c r="Q267" s="472"/>
      <c r="R267" s="472"/>
      <c r="S267" s="472"/>
      <c r="T267" s="472"/>
      <c r="U267" s="472"/>
      <c r="V267" s="472"/>
      <c r="W267" s="472"/>
      <c r="X267" s="472"/>
      <c r="Y267" s="472"/>
    </row>
    <row r="268" spans="1:25" x14ac:dyDescent="0.35">
      <c r="A268" s="472"/>
      <c r="B268" s="494"/>
      <c r="C268" s="494">
        <v>1</v>
      </c>
      <c r="D268" s="494" t="s">
        <v>477</v>
      </c>
      <c r="E268" s="494"/>
      <c r="F268" s="499">
        <f>I263</f>
        <v>1100</v>
      </c>
      <c r="G268" s="494" t="s">
        <v>264</v>
      </c>
      <c r="H268" s="494"/>
      <c r="I268" s="494">
        <v>1</v>
      </c>
      <c r="J268" s="494" t="s">
        <v>235</v>
      </c>
      <c r="K268" s="494"/>
      <c r="L268" s="494">
        <v>1</v>
      </c>
      <c r="M268" s="494" t="s">
        <v>543</v>
      </c>
      <c r="N268" s="472"/>
      <c r="O268" s="472"/>
      <c r="P268" s="472"/>
      <c r="Q268" s="472"/>
      <c r="R268" s="472"/>
      <c r="S268" s="472"/>
      <c r="T268" s="472"/>
      <c r="U268" s="472"/>
      <c r="V268" s="472"/>
      <c r="W268" s="472"/>
      <c r="X268" s="472"/>
      <c r="Y268" s="472"/>
    </row>
    <row r="269" spans="1:25" x14ac:dyDescent="0.35">
      <c r="A269" s="472"/>
      <c r="B269" s="494" t="s">
        <v>401</v>
      </c>
      <c r="C269" s="74">
        <f>C267/F268*I267*L267</f>
        <v>43.8579365079365</v>
      </c>
      <c r="D269" s="71" t="s">
        <v>584</v>
      </c>
      <c r="E269" s="494"/>
      <c r="F269" s="494"/>
      <c r="G269" s="494"/>
      <c r="H269" s="494"/>
      <c r="I269" s="494"/>
      <c r="J269" s="494"/>
      <c r="K269" s="494"/>
      <c r="L269" s="494"/>
      <c r="M269" s="494"/>
      <c r="N269" s="494"/>
      <c r="O269" s="494"/>
      <c r="P269" s="494"/>
      <c r="Q269" s="494"/>
      <c r="R269" s="494"/>
      <c r="S269" s="494"/>
      <c r="T269" s="494"/>
      <c r="U269" s="494"/>
      <c r="V269" s="494"/>
      <c r="W269" s="494"/>
      <c r="X269" s="494"/>
      <c r="Y269" s="472"/>
    </row>
    <row r="270" spans="1:25" x14ac:dyDescent="0.35">
      <c r="A270" s="471"/>
      <c r="B270" s="473"/>
      <c r="C270" s="75"/>
      <c r="D270" s="29"/>
      <c r="E270" s="471"/>
      <c r="F270" s="471"/>
      <c r="G270" s="471"/>
      <c r="H270" s="471"/>
      <c r="I270" s="471"/>
      <c r="J270" s="471"/>
      <c r="K270" s="471"/>
      <c r="L270" s="471"/>
      <c r="M270" s="471"/>
      <c r="N270" s="471"/>
      <c r="O270" s="471"/>
      <c r="P270" s="471"/>
      <c r="Q270" s="471"/>
      <c r="R270" s="471"/>
      <c r="S270" s="471"/>
      <c r="T270" s="471"/>
      <c r="U270" s="471"/>
      <c r="V270" s="471"/>
      <c r="W270" s="471"/>
      <c r="X270" s="471"/>
      <c r="Y270" s="471"/>
    </row>
    <row r="271" spans="1:25" x14ac:dyDescent="0.35">
      <c r="A271" s="472" t="s">
        <v>585</v>
      </c>
      <c r="B271" s="494" t="s">
        <v>401</v>
      </c>
      <c r="C271" s="506">
        <f>C265</f>
        <v>9.1787918871252205E-2</v>
      </c>
      <c r="D271" s="496" t="s">
        <v>508</v>
      </c>
      <c r="E271" s="494" t="s">
        <v>476</v>
      </c>
      <c r="F271" s="500">
        <v>1</v>
      </c>
      <c r="G271" s="496" t="s">
        <v>509</v>
      </c>
      <c r="H271" s="494" t="s">
        <v>476</v>
      </c>
      <c r="I271" s="496">
        <v>1</v>
      </c>
      <c r="J271" s="496" t="s">
        <v>524</v>
      </c>
      <c r="K271" s="494" t="s">
        <v>476</v>
      </c>
      <c r="L271" s="496">
        <v>60</v>
      </c>
      <c r="M271" s="496" t="s">
        <v>477</v>
      </c>
      <c r="N271" s="494" t="s">
        <v>476</v>
      </c>
      <c r="O271" s="496">
        <v>1</v>
      </c>
      <c r="P271" s="496" t="s">
        <v>565</v>
      </c>
      <c r="Q271" s="494" t="s">
        <v>476</v>
      </c>
      <c r="R271" s="496">
        <v>1</v>
      </c>
      <c r="S271" s="496"/>
      <c r="T271" s="494" t="s">
        <v>476</v>
      </c>
      <c r="U271" s="496">
        <v>1</v>
      </c>
      <c r="V271" s="496" t="s">
        <v>278</v>
      </c>
      <c r="W271" s="472"/>
      <c r="X271" s="472"/>
      <c r="Y271" s="472"/>
    </row>
    <row r="272" spans="1:25" x14ac:dyDescent="0.35">
      <c r="A272" s="472"/>
      <c r="B272" s="494"/>
      <c r="C272" s="494">
        <v>1</v>
      </c>
      <c r="D272" s="494" t="s">
        <v>477</v>
      </c>
      <c r="E272" s="494"/>
      <c r="F272" s="494">
        <v>2.2000000000000002</v>
      </c>
      <c r="G272" s="494" t="s">
        <v>508</v>
      </c>
      <c r="H272" s="494"/>
      <c r="I272" s="494">
        <v>1</v>
      </c>
      <c r="J272" s="494" t="s">
        <v>509</v>
      </c>
      <c r="K272" s="494"/>
      <c r="L272" s="494">
        <v>1</v>
      </c>
      <c r="M272" s="494" t="s">
        <v>586</v>
      </c>
      <c r="N272" s="494"/>
      <c r="O272" s="502">
        <v>1</v>
      </c>
      <c r="P272" s="494" t="s">
        <v>568</v>
      </c>
      <c r="Q272" s="494"/>
      <c r="R272" s="494">
        <v>1</v>
      </c>
      <c r="S272" s="494" t="s">
        <v>515</v>
      </c>
      <c r="T272" s="494"/>
      <c r="U272" s="494">
        <v>3.7850000000000001</v>
      </c>
      <c r="V272" s="494" t="s">
        <v>524</v>
      </c>
      <c r="W272" s="472"/>
      <c r="X272" s="472"/>
      <c r="Y272" s="472"/>
    </row>
    <row r="273" spans="1:25" x14ac:dyDescent="0.35">
      <c r="A273" s="472"/>
      <c r="B273" s="494" t="s">
        <v>401</v>
      </c>
      <c r="C273" s="76">
        <f>ROUNDUP((C271*L271/F272/O272/U272),2)</f>
        <v>0.67</v>
      </c>
      <c r="D273" s="70" t="s">
        <v>587</v>
      </c>
      <c r="E273" s="494"/>
      <c r="F273" s="494"/>
      <c r="G273" s="494"/>
      <c r="H273" s="494"/>
      <c r="I273" s="494"/>
      <c r="J273" s="494"/>
      <c r="K273" s="494"/>
      <c r="L273" s="494"/>
      <c r="M273" s="494"/>
      <c r="N273" s="494"/>
      <c r="O273" s="494"/>
      <c r="P273" s="494"/>
      <c r="Q273" s="494"/>
      <c r="R273" s="494"/>
      <c r="S273" s="494"/>
      <c r="T273" s="494"/>
      <c r="U273" s="494"/>
      <c r="V273" s="494"/>
      <c r="W273" s="494"/>
      <c r="X273" s="494"/>
      <c r="Y273" s="472"/>
    </row>
    <row r="274" spans="1:25" x14ac:dyDescent="0.35">
      <c r="A274" s="472"/>
      <c r="B274" s="494"/>
      <c r="C274" s="76"/>
      <c r="D274" s="70"/>
      <c r="E274" s="494"/>
      <c r="F274" s="494"/>
      <c r="G274" s="494"/>
      <c r="H274" s="494"/>
      <c r="I274" s="494"/>
      <c r="J274" s="494"/>
      <c r="K274" s="494"/>
      <c r="L274" s="494"/>
      <c r="M274" s="494"/>
      <c r="N274" s="494"/>
      <c r="O274" s="494"/>
      <c r="P274" s="494"/>
      <c r="Q274" s="494"/>
      <c r="R274" s="494"/>
      <c r="S274" s="494"/>
      <c r="T274" s="494"/>
      <c r="U274" s="494"/>
      <c r="V274" s="494"/>
      <c r="W274" s="494"/>
      <c r="X274" s="494"/>
      <c r="Y274" s="472"/>
    </row>
    <row r="275" spans="1:25" x14ac:dyDescent="0.35">
      <c r="A275" s="594" t="s">
        <v>588</v>
      </c>
      <c r="B275" s="594"/>
      <c r="C275" s="594"/>
      <c r="D275" s="594"/>
      <c r="E275" s="594"/>
      <c r="F275" s="594"/>
      <c r="G275" s="594"/>
      <c r="H275" s="594"/>
      <c r="I275" s="594"/>
      <c r="J275" s="594"/>
      <c r="K275" s="68"/>
      <c r="L275" s="472"/>
      <c r="M275" s="472"/>
      <c r="N275" s="68"/>
      <c r="O275" s="472"/>
      <c r="P275" s="472"/>
      <c r="Q275" s="472"/>
      <c r="R275" s="472"/>
      <c r="S275" s="472"/>
      <c r="T275" s="472"/>
      <c r="U275" s="472"/>
      <c r="V275" s="472"/>
      <c r="W275" s="472"/>
      <c r="X275" s="472"/>
      <c r="Y275" s="472"/>
    </row>
    <row r="276" spans="1:25" x14ac:dyDescent="0.35">
      <c r="A276" s="68"/>
      <c r="B276" s="68"/>
      <c r="C276" s="68"/>
      <c r="D276" s="68"/>
      <c r="E276" s="68"/>
      <c r="F276" s="68"/>
      <c r="G276" s="68"/>
      <c r="H276" s="68"/>
      <c r="I276" s="68"/>
      <c r="J276" s="68"/>
      <c r="K276" s="68"/>
      <c r="L276" s="472"/>
      <c r="M276" s="472"/>
      <c r="N276" s="68"/>
      <c r="O276" s="472"/>
      <c r="P276" s="472"/>
      <c r="Q276" s="472"/>
      <c r="R276" s="472"/>
      <c r="S276" s="472"/>
      <c r="T276" s="472"/>
      <c r="U276" s="472"/>
      <c r="V276" s="472"/>
      <c r="W276" s="472"/>
      <c r="X276" s="472"/>
      <c r="Y276" s="472"/>
    </row>
    <row r="277" spans="1:25" x14ac:dyDescent="0.35">
      <c r="A277" s="472" t="s">
        <v>589</v>
      </c>
      <c r="B277" s="494"/>
      <c r="C277" s="76"/>
      <c r="D277" s="70"/>
      <c r="E277" s="494"/>
      <c r="F277" s="494"/>
      <c r="G277" s="494"/>
      <c r="H277" s="494"/>
      <c r="I277" s="494"/>
      <c r="J277" s="494"/>
      <c r="K277" s="494"/>
      <c r="L277" s="494"/>
      <c r="M277" s="494"/>
      <c r="N277" s="494"/>
      <c r="O277" s="494"/>
      <c r="P277" s="494"/>
      <c r="Q277" s="494"/>
      <c r="R277" s="494"/>
      <c r="S277" s="494"/>
      <c r="T277" s="494"/>
      <c r="U277" s="494"/>
      <c r="V277" s="494"/>
      <c r="W277" s="494"/>
      <c r="X277" s="494"/>
      <c r="Y277" s="472"/>
    </row>
    <row r="278" spans="1:25" x14ac:dyDescent="0.35">
      <c r="A278" s="472"/>
      <c r="B278" s="494" t="s">
        <v>401</v>
      </c>
      <c r="C278" s="507">
        <v>1</v>
      </c>
      <c r="D278" s="496" t="s">
        <v>590</v>
      </c>
      <c r="E278" s="494" t="s">
        <v>476</v>
      </c>
      <c r="F278" s="496">
        <v>93</v>
      </c>
      <c r="G278" s="496" t="s">
        <v>591</v>
      </c>
      <c r="H278" s="494" t="s">
        <v>476</v>
      </c>
      <c r="I278" s="496">
        <v>1</v>
      </c>
      <c r="J278" s="496" t="s">
        <v>592</v>
      </c>
      <c r="K278" s="494" t="s">
        <v>476</v>
      </c>
      <c r="L278" s="496">
        <v>2</v>
      </c>
      <c r="M278" s="496" t="s">
        <v>593</v>
      </c>
      <c r="N278" s="494" t="s">
        <v>476</v>
      </c>
      <c r="O278" s="496">
        <v>1</v>
      </c>
      <c r="P278" s="496" t="s">
        <v>594</v>
      </c>
      <c r="Q278" s="494" t="s">
        <v>476</v>
      </c>
      <c r="R278" s="508">
        <v>36.46</v>
      </c>
      <c r="S278" s="496" t="s">
        <v>595</v>
      </c>
      <c r="T278" s="494" t="s">
        <v>476</v>
      </c>
      <c r="U278" s="496">
        <v>100</v>
      </c>
      <c r="V278" s="496" t="s">
        <v>596</v>
      </c>
      <c r="W278" s="494"/>
      <c r="X278" s="494"/>
      <c r="Y278" s="472"/>
    </row>
    <row r="279" spans="1:25" x14ac:dyDescent="0.35">
      <c r="A279" s="472"/>
      <c r="B279" s="494"/>
      <c r="C279" s="494">
        <v>1</v>
      </c>
      <c r="D279" s="494" t="s">
        <v>278</v>
      </c>
      <c r="E279" s="494"/>
      <c r="F279" s="494">
        <v>100</v>
      </c>
      <c r="G279" s="494" t="s">
        <v>597</v>
      </c>
      <c r="H279" s="494"/>
      <c r="I279" s="494">
        <v>98</v>
      </c>
      <c r="J279" s="494" t="s">
        <v>591</v>
      </c>
      <c r="K279" s="494"/>
      <c r="L279" s="494">
        <v>1</v>
      </c>
      <c r="M279" s="494" t="s">
        <v>598</v>
      </c>
      <c r="N279" s="494"/>
      <c r="O279" s="494">
        <v>1</v>
      </c>
      <c r="P279" s="494" t="s">
        <v>599</v>
      </c>
      <c r="Q279" s="494"/>
      <c r="R279" s="494">
        <v>1</v>
      </c>
      <c r="S279" s="494" t="s">
        <v>594</v>
      </c>
      <c r="T279" s="494"/>
      <c r="U279" s="494">
        <v>35</v>
      </c>
      <c r="V279" s="494" t="s">
        <v>595</v>
      </c>
      <c r="W279" s="494"/>
      <c r="X279" s="494"/>
      <c r="Y279" s="472"/>
    </row>
    <row r="280" spans="1:25" x14ac:dyDescent="0.35">
      <c r="A280" s="472" t="s">
        <v>600</v>
      </c>
      <c r="B280" s="494"/>
      <c r="C280" s="509">
        <f>+(C278*F278*I278*L278*O278*R278*U278)/(C279*F279*I279*L279*O279*R279*U279)</f>
        <v>1.977131195335277</v>
      </c>
      <c r="D280" s="494" t="s">
        <v>601</v>
      </c>
      <c r="E280" s="494"/>
      <c r="F280" s="494"/>
      <c r="G280" s="494"/>
      <c r="H280" s="494"/>
      <c r="I280" s="494"/>
      <c r="J280" s="494"/>
      <c r="K280" s="494"/>
      <c r="L280" s="494"/>
      <c r="M280" s="494"/>
      <c r="N280" s="494"/>
      <c r="O280" s="494"/>
      <c r="P280" s="494"/>
      <c r="Q280" s="494"/>
      <c r="R280" s="494"/>
      <c r="S280" s="494"/>
      <c r="T280" s="494"/>
      <c r="U280" s="494"/>
      <c r="V280" s="494"/>
      <c r="W280" s="494"/>
      <c r="X280" s="494"/>
      <c r="Y280" s="472"/>
    </row>
    <row r="281" spans="1:25" x14ac:dyDescent="0.35">
      <c r="A281" s="472"/>
      <c r="B281" s="494"/>
      <c r="C281" s="509"/>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72"/>
    </row>
    <row r="282" spans="1:25" x14ac:dyDescent="0.35">
      <c r="A282" s="472" t="s">
        <v>602</v>
      </c>
      <c r="B282" s="494" t="s">
        <v>401</v>
      </c>
      <c r="C282" s="497">
        <v>2.8000000000000001E-2</v>
      </c>
      <c r="D282" s="496" t="s">
        <v>603</v>
      </c>
      <c r="E282" s="494" t="s">
        <v>476</v>
      </c>
      <c r="F282" s="510">
        <v>1.98</v>
      </c>
      <c r="G282" s="496" t="s">
        <v>604</v>
      </c>
      <c r="H282" s="494"/>
      <c r="I282" s="494"/>
      <c r="J282" s="494"/>
      <c r="K282" s="494"/>
      <c r="L282" s="494"/>
      <c r="M282" s="472"/>
      <c r="N282" s="472"/>
      <c r="O282" s="472"/>
      <c r="P282" s="472"/>
      <c r="Q282" s="472"/>
      <c r="R282" s="472"/>
      <c r="S282" s="472"/>
      <c r="T282" s="472"/>
      <c r="U282" s="472"/>
      <c r="V282" s="472"/>
      <c r="W282" s="472"/>
      <c r="X282" s="472"/>
      <c r="Y282" s="472"/>
    </row>
    <row r="283" spans="1:25" x14ac:dyDescent="0.35">
      <c r="A283" s="31" t="s">
        <v>605</v>
      </c>
      <c r="B283" s="494"/>
      <c r="C283" s="499">
        <v>1000</v>
      </c>
      <c r="D283" s="494" t="s">
        <v>278</v>
      </c>
      <c r="E283" s="494"/>
      <c r="F283" s="499">
        <v>1</v>
      </c>
      <c r="G283" s="494" t="s">
        <v>603</v>
      </c>
      <c r="H283" s="494"/>
      <c r="I283" s="494"/>
      <c r="J283" s="494"/>
      <c r="K283" s="494"/>
      <c r="L283" s="494"/>
      <c r="M283" s="472"/>
      <c r="N283" s="472"/>
      <c r="O283" s="472"/>
      <c r="P283" s="472"/>
      <c r="Q283" s="472"/>
      <c r="R283" s="472"/>
      <c r="S283" s="472"/>
      <c r="T283" s="472"/>
      <c r="U283" s="472"/>
      <c r="V283" s="472"/>
      <c r="W283" s="472"/>
      <c r="X283" s="472"/>
      <c r="Y283" s="472"/>
    </row>
    <row r="284" spans="1:25" x14ac:dyDescent="0.35">
      <c r="A284" s="31" t="s">
        <v>606</v>
      </c>
      <c r="B284" s="494" t="s">
        <v>401</v>
      </c>
      <c r="C284" s="384">
        <f>C282*F282/C283/F283</f>
        <v>5.5440000000000005E-5</v>
      </c>
      <c r="D284" s="71" t="s">
        <v>607</v>
      </c>
      <c r="E284" s="494"/>
      <c r="F284" s="494"/>
      <c r="G284" s="494"/>
      <c r="H284" s="494"/>
      <c r="I284" s="494"/>
      <c r="J284" s="494"/>
      <c r="K284" s="494"/>
      <c r="L284" s="503"/>
      <c r="M284" s="494"/>
      <c r="N284" s="494"/>
      <c r="O284" s="494"/>
      <c r="P284" s="494"/>
      <c r="Q284" s="494"/>
      <c r="R284" s="494"/>
      <c r="S284" s="494"/>
      <c r="T284" s="494"/>
      <c r="U284" s="494"/>
      <c r="V284" s="494"/>
      <c r="W284" s="494"/>
      <c r="X284" s="494"/>
      <c r="Y284" s="472"/>
    </row>
    <row r="285" spans="1:25" x14ac:dyDescent="0.35">
      <c r="A285" s="472"/>
      <c r="B285" s="494"/>
      <c r="C285" s="69"/>
      <c r="D285" s="70"/>
      <c r="E285" s="494"/>
      <c r="F285" s="494"/>
      <c r="G285" s="494"/>
      <c r="H285" s="494"/>
      <c r="I285" s="494"/>
      <c r="J285" s="494"/>
      <c r="K285" s="494"/>
      <c r="L285" s="503"/>
      <c r="M285" s="494"/>
      <c r="N285" s="494"/>
      <c r="O285" s="494"/>
      <c r="P285" s="494"/>
      <c r="Q285" s="494"/>
      <c r="R285" s="494"/>
      <c r="S285" s="494"/>
      <c r="T285" s="494"/>
      <c r="U285" s="494"/>
      <c r="V285" s="494"/>
      <c r="W285" s="494"/>
      <c r="X285" s="494"/>
      <c r="Y285" s="472"/>
    </row>
    <row r="286" spans="1:25" x14ac:dyDescent="0.35">
      <c r="A286" s="472" t="s">
        <v>579</v>
      </c>
      <c r="B286" s="494" t="s">
        <v>401</v>
      </c>
      <c r="C286" s="511">
        <f>C284</f>
        <v>5.5440000000000005E-5</v>
      </c>
      <c r="D286" s="496" t="s">
        <v>575</v>
      </c>
      <c r="E286" s="494" t="s">
        <v>476</v>
      </c>
      <c r="F286" s="495">
        <v>453600</v>
      </c>
      <c r="G286" s="496" t="s">
        <v>532</v>
      </c>
      <c r="H286" s="494" t="s">
        <v>476</v>
      </c>
      <c r="I286" s="496">
        <v>1</v>
      </c>
      <c r="J286" s="496" t="s">
        <v>278</v>
      </c>
      <c r="K286" s="494"/>
      <c r="L286" s="494"/>
      <c r="M286" s="494"/>
      <c r="N286" s="494"/>
      <c r="O286" s="494"/>
      <c r="P286" s="494"/>
      <c r="Q286" s="494"/>
      <c r="R286" s="494"/>
      <c r="S286" s="472"/>
      <c r="T286" s="472"/>
      <c r="U286" s="472"/>
      <c r="V286" s="472"/>
      <c r="W286" s="472"/>
      <c r="X286" s="472"/>
      <c r="Y286" s="472"/>
    </row>
    <row r="287" spans="1:25" x14ac:dyDescent="0.35">
      <c r="A287" s="31"/>
      <c r="B287" s="494"/>
      <c r="C287" s="494">
        <v>1</v>
      </c>
      <c r="D287" s="494" t="s">
        <v>278</v>
      </c>
      <c r="E287" s="494"/>
      <c r="F287" s="494">
        <v>1</v>
      </c>
      <c r="G287" s="494" t="s">
        <v>508</v>
      </c>
      <c r="H287" s="494"/>
      <c r="I287" s="494">
        <v>3.7850000000000001</v>
      </c>
      <c r="J287" s="494" t="s">
        <v>524</v>
      </c>
      <c r="K287" s="494"/>
      <c r="L287" s="494"/>
      <c r="M287" s="494"/>
      <c r="N287" s="494"/>
      <c r="O287" s="494"/>
      <c r="P287" s="494"/>
      <c r="Q287" s="494"/>
      <c r="R287" s="494"/>
      <c r="S287" s="472"/>
      <c r="T287" s="472"/>
      <c r="U287" s="472"/>
      <c r="V287" s="472"/>
      <c r="W287" s="472"/>
      <c r="X287" s="472"/>
      <c r="Y287" s="472"/>
    </row>
    <row r="288" spans="1:25" x14ac:dyDescent="0.35">
      <c r="A288" s="472"/>
      <c r="B288" s="494" t="s">
        <v>401</v>
      </c>
      <c r="C288" s="73">
        <f>ROUNDUP((C286*F286/I287),2)</f>
        <v>6.6499999999999995</v>
      </c>
      <c r="D288" s="70" t="s">
        <v>453</v>
      </c>
      <c r="E288" s="494"/>
      <c r="F288" s="494"/>
      <c r="G288" s="494"/>
      <c r="H288" s="494"/>
      <c r="I288" s="494"/>
      <c r="J288" s="494"/>
      <c r="K288" s="494"/>
      <c r="L288" s="503"/>
      <c r="M288" s="494"/>
      <c r="N288" s="494"/>
      <c r="O288" s="494"/>
      <c r="P288" s="494"/>
      <c r="Q288" s="494"/>
      <c r="R288" s="494"/>
      <c r="S288" s="494"/>
      <c r="T288" s="494"/>
      <c r="U288" s="494"/>
      <c r="V288" s="494"/>
      <c r="W288" s="494"/>
      <c r="X288" s="494"/>
      <c r="Y288" s="472"/>
    </row>
    <row r="289" spans="1:25" x14ac:dyDescent="0.35">
      <c r="A289" s="472"/>
      <c r="B289" s="494"/>
      <c r="C289" s="69"/>
      <c r="D289" s="70"/>
      <c r="E289" s="494"/>
      <c r="F289" s="494"/>
      <c r="G289" s="494"/>
      <c r="H289" s="494"/>
      <c r="I289" s="494"/>
      <c r="J289" s="494"/>
      <c r="K289" s="494"/>
      <c r="L289" s="503"/>
      <c r="M289" s="494"/>
      <c r="N289" s="494"/>
      <c r="O289" s="494"/>
      <c r="P289" s="494"/>
      <c r="Q289" s="494"/>
      <c r="R289" s="494"/>
      <c r="S289" s="494"/>
      <c r="T289" s="494"/>
      <c r="U289" s="494"/>
      <c r="V289" s="494"/>
      <c r="W289" s="494"/>
      <c r="X289" s="494"/>
      <c r="Y289" s="472"/>
    </row>
    <row r="290" spans="1:25" x14ac:dyDescent="0.35">
      <c r="A290" s="472" t="s">
        <v>583</v>
      </c>
      <c r="B290" s="494" t="s">
        <v>401</v>
      </c>
      <c r="C290" s="506">
        <f>C288</f>
        <v>6.6499999999999995</v>
      </c>
      <c r="D290" s="496" t="s">
        <v>532</v>
      </c>
      <c r="E290" s="494" t="s">
        <v>476</v>
      </c>
      <c r="F290" s="495">
        <f>C20</f>
        <v>1500</v>
      </c>
      <c r="G290" s="496" t="s">
        <v>278</v>
      </c>
      <c r="H290" s="494" t="s">
        <v>476</v>
      </c>
      <c r="I290" s="497">
        <v>3.7850000000000001</v>
      </c>
      <c r="J290" s="496" t="s">
        <v>524</v>
      </c>
      <c r="K290" s="494" t="s">
        <v>476</v>
      </c>
      <c r="L290" s="495">
        <v>1</v>
      </c>
      <c r="M290" s="496" t="s">
        <v>508</v>
      </c>
      <c r="N290" s="472"/>
      <c r="O290" s="472"/>
      <c r="P290" s="472"/>
      <c r="Q290" s="472"/>
      <c r="R290" s="472"/>
      <c r="S290" s="472"/>
      <c r="T290" s="472"/>
      <c r="U290" s="472"/>
      <c r="V290" s="472"/>
      <c r="W290" s="472"/>
      <c r="X290" s="472"/>
      <c r="Y290" s="472"/>
    </row>
    <row r="291" spans="1:25" x14ac:dyDescent="0.35">
      <c r="A291" s="472"/>
      <c r="B291" s="494"/>
      <c r="C291" s="494">
        <v>1</v>
      </c>
      <c r="D291" s="494" t="s">
        <v>524</v>
      </c>
      <c r="E291" s="494"/>
      <c r="F291" s="499">
        <v>1</v>
      </c>
      <c r="G291" s="494" t="s">
        <v>477</v>
      </c>
      <c r="H291" s="494"/>
      <c r="I291" s="499">
        <v>1</v>
      </c>
      <c r="J291" s="494" t="s">
        <v>278</v>
      </c>
      <c r="K291" s="494"/>
      <c r="L291" s="499">
        <v>453600</v>
      </c>
      <c r="M291" s="494" t="s">
        <v>532</v>
      </c>
      <c r="N291" s="472"/>
      <c r="O291" s="472"/>
      <c r="P291" s="472"/>
      <c r="Q291" s="472"/>
      <c r="R291" s="472"/>
      <c r="S291" s="472"/>
      <c r="T291" s="472"/>
      <c r="U291" s="472"/>
      <c r="V291" s="472"/>
      <c r="W291" s="472"/>
      <c r="X291" s="472"/>
      <c r="Y291" s="472"/>
    </row>
    <row r="292" spans="1:25" x14ac:dyDescent="0.35">
      <c r="A292" s="472"/>
      <c r="B292" s="494" t="s">
        <v>401</v>
      </c>
      <c r="C292" s="383">
        <f>C290*F290*I290/L291</f>
        <v>8.3234953703703707E-2</v>
      </c>
      <c r="D292" s="71" t="s">
        <v>582</v>
      </c>
      <c r="E292" s="494"/>
      <c r="F292" s="494"/>
      <c r="G292" s="494"/>
      <c r="H292" s="494"/>
      <c r="I292" s="494"/>
      <c r="J292" s="494"/>
      <c r="K292" s="494"/>
      <c r="L292" s="494"/>
      <c r="M292" s="494"/>
      <c r="N292" s="494"/>
      <c r="O292" s="494"/>
      <c r="P292" s="494"/>
      <c r="Q292" s="494"/>
      <c r="R292" s="494"/>
      <c r="S292" s="494"/>
      <c r="T292" s="494"/>
      <c r="U292" s="494"/>
      <c r="V292" s="494"/>
      <c r="W292" s="494"/>
      <c r="X292" s="494"/>
      <c r="Y292" s="472"/>
    </row>
    <row r="293" spans="1:25" x14ac:dyDescent="0.35">
      <c r="A293" s="471"/>
      <c r="B293" s="473"/>
      <c r="C293" s="75"/>
      <c r="D293" s="29"/>
      <c r="E293" s="471"/>
      <c r="F293" s="471"/>
      <c r="G293" s="471"/>
      <c r="H293" s="471"/>
      <c r="I293" s="471"/>
      <c r="J293" s="471"/>
      <c r="K293" s="471"/>
      <c r="L293" s="471"/>
      <c r="M293" s="471"/>
      <c r="N293" s="471"/>
      <c r="O293" s="471"/>
      <c r="P293" s="471"/>
      <c r="Q293" s="471"/>
      <c r="R293" s="471"/>
      <c r="S293" s="471"/>
      <c r="T293" s="471"/>
      <c r="U293" s="471"/>
      <c r="V293" s="471"/>
      <c r="W293" s="471"/>
      <c r="X293" s="471"/>
      <c r="Y293" s="471"/>
    </row>
    <row r="294" spans="1:25" x14ac:dyDescent="0.35">
      <c r="A294" s="472" t="s">
        <v>585</v>
      </c>
      <c r="B294" s="494" t="s">
        <v>401</v>
      </c>
      <c r="C294" s="506">
        <f>C292</f>
        <v>8.3234953703703707E-2</v>
      </c>
      <c r="D294" s="496" t="s">
        <v>508</v>
      </c>
      <c r="E294" s="494" t="s">
        <v>476</v>
      </c>
      <c r="F294" s="500">
        <v>1</v>
      </c>
      <c r="G294" s="496" t="s">
        <v>509</v>
      </c>
      <c r="H294" s="494" t="s">
        <v>476</v>
      </c>
      <c r="I294" s="496">
        <v>1</v>
      </c>
      <c r="J294" s="496" t="s">
        <v>524</v>
      </c>
      <c r="K294" s="494" t="s">
        <v>476</v>
      </c>
      <c r="L294" s="496">
        <v>60</v>
      </c>
      <c r="M294" s="496" t="s">
        <v>477</v>
      </c>
      <c r="N294" s="494" t="s">
        <v>476</v>
      </c>
      <c r="O294" s="496">
        <v>1</v>
      </c>
      <c r="P294" s="496" t="s">
        <v>565</v>
      </c>
      <c r="Q294" s="494" t="s">
        <v>476</v>
      </c>
      <c r="R294" s="496">
        <v>1</v>
      </c>
      <c r="S294" s="496"/>
      <c r="T294" s="494" t="s">
        <v>476</v>
      </c>
      <c r="U294" s="496">
        <v>1</v>
      </c>
      <c r="V294" s="496" t="s">
        <v>278</v>
      </c>
      <c r="W294" s="472"/>
      <c r="X294" s="472"/>
      <c r="Y294" s="472"/>
    </row>
    <row r="295" spans="1:25" x14ac:dyDescent="0.35">
      <c r="A295" s="472"/>
      <c r="B295" s="494"/>
      <c r="C295" s="494">
        <v>1</v>
      </c>
      <c r="D295" s="494" t="s">
        <v>477</v>
      </c>
      <c r="E295" s="494"/>
      <c r="F295" s="494">
        <v>2.2000000000000002</v>
      </c>
      <c r="G295" s="494" t="s">
        <v>508</v>
      </c>
      <c r="H295" s="494"/>
      <c r="I295" s="494">
        <v>1</v>
      </c>
      <c r="J295" s="494" t="s">
        <v>509</v>
      </c>
      <c r="K295" s="494"/>
      <c r="L295" s="494">
        <v>1</v>
      </c>
      <c r="M295" s="494" t="s">
        <v>586</v>
      </c>
      <c r="N295" s="494"/>
      <c r="O295" s="502">
        <v>0.35</v>
      </c>
      <c r="P295" s="494" t="s">
        <v>568</v>
      </c>
      <c r="Q295" s="494"/>
      <c r="R295" s="494">
        <v>1.18</v>
      </c>
      <c r="S295" s="494" t="s">
        <v>515</v>
      </c>
      <c r="T295" s="494"/>
      <c r="U295" s="494">
        <v>3.7850000000000001</v>
      </c>
      <c r="V295" s="494" t="s">
        <v>524</v>
      </c>
      <c r="W295" s="472"/>
      <c r="X295" s="472"/>
      <c r="Y295" s="472"/>
    </row>
    <row r="296" spans="1:25" x14ac:dyDescent="0.35">
      <c r="A296" s="472"/>
      <c r="B296" s="494" t="s">
        <v>401</v>
      </c>
      <c r="C296" s="76">
        <f>ROUNDUP((C294*F294*I294*L294*O294*R294/F295/O295/R295/U295),2)</f>
        <v>1.46</v>
      </c>
      <c r="D296" s="70" t="s">
        <v>587</v>
      </c>
      <c r="E296" s="494"/>
      <c r="F296" s="494"/>
      <c r="G296" s="494"/>
      <c r="H296" s="494"/>
      <c r="I296" s="494"/>
      <c r="J296" s="494"/>
      <c r="K296" s="494"/>
      <c r="L296" s="494"/>
      <c r="M296" s="494"/>
      <c r="N296" s="494"/>
      <c r="O296" s="494"/>
      <c r="P296" s="494"/>
      <c r="Q296" s="494"/>
      <c r="R296" s="494"/>
      <c r="S296" s="494"/>
      <c r="T296" s="494"/>
      <c r="U296" s="494"/>
      <c r="V296" s="494"/>
      <c r="W296" s="494"/>
      <c r="X296" s="494"/>
      <c r="Y296" s="472"/>
    </row>
    <row r="298" spans="1:25" x14ac:dyDescent="0.35">
      <c r="A298" s="472" t="s">
        <v>608</v>
      </c>
      <c r="B298" s="494" t="s">
        <v>401</v>
      </c>
      <c r="C298" s="512">
        <f>C284</f>
        <v>5.5440000000000005E-5</v>
      </c>
      <c r="D298" s="496" t="s">
        <v>575</v>
      </c>
      <c r="E298" s="494" t="s">
        <v>476</v>
      </c>
      <c r="F298" s="495">
        <f>C20</f>
        <v>1500</v>
      </c>
      <c r="G298" s="496" t="s">
        <v>278</v>
      </c>
      <c r="H298" s="494" t="s">
        <v>476</v>
      </c>
      <c r="I298" s="495">
        <v>1440</v>
      </c>
      <c r="J298" s="496" t="s">
        <v>477</v>
      </c>
      <c r="K298" s="494" t="s">
        <v>476</v>
      </c>
      <c r="L298" s="496">
        <v>365</v>
      </c>
      <c r="M298" s="496" t="s">
        <v>510</v>
      </c>
      <c r="N298" s="472"/>
      <c r="O298" s="472"/>
      <c r="P298" s="472"/>
      <c r="Q298" s="472"/>
      <c r="R298" s="472"/>
      <c r="S298" s="472"/>
      <c r="T298" s="472"/>
      <c r="U298" s="472"/>
      <c r="V298" s="472"/>
      <c r="W298" s="472"/>
      <c r="X298" s="472"/>
      <c r="Y298" s="472"/>
    </row>
    <row r="299" spans="1:25" x14ac:dyDescent="0.35">
      <c r="A299" s="472"/>
      <c r="B299" s="494"/>
      <c r="C299" s="494">
        <v>1</v>
      </c>
      <c r="D299" s="494" t="s">
        <v>278</v>
      </c>
      <c r="E299" s="494"/>
      <c r="F299" s="494">
        <v>1</v>
      </c>
      <c r="G299" s="494" t="s">
        <v>477</v>
      </c>
      <c r="H299" s="494"/>
      <c r="I299" s="494">
        <v>1</v>
      </c>
      <c r="J299" s="494" t="s">
        <v>510</v>
      </c>
      <c r="K299" s="494"/>
      <c r="L299" s="513">
        <v>1</v>
      </c>
      <c r="M299" s="494" t="s">
        <v>543</v>
      </c>
      <c r="N299" s="494"/>
      <c r="O299" s="494"/>
      <c r="P299" s="494"/>
      <c r="Q299" s="472"/>
      <c r="R299" s="472"/>
      <c r="S299" s="472"/>
      <c r="T299" s="472"/>
      <c r="U299" s="472"/>
      <c r="V299" s="472"/>
      <c r="W299" s="472"/>
      <c r="X299" s="472"/>
      <c r="Y299" s="472"/>
    </row>
    <row r="300" spans="1:25" x14ac:dyDescent="0.35">
      <c r="A300" s="472"/>
      <c r="B300" s="494" t="s">
        <v>401</v>
      </c>
      <c r="C300" s="77">
        <f>C298*F298*I298*L298</f>
        <v>43708.896000000008</v>
      </c>
      <c r="D300" s="70" t="s">
        <v>609</v>
      </c>
      <c r="E300" s="494"/>
      <c r="F300" s="494"/>
      <c r="G300" s="494"/>
      <c r="H300" s="494"/>
      <c r="I300" s="494"/>
      <c r="J300" s="494"/>
      <c r="K300" s="494"/>
      <c r="L300" s="494"/>
      <c r="M300" s="494"/>
      <c r="N300" s="494"/>
      <c r="O300" s="494"/>
      <c r="P300" s="494"/>
      <c r="Q300" s="494"/>
      <c r="R300" s="494"/>
      <c r="S300" s="494"/>
      <c r="T300" s="494"/>
      <c r="U300" s="494"/>
      <c r="V300" s="494"/>
      <c r="W300" s="494"/>
      <c r="X300" s="494"/>
      <c r="Y300" s="472"/>
    </row>
    <row r="301" spans="1:25" x14ac:dyDescent="0.35">
      <c r="A301" s="472"/>
      <c r="B301" s="494"/>
      <c r="C301" s="69"/>
      <c r="D301" s="70"/>
      <c r="E301" s="494"/>
      <c r="F301" s="494"/>
      <c r="G301" s="494"/>
      <c r="H301" s="494"/>
      <c r="I301" s="494"/>
      <c r="J301" s="494"/>
      <c r="K301" s="494"/>
      <c r="L301" s="503"/>
      <c r="M301" s="494"/>
      <c r="N301" s="494"/>
      <c r="O301" s="494"/>
      <c r="P301" s="494"/>
      <c r="Q301" s="494"/>
      <c r="R301" s="494"/>
      <c r="S301" s="494"/>
      <c r="T301" s="494"/>
      <c r="U301" s="494"/>
      <c r="V301" s="494"/>
      <c r="W301" s="494"/>
      <c r="X301" s="494"/>
      <c r="Y301" s="472"/>
    </row>
    <row r="302" spans="1:25" x14ac:dyDescent="0.35">
      <c r="A302" s="594" t="s">
        <v>610</v>
      </c>
      <c r="B302" s="594"/>
      <c r="C302" s="594"/>
      <c r="D302" s="594"/>
      <c r="E302" s="594"/>
      <c r="F302" s="594"/>
      <c r="G302" s="594"/>
      <c r="H302" s="594"/>
      <c r="I302" s="594"/>
      <c r="J302" s="594"/>
      <c r="K302" s="68"/>
      <c r="L302" s="472"/>
      <c r="M302" s="472"/>
      <c r="N302" s="68"/>
      <c r="O302" s="472"/>
      <c r="P302" s="472"/>
      <c r="Q302" s="472"/>
      <c r="R302" s="472"/>
      <c r="S302" s="472"/>
      <c r="T302" s="472"/>
      <c r="U302" s="472"/>
      <c r="V302" s="472"/>
      <c r="W302" s="472"/>
      <c r="X302" s="472"/>
      <c r="Y302" s="472"/>
    </row>
    <row r="303" spans="1:25" x14ac:dyDescent="0.35">
      <c r="A303" s="472" t="s">
        <v>611</v>
      </c>
      <c r="B303" s="494" t="s">
        <v>401</v>
      </c>
      <c r="C303" s="495">
        <v>2</v>
      </c>
      <c r="D303" s="496" t="s">
        <v>612</v>
      </c>
      <c r="E303" s="494" t="s">
        <v>476</v>
      </c>
      <c r="F303" s="500">
        <v>12</v>
      </c>
      <c r="G303" s="496" t="s">
        <v>613</v>
      </c>
      <c r="H303" s="494" t="s">
        <v>476</v>
      </c>
      <c r="I303" s="495">
        <v>5.5</v>
      </c>
      <c r="J303" s="496" t="s">
        <v>614</v>
      </c>
      <c r="K303" s="494" t="s">
        <v>476</v>
      </c>
      <c r="L303" s="496">
        <v>45</v>
      </c>
      <c r="M303" s="496" t="s">
        <v>508</v>
      </c>
      <c r="N303" s="494"/>
      <c r="O303" s="494"/>
      <c r="P303" s="494"/>
      <c r="Q303" s="494"/>
      <c r="R303" s="494"/>
      <c r="S303" s="494"/>
      <c r="T303" s="494"/>
      <c r="U303" s="494"/>
      <c r="V303" s="472"/>
      <c r="W303" s="472"/>
      <c r="X303" s="472"/>
      <c r="Y303" s="472"/>
    </row>
    <row r="304" spans="1:25" x14ac:dyDescent="0.35">
      <c r="A304" s="31" t="s">
        <v>580</v>
      </c>
      <c r="B304" s="494"/>
      <c r="C304" s="494">
        <v>1</v>
      </c>
      <c r="D304" s="494" t="s">
        <v>613</v>
      </c>
      <c r="E304" s="494"/>
      <c r="F304" s="494">
        <v>1</v>
      </c>
      <c r="G304" s="494" t="s">
        <v>543</v>
      </c>
      <c r="H304" s="494"/>
      <c r="I304" s="503"/>
      <c r="J304" s="494" t="s">
        <v>615</v>
      </c>
      <c r="K304" s="494"/>
      <c r="L304" s="494"/>
      <c r="M304" s="494" t="s">
        <v>614</v>
      </c>
      <c r="N304" s="494"/>
      <c r="O304" s="494"/>
      <c r="P304" s="494"/>
      <c r="Q304" s="494"/>
      <c r="R304" s="494"/>
      <c r="S304" s="494"/>
      <c r="T304" s="494"/>
      <c r="U304" s="494"/>
      <c r="V304" s="472"/>
      <c r="W304" s="472"/>
      <c r="X304" s="472"/>
      <c r="Y304" s="472"/>
    </row>
    <row r="305" spans="1:25" x14ac:dyDescent="0.35">
      <c r="A305" s="472" t="s">
        <v>616</v>
      </c>
      <c r="B305" s="494" t="s">
        <v>401</v>
      </c>
      <c r="C305" s="385">
        <f>C303*F303*L303*I303</f>
        <v>5940</v>
      </c>
      <c r="D305" s="70" t="s">
        <v>617</v>
      </c>
      <c r="E305" s="494"/>
      <c r="F305" s="494"/>
      <c r="G305" s="494"/>
      <c r="H305" s="494"/>
      <c r="I305" s="494"/>
      <c r="J305" s="494"/>
      <c r="K305" s="494"/>
      <c r="L305" s="503"/>
      <c r="M305" s="494"/>
      <c r="N305" s="494"/>
      <c r="O305" s="494"/>
      <c r="P305" s="494"/>
      <c r="Q305" s="494"/>
      <c r="R305" s="494"/>
      <c r="S305" s="494"/>
      <c r="T305" s="494"/>
      <c r="U305" s="494"/>
      <c r="V305" s="494"/>
      <c r="W305" s="494"/>
      <c r="X305" s="494"/>
      <c r="Y305" s="472"/>
    </row>
    <row r="306" spans="1:25" x14ac:dyDescent="0.35">
      <c r="A306" s="472"/>
      <c r="B306" s="494"/>
      <c r="C306" s="77"/>
      <c r="D306" s="70"/>
      <c r="E306" s="494"/>
      <c r="F306" s="494"/>
      <c r="G306" s="494"/>
      <c r="H306" s="494"/>
      <c r="I306" s="494"/>
      <c r="J306" s="494"/>
      <c r="K306" s="494"/>
      <c r="L306" s="503"/>
      <c r="M306" s="494"/>
      <c r="N306" s="494"/>
      <c r="O306" s="494"/>
      <c r="P306" s="494"/>
      <c r="Q306" s="494"/>
      <c r="R306" s="494"/>
      <c r="S306" s="494"/>
      <c r="T306" s="494"/>
      <c r="U306" s="494"/>
      <c r="V306" s="494"/>
      <c r="W306" s="494"/>
      <c r="X306" s="494"/>
      <c r="Y306" s="472"/>
    </row>
    <row r="307" spans="1:25" x14ac:dyDescent="0.35">
      <c r="A307" s="472" t="s">
        <v>618</v>
      </c>
      <c r="B307" s="494" t="s">
        <v>401</v>
      </c>
      <c r="C307" s="495">
        <f>C305</f>
        <v>5940</v>
      </c>
      <c r="D307" s="496" t="s">
        <v>619</v>
      </c>
      <c r="E307" s="494" t="s">
        <v>476</v>
      </c>
      <c r="F307" s="496"/>
      <c r="G307" s="496"/>
      <c r="H307" s="472"/>
      <c r="I307" s="472"/>
      <c r="J307" s="472"/>
      <c r="K307" s="472"/>
      <c r="L307" s="472"/>
      <c r="M307" s="472"/>
      <c r="N307" s="472"/>
      <c r="O307" s="472"/>
      <c r="P307" s="472"/>
      <c r="Q307" s="472"/>
      <c r="R307" s="472"/>
      <c r="S307" s="472"/>
      <c r="T307" s="472"/>
      <c r="U307" s="472"/>
      <c r="V307" s="472"/>
      <c r="W307" s="472"/>
      <c r="X307" s="472"/>
      <c r="Y307" s="472"/>
    </row>
    <row r="308" spans="1:25" x14ac:dyDescent="0.35">
      <c r="A308" s="472"/>
      <c r="B308" s="494"/>
      <c r="C308" s="494">
        <v>1</v>
      </c>
      <c r="D308" s="494" t="s">
        <v>620</v>
      </c>
      <c r="E308" s="494"/>
      <c r="F308" s="499">
        <f>C11</f>
        <v>1400</v>
      </c>
      <c r="G308" s="494" t="s">
        <v>264</v>
      </c>
      <c r="H308" s="494"/>
      <c r="I308" s="494"/>
      <c r="J308" s="494"/>
      <c r="K308" s="472"/>
      <c r="L308" s="472"/>
      <c r="M308" s="472"/>
      <c r="N308" s="472"/>
      <c r="O308" s="472"/>
      <c r="P308" s="472"/>
      <c r="Q308" s="472"/>
      <c r="R308" s="472"/>
      <c r="S308" s="472"/>
      <c r="T308" s="472"/>
      <c r="U308" s="472"/>
      <c r="V308" s="472"/>
      <c r="W308" s="472"/>
      <c r="X308" s="472"/>
      <c r="Y308" s="472"/>
    </row>
    <row r="309" spans="1:25" x14ac:dyDescent="0.35">
      <c r="A309" s="472"/>
      <c r="B309" s="494" t="s">
        <v>401</v>
      </c>
      <c r="C309" s="79">
        <f>C307/F308</f>
        <v>4.2428571428571429</v>
      </c>
      <c r="D309" s="71" t="s">
        <v>584</v>
      </c>
      <c r="E309" s="494"/>
      <c r="F309" s="494"/>
      <c r="G309" s="494"/>
      <c r="H309" s="494"/>
      <c r="I309" s="494"/>
      <c r="J309" s="494"/>
      <c r="K309" s="494"/>
      <c r="L309" s="494"/>
      <c r="M309" s="494"/>
      <c r="N309" s="494"/>
      <c r="O309" s="494"/>
      <c r="P309" s="494"/>
      <c r="Q309" s="494"/>
      <c r="R309" s="494"/>
      <c r="S309" s="494"/>
      <c r="T309" s="494"/>
      <c r="U309" s="494"/>
      <c r="V309" s="494"/>
      <c r="W309" s="494"/>
      <c r="X309" s="494"/>
      <c r="Y309" s="472"/>
    </row>
    <row r="310" spans="1:25" x14ac:dyDescent="0.35">
      <c r="A310" s="472"/>
      <c r="B310" s="494"/>
      <c r="C310" s="494"/>
      <c r="D310" s="494"/>
      <c r="E310" s="494"/>
      <c r="F310" s="494"/>
      <c r="G310" s="494"/>
      <c r="H310" s="494"/>
      <c r="I310" s="494"/>
      <c r="J310" s="494"/>
      <c r="K310" s="494"/>
      <c r="L310" s="503"/>
      <c r="M310" s="494"/>
      <c r="N310" s="494"/>
      <c r="O310" s="494"/>
      <c r="P310" s="494"/>
      <c r="Q310" s="494"/>
      <c r="R310" s="494"/>
      <c r="S310" s="494"/>
      <c r="T310" s="494"/>
      <c r="U310" s="494"/>
      <c r="V310" s="494"/>
      <c r="W310" s="494"/>
      <c r="X310" s="494"/>
      <c r="Y310" s="472"/>
    </row>
    <row r="311" spans="1:25" x14ac:dyDescent="0.35">
      <c r="A311" s="472" t="s">
        <v>621</v>
      </c>
      <c r="B311" s="494" t="s">
        <v>401</v>
      </c>
      <c r="C311" s="495">
        <v>2</v>
      </c>
      <c r="D311" s="496" t="s">
        <v>612</v>
      </c>
      <c r="E311" s="494" t="s">
        <v>476</v>
      </c>
      <c r="F311" s="500">
        <v>12</v>
      </c>
      <c r="G311" s="496" t="s">
        <v>613</v>
      </c>
      <c r="H311" s="494" t="s">
        <v>476</v>
      </c>
      <c r="I311" s="495">
        <v>5.5</v>
      </c>
      <c r="J311" s="496" t="s">
        <v>614</v>
      </c>
      <c r="K311" s="494" t="s">
        <v>476</v>
      </c>
      <c r="L311" s="496">
        <v>45</v>
      </c>
      <c r="M311" s="496" t="s">
        <v>508</v>
      </c>
      <c r="N311" s="494"/>
      <c r="O311" s="494"/>
      <c r="P311" s="494"/>
      <c r="Q311" s="494"/>
      <c r="R311" s="494"/>
      <c r="S311" s="494"/>
      <c r="T311" s="494"/>
      <c r="U311" s="494"/>
      <c r="V311" s="472"/>
      <c r="W311" s="472"/>
      <c r="X311" s="472"/>
      <c r="Y311" s="472"/>
    </row>
    <row r="312" spans="1:25" x14ac:dyDescent="0.35">
      <c r="A312" s="31" t="s">
        <v>580</v>
      </c>
      <c r="B312" s="494"/>
      <c r="C312" s="494">
        <v>1</v>
      </c>
      <c r="D312" s="494" t="s">
        <v>613</v>
      </c>
      <c r="E312" s="494"/>
      <c r="F312" s="494">
        <v>1</v>
      </c>
      <c r="G312" s="494" t="s">
        <v>543</v>
      </c>
      <c r="H312" s="494"/>
      <c r="I312" s="503"/>
      <c r="J312" s="494" t="s">
        <v>615</v>
      </c>
      <c r="K312" s="494"/>
      <c r="L312" s="494"/>
      <c r="M312" s="494" t="s">
        <v>614</v>
      </c>
      <c r="N312" s="494"/>
      <c r="O312" s="494"/>
      <c r="P312" s="494"/>
      <c r="Q312" s="494"/>
      <c r="R312" s="494"/>
      <c r="S312" s="494"/>
      <c r="T312" s="494"/>
      <c r="U312" s="494"/>
      <c r="V312" s="472"/>
      <c r="W312" s="472"/>
      <c r="X312" s="472"/>
      <c r="Y312" s="472"/>
    </row>
    <row r="313" spans="1:25" x14ac:dyDescent="0.35">
      <c r="A313" s="472" t="s">
        <v>616</v>
      </c>
      <c r="B313" s="494" t="s">
        <v>401</v>
      </c>
      <c r="C313" s="385">
        <f>C311*F311*L311*I311</f>
        <v>5940</v>
      </c>
      <c r="D313" s="70" t="s">
        <v>617</v>
      </c>
      <c r="E313" s="494"/>
      <c r="F313" s="494"/>
      <c r="G313" s="494"/>
      <c r="H313" s="494"/>
      <c r="I313" s="494"/>
      <c r="J313" s="494"/>
      <c r="K313" s="494"/>
      <c r="L313" s="503"/>
      <c r="M313" s="494"/>
      <c r="N313" s="494"/>
      <c r="O313" s="494"/>
      <c r="P313" s="494"/>
      <c r="Q313" s="494"/>
      <c r="R313" s="494"/>
      <c r="S313" s="494"/>
      <c r="T313" s="494"/>
      <c r="U313" s="494"/>
      <c r="V313" s="494"/>
      <c r="W313" s="494"/>
      <c r="X313" s="494"/>
      <c r="Y313" s="472"/>
    </row>
    <row r="314" spans="1:25" x14ac:dyDescent="0.35">
      <c r="A314" s="472"/>
      <c r="B314" s="494"/>
      <c r="C314" s="77"/>
      <c r="D314" s="70"/>
      <c r="E314" s="494"/>
      <c r="F314" s="494"/>
      <c r="G314" s="494"/>
      <c r="H314" s="494"/>
      <c r="I314" s="494"/>
      <c r="J314" s="494"/>
      <c r="K314" s="494"/>
      <c r="L314" s="503"/>
      <c r="M314" s="494"/>
      <c r="N314" s="494"/>
      <c r="O314" s="494"/>
      <c r="P314" s="494"/>
      <c r="Q314" s="494"/>
      <c r="R314" s="494"/>
      <c r="S314" s="494"/>
      <c r="T314" s="494"/>
      <c r="U314" s="494"/>
      <c r="V314" s="494"/>
      <c r="W314" s="494"/>
      <c r="X314" s="494"/>
      <c r="Y314" s="472"/>
    </row>
    <row r="315" spans="1:25" x14ac:dyDescent="0.35">
      <c r="A315" s="472" t="s">
        <v>622</v>
      </c>
      <c r="B315" s="494" t="s">
        <v>401</v>
      </c>
      <c r="C315" s="495">
        <f>C313</f>
        <v>5940</v>
      </c>
      <c r="D315" s="496" t="s">
        <v>619</v>
      </c>
      <c r="E315" s="494" t="s">
        <v>476</v>
      </c>
      <c r="F315" s="496"/>
      <c r="G315" s="496"/>
      <c r="H315" s="472"/>
      <c r="I315" s="472"/>
      <c r="J315" s="472"/>
      <c r="K315" s="472"/>
      <c r="L315" s="472"/>
      <c r="M315" s="472"/>
      <c r="N315" s="472"/>
      <c r="O315" s="472"/>
      <c r="P315" s="472"/>
      <c r="Q315" s="472"/>
      <c r="R315" s="472"/>
      <c r="S315" s="472"/>
      <c r="T315" s="472"/>
      <c r="U315" s="472"/>
      <c r="V315" s="472"/>
      <c r="W315" s="472"/>
      <c r="X315" s="472"/>
      <c r="Y315" s="472"/>
    </row>
    <row r="316" spans="1:25" x14ac:dyDescent="0.35">
      <c r="A316" s="472"/>
      <c r="B316" s="494"/>
      <c r="C316" s="499">
        <v>1</v>
      </c>
      <c r="D316" s="494" t="s">
        <v>620</v>
      </c>
      <c r="E316" s="494"/>
      <c r="F316" s="499">
        <f>F308</f>
        <v>1400</v>
      </c>
      <c r="G316" s="494" t="s">
        <v>264</v>
      </c>
      <c r="H316" s="494"/>
      <c r="I316" s="494"/>
      <c r="J316" s="494"/>
      <c r="K316" s="472"/>
      <c r="L316" s="472"/>
      <c r="M316" s="472"/>
      <c r="N316" s="472"/>
      <c r="O316" s="472"/>
      <c r="P316" s="472"/>
      <c r="Q316" s="472"/>
      <c r="R316" s="472"/>
      <c r="S316" s="472"/>
      <c r="T316" s="472"/>
      <c r="U316" s="472"/>
      <c r="V316" s="472"/>
      <c r="W316" s="472"/>
      <c r="X316" s="472"/>
      <c r="Y316" s="472"/>
    </row>
    <row r="317" spans="1:25" x14ac:dyDescent="0.35">
      <c r="A317" s="472"/>
      <c r="B317" s="494" t="s">
        <v>401</v>
      </c>
      <c r="C317" s="79">
        <f>C315/F316</f>
        <v>4.2428571428571429</v>
      </c>
      <c r="D317" s="71" t="s">
        <v>584</v>
      </c>
      <c r="E317" s="494"/>
      <c r="F317" s="494"/>
      <c r="G317" s="494"/>
      <c r="H317" s="494"/>
      <c r="I317" s="494"/>
      <c r="J317" s="494"/>
      <c r="K317" s="494"/>
      <c r="L317" s="494"/>
      <c r="M317" s="494"/>
      <c r="N317" s="494"/>
      <c r="O317" s="494"/>
      <c r="P317" s="494"/>
      <c r="Q317" s="494"/>
      <c r="R317" s="494"/>
      <c r="S317" s="494"/>
      <c r="T317" s="494"/>
      <c r="U317" s="494"/>
      <c r="V317" s="494"/>
      <c r="W317" s="494"/>
      <c r="X317" s="494"/>
      <c r="Y317" s="472"/>
    </row>
    <row r="318" spans="1:25" x14ac:dyDescent="0.35">
      <c r="A318" s="472"/>
      <c r="B318" s="494"/>
      <c r="C318" s="494"/>
      <c r="D318" s="494"/>
      <c r="E318" s="494"/>
      <c r="F318" s="494"/>
      <c r="G318" s="494"/>
      <c r="H318" s="494"/>
      <c r="I318" s="494"/>
      <c r="J318" s="494"/>
      <c r="K318" s="494"/>
      <c r="L318" s="503"/>
      <c r="M318" s="494"/>
      <c r="N318" s="494"/>
      <c r="O318" s="494"/>
      <c r="P318" s="494"/>
      <c r="Q318" s="494"/>
      <c r="R318" s="494"/>
      <c r="S318" s="494"/>
      <c r="T318" s="494"/>
      <c r="U318" s="494"/>
      <c r="V318" s="494"/>
      <c r="W318" s="494"/>
      <c r="X318" s="494"/>
      <c r="Y318" s="472"/>
    </row>
    <row r="319" spans="1:25" x14ac:dyDescent="0.35">
      <c r="A319" s="594" t="s">
        <v>623</v>
      </c>
      <c r="B319" s="594"/>
      <c r="C319" s="594"/>
      <c r="D319" s="594"/>
      <c r="E319" s="594"/>
      <c r="F319" s="594"/>
      <c r="G319" s="594"/>
      <c r="H319" s="594"/>
      <c r="I319" s="594"/>
      <c r="J319" s="594"/>
      <c r="K319" s="68"/>
      <c r="L319" s="472"/>
      <c r="M319" s="472"/>
      <c r="N319" s="68"/>
      <c r="O319" s="472"/>
      <c r="P319" s="472"/>
      <c r="Q319" s="472"/>
      <c r="R319" s="472"/>
      <c r="S319" s="472"/>
      <c r="T319" s="472"/>
      <c r="U319" s="472"/>
      <c r="V319" s="472"/>
      <c r="W319" s="472"/>
      <c r="X319" s="472"/>
      <c r="Y319" s="472"/>
    </row>
    <row r="320" spans="1:25" x14ac:dyDescent="0.35">
      <c r="A320" s="472" t="s">
        <v>611</v>
      </c>
      <c r="B320" s="494" t="s">
        <v>401</v>
      </c>
      <c r="C320" s="495">
        <v>1</v>
      </c>
      <c r="D320" s="496" t="s">
        <v>612</v>
      </c>
      <c r="E320" s="494" t="s">
        <v>476</v>
      </c>
      <c r="F320" s="500">
        <v>12</v>
      </c>
      <c r="G320" s="496" t="s">
        <v>613</v>
      </c>
      <c r="H320" s="494" t="s">
        <v>476</v>
      </c>
      <c r="I320" s="495">
        <v>5.5</v>
      </c>
      <c r="J320" s="496" t="s">
        <v>614</v>
      </c>
      <c r="K320" s="494" t="s">
        <v>476</v>
      </c>
      <c r="L320" s="496">
        <v>45</v>
      </c>
      <c r="M320" s="496" t="s">
        <v>508</v>
      </c>
      <c r="N320" s="494"/>
      <c r="O320" s="494"/>
      <c r="P320" s="494"/>
      <c r="Q320" s="494"/>
      <c r="R320" s="494"/>
      <c r="S320" s="494"/>
      <c r="T320" s="494"/>
      <c r="U320" s="494"/>
      <c r="V320" s="472"/>
      <c r="W320" s="472"/>
      <c r="X320" s="472"/>
      <c r="Y320" s="472"/>
    </row>
    <row r="321" spans="1:25" x14ac:dyDescent="0.35">
      <c r="A321" s="31" t="s">
        <v>580</v>
      </c>
      <c r="B321" s="494"/>
      <c r="C321" s="494">
        <v>3</v>
      </c>
      <c r="D321" s="494" t="s">
        <v>613</v>
      </c>
      <c r="E321" s="494"/>
      <c r="F321" s="494">
        <v>1</v>
      </c>
      <c r="G321" s="494" t="s">
        <v>543</v>
      </c>
      <c r="H321" s="494"/>
      <c r="I321" s="503"/>
      <c r="J321" s="494" t="s">
        <v>615</v>
      </c>
      <c r="K321" s="494"/>
      <c r="L321" s="494"/>
      <c r="M321" s="494" t="s">
        <v>614</v>
      </c>
      <c r="N321" s="494"/>
      <c r="O321" s="494"/>
      <c r="P321" s="494"/>
      <c r="Q321" s="494"/>
      <c r="R321" s="494"/>
      <c r="S321" s="494"/>
      <c r="T321" s="494"/>
      <c r="U321" s="494"/>
      <c r="V321" s="472"/>
      <c r="W321" s="472"/>
      <c r="X321" s="472"/>
      <c r="Y321" s="472"/>
    </row>
    <row r="322" spans="1:25" x14ac:dyDescent="0.35">
      <c r="A322" s="472" t="s">
        <v>624</v>
      </c>
      <c r="B322" s="494" t="s">
        <v>401</v>
      </c>
      <c r="C322" s="78">
        <f>C320/C321*F320*L320*I320</f>
        <v>990</v>
      </c>
      <c r="D322" s="70" t="s">
        <v>617</v>
      </c>
      <c r="E322" s="494"/>
      <c r="F322" s="494"/>
      <c r="G322" s="494"/>
      <c r="H322" s="494"/>
      <c r="I322" s="494"/>
      <c r="J322" s="494"/>
      <c r="K322" s="494"/>
      <c r="L322" s="503"/>
      <c r="M322" s="494"/>
      <c r="N322" s="494"/>
      <c r="O322" s="494"/>
      <c r="P322" s="494"/>
      <c r="Q322" s="494"/>
      <c r="R322" s="494"/>
      <c r="S322" s="494"/>
      <c r="T322" s="494"/>
      <c r="U322" s="494"/>
      <c r="V322" s="494"/>
      <c r="W322" s="494"/>
      <c r="X322" s="494"/>
      <c r="Y322" s="472"/>
    </row>
    <row r="323" spans="1:25" x14ac:dyDescent="0.35">
      <c r="A323" s="472"/>
      <c r="B323" s="494"/>
      <c r="C323" s="69"/>
      <c r="D323" s="70"/>
      <c r="E323" s="494"/>
      <c r="F323" s="494"/>
      <c r="G323" s="494"/>
      <c r="H323" s="494"/>
      <c r="I323" s="494"/>
      <c r="J323" s="494"/>
      <c r="K323" s="494"/>
      <c r="L323" s="503"/>
      <c r="M323" s="494"/>
      <c r="N323" s="494"/>
      <c r="O323" s="494"/>
      <c r="P323" s="494"/>
      <c r="Q323" s="494"/>
      <c r="R323" s="494"/>
      <c r="S323" s="494"/>
      <c r="T323" s="494"/>
      <c r="U323" s="494"/>
      <c r="V323" s="494"/>
      <c r="W323" s="494"/>
      <c r="X323" s="494"/>
      <c r="Y323" s="472"/>
    </row>
    <row r="324" spans="1:25" x14ac:dyDescent="0.35">
      <c r="A324" s="472" t="s">
        <v>618</v>
      </c>
      <c r="B324" s="494" t="s">
        <v>401</v>
      </c>
      <c r="C324" s="500">
        <f>C322</f>
        <v>990</v>
      </c>
      <c r="D324" s="496" t="s">
        <v>619</v>
      </c>
      <c r="E324" s="494" t="s">
        <v>476</v>
      </c>
      <c r="F324" s="496"/>
      <c r="G324" s="496"/>
      <c r="H324" s="472"/>
      <c r="I324" s="472"/>
      <c r="J324" s="472"/>
      <c r="K324" s="472"/>
      <c r="L324" s="472"/>
      <c r="M324" s="472"/>
      <c r="N324" s="472"/>
      <c r="O324" s="472"/>
      <c r="P324" s="472"/>
      <c r="Q324" s="472"/>
      <c r="R324" s="472"/>
      <c r="S324" s="472"/>
      <c r="T324" s="472"/>
      <c r="U324" s="472"/>
      <c r="V324" s="472"/>
      <c r="W324" s="472"/>
      <c r="X324" s="472"/>
      <c r="Y324" s="472"/>
    </row>
    <row r="325" spans="1:25" x14ac:dyDescent="0.35">
      <c r="A325" s="472"/>
      <c r="B325" s="494"/>
      <c r="C325" s="494">
        <v>1</v>
      </c>
      <c r="D325" s="494" t="s">
        <v>620</v>
      </c>
      <c r="E325" s="494"/>
      <c r="F325" s="499">
        <f>F308</f>
        <v>1400</v>
      </c>
      <c r="G325" s="494" t="s">
        <v>264</v>
      </c>
      <c r="H325" s="494"/>
      <c r="I325" s="494"/>
      <c r="J325" s="494"/>
      <c r="K325" s="472"/>
      <c r="L325" s="472"/>
      <c r="M325" s="472"/>
      <c r="N325" s="472"/>
      <c r="O325" s="472"/>
      <c r="P325" s="472"/>
      <c r="Q325" s="472"/>
      <c r="R325" s="472"/>
      <c r="S325" s="472"/>
      <c r="T325" s="472"/>
      <c r="U325" s="472"/>
      <c r="V325" s="472"/>
      <c r="W325" s="472"/>
      <c r="X325" s="472"/>
      <c r="Y325" s="472"/>
    </row>
    <row r="326" spans="1:25" x14ac:dyDescent="0.35">
      <c r="A326" s="472"/>
      <c r="B326" s="494" t="s">
        <v>401</v>
      </c>
      <c r="C326" s="386">
        <f>C324/F325</f>
        <v>0.70714285714285718</v>
      </c>
      <c r="D326" s="71" t="s">
        <v>584</v>
      </c>
      <c r="E326" s="494"/>
      <c r="F326" s="494"/>
      <c r="G326" s="494"/>
      <c r="H326" s="494"/>
      <c r="I326" s="494"/>
      <c r="J326" s="494"/>
      <c r="K326" s="494"/>
      <c r="L326" s="494"/>
      <c r="M326" s="494"/>
      <c r="N326" s="494"/>
      <c r="O326" s="494"/>
      <c r="P326" s="494"/>
      <c r="Q326" s="494"/>
      <c r="R326" s="494"/>
      <c r="S326" s="494"/>
      <c r="T326" s="494"/>
      <c r="U326" s="494"/>
      <c r="V326" s="494"/>
      <c r="W326" s="494"/>
      <c r="X326" s="494"/>
      <c r="Y326" s="472"/>
    </row>
    <row r="327" spans="1:25" x14ac:dyDescent="0.35">
      <c r="A327" s="472"/>
      <c r="B327" s="494"/>
      <c r="C327" s="494"/>
      <c r="D327" s="494"/>
      <c r="E327" s="494"/>
      <c r="F327" s="494"/>
      <c r="G327" s="494"/>
      <c r="H327" s="494"/>
      <c r="I327" s="494"/>
      <c r="J327" s="494"/>
      <c r="K327" s="494"/>
      <c r="L327" s="503"/>
      <c r="M327" s="494"/>
      <c r="N327" s="494"/>
      <c r="O327" s="494"/>
      <c r="P327" s="494"/>
      <c r="Q327" s="494"/>
      <c r="R327" s="494"/>
      <c r="S327" s="494"/>
      <c r="T327" s="494"/>
      <c r="U327" s="494"/>
      <c r="V327" s="494"/>
      <c r="W327" s="494"/>
      <c r="X327" s="494"/>
      <c r="Y327" s="472"/>
    </row>
    <row r="328" spans="1:25" x14ac:dyDescent="0.35">
      <c r="A328" s="472" t="s">
        <v>621</v>
      </c>
      <c r="B328" s="494" t="s">
        <v>401</v>
      </c>
      <c r="C328" s="495">
        <v>1</v>
      </c>
      <c r="D328" s="496" t="s">
        <v>612</v>
      </c>
      <c r="E328" s="494" t="s">
        <v>476</v>
      </c>
      <c r="F328" s="500">
        <v>12</v>
      </c>
      <c r="G328" s="496" t="s">
        <v>613</v>
      </c>
      <c r="H328" s="494" t="s">
        <v>476</v>
      </c>
      <c r="I328" s="495">
        <v>5.5</v>
      </c>
      <c r="J328" s="496" t="s">
        <v>614</v>
      </c>
      <c r="K328" s="494" t="s">
        <v>476</v>
      </c>
      <c r="L328" s="496">
        <v>45</v>
      </c>
      <c r="M328" s="496" t="s">
        <v>508</v>
      </c>
      <c r="N328" s="494"/>
      <c r="O328" s="494"/>
      <c r="P328" s="494"/>
      <c r="Q328" s="494"/>
      <c r="R328" s="494"/>
      <c r="S328" s="494"/>
      <c r="T328" s="494"/>
      <c r="U328" s="494"/>
      <c r="V328" s="472"/>
      <c r="W328" s="472"/>
      <c r="X328" s="472"/>
      <c r="Y328" s="472"/>
    </row>
    <row r="329" spans="1:25" x14ac:dyDescent="0.35">
      <c r="A329" s="31" t="s">
        <v>580</v>
      </c>
      <c r="B329" s="494"/>
      <c r="C329" s="494">
        <v>3</v>
      </c>
      <c r="D329" s="494" t="s">
        <v>613</v>
      </c>
      <c r="E329" s="494"/>
      <c r="F329" s="494">
        <v>1</v>
      </c>
      <c r="G329" s="494" t="s">
        <v>543</v>
      </c>
      <c r="H329" s="494"/>
      <c r="I329" s="503"/>
      <c r="J329" s="494" t="s">
        <v>615</v>
      </c>
      <c r="K329" s="494"/>
      <c r="L329" s="494"/>
      <c r="M329" s="494" t="s">
        <v>614</v>
      </c>
      <c r="N329" s="494"/>
      <c r="O329" s="494"/>
      <c r="P329" s="494"/>
      <c r="Q329" s="494"/>
      <c r="R329" s="494"/>
      <c r="S329" s="494"/>
      <c r="T329" s="494"/>
      <c r="U329" s="494"/>
      <c r="V329" s="472"/>
      <c r="W329" s="472"/>
      <c r="X329" s="472"/>
      <c r="Y329" s="472"/>
    </row>
    <row r="330" spans="1:25" x14ac:dyDescent="0.35">
      <c r="A330" s="472"/>
      <c r="B330" s="494" t="s">
        <v>401</v>
      </c>
      <c r="C330" s="78">
        <f>C328/C329*F328*L328*I328</f>
        <v>990</v>
      </c>
      <c r="D330" s="70" t="s">
        <v>617</v>
      </c>
      <c r="E330" s="494"/>
      <c r="F330" s="494"/>
      <c r="G330" s="494"/>
      <c r="H330" s="494"/>
      <c r="I330" s="494"/>
      <c r="J330" s="494"/>
      <c r="K330" s="494"/>
      <c r="L330" s="503"/>
      <c r="M330" s="494"/>
      <c r="N330" s="494"/>
      <c r="O330" s="494"/>
      <c r="P330" s="494"/>
      <c r="Q330" s="494"/>
      <c r="R330" s="494"/>
      <c r="S330" s="494"/>
      <c r="T330" s="494"/>
      <c r="U330" s="494"/>
      <c r="V330" s="494"/>
      <c r="W330" s="494"/>
      <c r="X330" s="494"/>
      <c r="Y330" s="472"/>
    </row>
    <row r="331" spans="1:25" x14ac:dyDescent="0.35">
      <c r="A331" s="472"/>
      <c r="B331" s="494"/>
      <c r="C331" s="69"/>
      <c r="D331" s="70"/>
      <c r="E331" s="494"/>
      <c r="F331" s="494"/>
      <c r="G331" s="494"/>
      <c r="H331" s="494"/>
      <c r="I331" s="494"/>
      <c r="J331" s="494"/>
      <c r="K331" s="494"/>
      <c r="L331" s="503"/>
      <c r="M331" s="494"/>
      <c r="N331" s="494"/>
      <c r="O331" s="494"/>
      <c r="P331" s="494"/>
      <c r="Q331" s="494"/>
      <c r="R331" s="494"/>
      <c r="S331" s="494"/>
      <c r="T331" s="494"/>
      <c r="U331" s="494"/>
      <c r="V331" s="494"/>
      <c r="W331" s="494"/>
      <c r="X331" s="494"/>
      <c r="Y331" s="472"/>
    </row>
    <row r="332" spans="1:25" x14ac:dyDescent="0.35">
      <c r="A332" s="472" t="s">
        <v>622</v>
      </c>
      <c r="B332" s="494" t="s">
        <v>401</v>
      </c>
      <c r="C332" s="500">
        <f>C330</f>
        <v>990</v>
      </c>
      <c r="D332" s="496" t="s">
        <v>619</v>
      </c>
      <c r="E332" s="494" t="s">
        <v>476</v>
      </c>
      <c r="F332" s="496"/>
      <c r="G332" s="496"/>
      <c r="H332" s="472"/>
      <c r="I332" s="472"/>
      <c r="J332" s="472"/>
      <c r="K332" s="472"/>
      <c r="L332" s="472"/>
      <c r="M332" s="472"/>
      <c r="N332" s="472"/>
      <c r="O332" s="472"/>
      <c r="P332" s="472"/>
      <c r="Q332" s="472"/>
      <c r="R332" s="472"/>
      <c r="S332" s="472"/>
      <c r="T332" s="472"/>
      <c r="U332" s="472"/>
      <c r="V332" s="472"/>
      <c r="W332" s="472"/>
      <c r="X332" s="472"/>
      <c r="Y332" s="472"/>
    </row>
    <row r="333" spans="1:25" x14ac:dyDescent="0.35">
      <c r="A333" s="472"/>
      <c r="B333" s="494"/>
      <c r="C333" s="494">
        <v>1</v>
      </c>
      <c r="D333" s="494" t="s">
        <v>620</v>
      </c>
      <c r="E333" s="494"/>
      <c r="F333" s="499">
        <f>F325</f>
        <v>1400</v>
      </c>
      <c r="G333" s="494" t="s">
        <v>264</v>
      </c>
      <c r="H333" s="494"/>
      <c r="I333" s="494"/>
      <c r="J333" s="494"/>
      <c r="K333" s="472"/>
      <c r="L333" s="472"/>
      <c r="M333" s="472"/>
      <c r="N333" s="472"/>
      <c r="O333" s="472"/>
      <c r="P333" s="472"/>
      <c r="Q333" s="472"/>
      <c r="R333" s="472"/>
      <c r="S333" s="472"/>
      <c r="T333" s="472"/>
      <c r="U333" s="472"/>
      <c r="V333" s="472"/>
      <c r="W333" s="472"/>
      <c r="X333" s="472"/>
      <c r="Y333" s="472"/>
    </row>
    <row r="334" spans="1:25" x14ac:dyDescent="0.35">
      <c r="A334" s="472"/>
      <c r="B334" s="494" t="s">
        <v>401</v>
      </c>
      <c r="C334" s="386">
        <f>C332/F333</f>
        <v>0.70714285714285718</v>
      </c>
      <c r="D334" s="71" t="s">
        <v>584</v>
      </c>
      <c r="E334" s="494"/>
      <c r="F334" s="494"/>
      <c r="G334" s="494"/>
      <c r="H334" s="494"/>
      <c r="I334" s="494"/>
      <c r="J334" s="494"/>
      <c r="K334" s="494"/>
      <c r="L334" s="494"/>
      <c r="M334" s="494"/>
      <c r="N334" s="494"/>
      <c r="O334" s="494"/>
      <c r="P334" s="494"/>
      <c r="Q334" s="494"/>
      <c r="R334" s="494"/>
      <c r="S334" s="494"/>
      <c r="T334" s="494"/>
      <c r="U334" s="494"/>
      <c r="V334" s="494"/>
      <c r="W334" s="494"/>
      <c r="X334" s="494"/>
      <c r="Y334" s="472"/>
    </row>
    <row r="335" spans="1:25" x14ac:dyDescent="0.35">
      <c r="A335" s="472"/>
      <c r="B335" s="494"/>
      <c r="C335" s="494"/>
      <c r="D335" s="494"/>
      <c r="E335" s="494"/>
      <c r="F335" s="494"/>
      <c r="G335" s="494"/>
      <c r="H335" s="494"/>
      <c r="I335" s="494"/>
      <c r="J335" s="494"/>
      <c r="K335" s="494"/>
      <c r="L335" s="503"/>
      <c r="M335" s="494"/>
      <c r="N335" s="494"/>
      <c r="O335" s="494"/>
      <c r="P335" s="494"/>
      <c r="Q335" s="494"/>
      <c r="R335" s="494"/>
      <c r="S335" s="494"/>
      <c r="T335" s="494"/>
      <c r="U335" s="494"/>
      <c r="V335" s="494"/>
      <c r="W335" s="494"/>
      <c r="X335" s="494"/>
      <c r="Y335" s="472"/>
    </row>
    <row r="336" spans="1:25" x14ac:dyDescent="0.35">
      <c r="A336" s="594" t="s">
        <v>625</v>
      </c>
      <c r="B336" s="594"/>
      <c r="C336" s="594"/>
      <c r="D336" s="594"/>
      <c r="E336" s="594"/>
      <c r="F336" s="594"/>
      <c r="G336" s="594"/>
      <c r="H336" s="594"/>
      <c r="I336" s="594"/>
      <c r="J336" s="594"/>
      <c r="K336" s="68"/>
      <c r="L336" s="472"/>
      <c r="M336" s="472"/>
      <c r="N336" s="68"/>
      <c r="O336" s="472"/>
      <c r="P336" s="472"/>
      <c r="Q336" s="472"/>
      <c r="R336" s="472"/>
      <c r="S336" s="472"/>
      <c r="T336" s="472"/>
      <c r="U336" s="472"/>
      <c r="V336" s="472"/>
      <c r="W336" s="472"/>
      <c r="X336" s="472"/>
      <c r="Y336" s="472"/>
    </row>
    <row r="337" spans="1:25" x14ac:dyDescent="0.35">
      <c r="A337" s="472" t="s">
        <v>579</v>
      </c>
      <c r="B337" s="494" t="s">
        <v>401</v>
      </c>
      <c r="C337" s="495">
        <v>3</v>
      </c>
      <c r="D337" s="496" t="s">
        <v>532</v>
      </c>
      <c r="E337" s="494" t="s">
        <v>476</v>
      </c>
      <c r="F337" s="505">
        <v>3.7850000000000001</v>
      </c>
      <c r="G337" s="496" t="s">
        <v>524</v>
      </c>
      <c r="H337" s="494" t="s">
        <v>476</v>
      </c>
      <c r="I337" s="495">
        <f>F333</f>
        <v>1400</v>
      </c>
      <c r="J337" s="496" t="s">
        <v>278</v>
      </c>
      <c r="K337" s="494" t="s">
        <v>476</v>
      </c>
      <c r="L337" s="496">
        <v>1</v>
      </c>
      <c r="M337" s="496" t="s">
        <v>508</v>
      </c>
      <c r="N337" s="494" t="s">
        <v>476</v>
      </c>
      <c r="O337" s="495">
        <v>1440</v>
      </c>
      <c r="P337" s="496" t="s">
        <v>477</v>
      </c>
      <c r="Q337" s="494" t="s">
        <v>476</v>
      </c>
      <c r="R337" s="496">
        <v>365</v>
      </c>
      <c r="S337" s="496" t="s">
        <v>235</v>
      </c>
      <c r="T337" s="494"/>
      <c r="U337" s="494"/>
      <c r="V337" s="472"/>
      <c r="W337" s="472"/>
      <c r="X337" s="472"/>
      <c r="Y337" s="472"/>
    </row>
    <row r="338" spans="1:25" x14ac:dyDescent="0.35">
      <c r="A338" s="31" t="s">
        <v>580</v>
      </c>
      <c r="B338" s="494"/>
      <c r="C338" s="494">
        <v>1</v>
      </c>
      <c r="D338" s="494" t="s">
        <v>524</v>
      </c>
      <c r="E338" s="494"/>
      <c r="F338" s="494">
        <v>1</v>
      </c>
      <c r="G338" s="494" t="s">
        <v>278</v>
      </c>
      <c r="H338" s="494"/>
      <c r="I338" s="503"/>
      <c r="J338" s="494" t="s">
        <v>477</v>
      </c>
      <c r="K338" s="494"/>
      <c r="L338" s="499">
        <v>453600</v>
      </c>
      <c r="M338" s="494" t="s">
        <v>532</v>
      </c>
      <c r="N338" s="494"/>
      <c r="O338" s="503"/>
      <c r="P338" s="494" t="s">
        <v>235</v>
      </c>
      <c r="Q338" s="494"/>
      <c r="R338" s="494">
        <v>1</v>
      </c>
      <c r="S338" s="494" t="s">
        <v>543</v>
      </c>
      <c r="T338" s="494"/>
      <c r="U338" s="494"/>
      <c r="V338" s="472"/>
      <c r="W338" s="472"/>
      <c r="X338" s="472"/>
      <c r="Y338" s="472"/>
    </row>
    <row r="339" spans="1:25" x14ac:dyDescent="0.35">
      <c r="A339" s="472"/>
      <c r="B339" s="494" t="s">
        <v>401</v>
      </c>
      <c r="C339" s="385">
        <f>C337*F337*I337*O337*R337/L338</f>
        <v>18420.333333333332</v>
      </c>
      <c r="D339" s="70" t="s">
        <v>617</v>
      </c>
      <c r="E339" s="494"/>
      <c r="F339" s="494"/>
      <c r="G339" s="494"/>
      <c r="H339" s="494"/>
      <c r="I339" s="494"/>
      <c r="J339" s="494"/>
      <c r="K339" s="494"/>
      <c r="L339" s="503"/>
      <c r="M339" s="494"/>
      <c r="N339" s="494"/>
      <c r="O339" s="494"/>
      <c r="P339" s="494"/>
      <c r="Q339" s="494"/>
      <c r="R339" s="494"/>
      <c r="S339" s="494"/>
      <c r="T339" s="494"/>
      <c r="U339" s="494"/>
      <c r="V339" s="494"/>
      <c r="W339" s="494"/>
      <c r="X339" s="494"/>
      <c r="Y339" s="472"/>
    </row>
    <row r="340" spans="1:25" x14ac:dyDescent="0.35">
      <c r="A340" s="472"/>
      <c r="B340" s="494"/>
      <c r="C340" s="69"/>
      <c r="D340" s="70"/>
      <c r="E340" s="494"/>
      <c r="F340" s="494"/>
      <c r="G340" s="494"/>
      <c r="H340" s="494"/>
      <c r="I340" s="494"/>
      <c r="J340" s="494"/>
      <c r="K340" s="494"/>
      <c r="L340" s="503"/>
      <c r="M340" s="494"/>
      <c r="N340" s="494"/>
      <c r="O340" s="494"/>
      <c r="P340" s="494"/>
      <c r="Q340" s="494"/>
      <c r="R340" s="494"/>
      <c r="S340" s="494"/>
      <c r="T340" s="494"/>
      <c r="U340" s="494"/>
      <c r="V340" s="494"/>
      <c r="W340" s="494"/>
      <c r="X340" s="494"/>
      <c r="Y340" s="472"/>
    </row>
    <row r="341" spans="1:25" x14ac:dyDescent="0.35">
      <c r="A341" s="472" t="s">
        <v>583</v>
      </c>
      <c r="B341" s="494" t="s">
        <v>401</v>
      </c>
      <c r="C341" s="495">
        <f>C339</f>
        <v>18420.333333333332</v>
      </c>
      <c r="D341" s="496" t="s">
        <v>619</v>
      </c>
      <c r="E341" s="494" t="s">
        <v>476</v>
      </c>
      <c r="F341" s="496"/>
      <c r="G341" s="496"/>
      <c r="H341" s="472"/>
      <c r="I341" s="472"/>
      <c r="J341" s="472"/>
      <c r="K341" s="472"/>
      <c r="L341" s="472"/>
      <c r="M341" s="472"/>
      <c r="N341" s="472"/>
      <c r="O341" s="472"/>
      <c r="P341" s="472"/>
      <c r="Q341" s="472"/>
      <c r="R341" s="472"/>
      <c r="S341" s="472"/>
      <c r="T341" s="472"/>
      <c r="U341" s="472"/>
      <c r="V341" s="472"/>
      <c r="W341" s="472"/>
      <c r="X341" s="472"/>
      <c r="Y341" s="472"/>
    </row>
    <row r="342" spans="1:25" x14ac:dyDescent="0.35">
      <c r="A342" s="472"/>
      <c r="B342" s="494"/>
      <c r="C342" s="494">
        <v>1</v>
      </c>
      <c r="D342" s="494" t="s">
        <v>620</v>
      </c>
      <c r="E342" s="494"/>
      <c r="F342" s="499">
        <f>I337</f>
        <v>1400</v>
      </c>
      <c r="G342" s="494" t="s">
        <v>264</v>
      </c>
      <c r="H342" s="494"/>
      <c r="I342" s="494"/>
      <c r="J342" s="494"/>
      <c r="K342" s="472"/>
      <c r="L342" s="472"/>
      <c r="M342" s="472"/>
      <c r="N342" s="472"/>
      <c r="O342" s="472"/>
      <c r="P342" s="472"/>
      <c r="Q342" s="472"/>
      <c r="R342" s="472"/>
      <c r="S342" s="472"/>
      <c r="T342" s="472"/>
      <c r="U342" s="472"/>
      <c r="V342" s="472"/>
      <c r="W342" s="472"/>
      <c r="X342" s="472"/>
      <c r="Y342" s="472"/>
    </row>
    <row r="343" spans="1:25" x14ac:dyDescent="0.35">
      <c r="A343" s="472"/>
      <c r="B343" s="494" t="s">
        <v>401</v>
      </c>
      <c r="C343" s="79">
        <f>C341/F342</f>
        <v>13.157380952380951</v>
      </c>
      <c r="D343" s="71" t="s">
        <v>584</v>
      </c>
      <c r="E343" s="494"/>
      <c r="F343" s="494"/>
      <c r="G343" s="494"/>
      <c r="H343" s="494"/>
      <c r="I343" s="494"/>
      <c r="J343" s="494"/>
      <c r="K343" s="494"/>
      <c r="L343" s="494"/>
      <c r="M343" s="494"/>
      <c r="N343" s="494"/>
      <c r="O343" s="494"/>
      <c r="P343" s="494"/>
      <c r="Q343" s="494"/>
      <c r="R343" s="494"/>
      <c r="S343" s="494"/>
      <c r="T343" s="494"/>
      <c r="U343" s="494"/>
      <c r="V343" s="494"/>
      <c r="W343" s="494"/>
      <c r="X343" s="494"/>
      <c r="Y343" s="472"/>
    </row>
    <row r="344" spans="1:25" x14ac:dyDescent="0.35">
      <c r="A344" s="472"/>
      <c r="B344" s="494"/>
      <c r="C344" s="494"/>
      <c r="D344" s="494"/>
      <c r="E344" s="494"/>
      <c r="F344" s="494"/>
      <c r="G344" s="494"/>
      <c r="H344" s="494"/>
      <c r="I344" s="494"/>
      <c r="J344" s="494"/>
      <c r="K344" s="494"/>
      <c r="L344" s="503"/>
      <c r="M344" s="494"/>
      <c r="N344" s="494"/>
      <c r="O344" s="494"/>
      <c r="P344" s="494"/>
      <c r="Q344" s="494"/>
      <c r="R344" s="494"/>
      <c r="S344" s="494"/>
      <c r="T344" s="494"/>
      <c r="U344" s="494"/>
      <c r="V344" s="494"/>
      <c r="W344" s="494"/>
      <c r="X344" s="494"/>
      <c r="Y344" s="472"/>
    </row>
    <row r="345" spans="1:25" x14ac:dyDescent="0.35">
      <c r="A345" s="594" t="s">
        <v>626</v>
      </c>
      <c r="B345" s="594"/>
      <c r="C345" s="594"/>
      <c r="D345" s="594"/>
      <c r="E345" s="594"/>
      <c r="F345" s="594"/>
      <c r="G345" s="594"/>
      <c r="H345" s="594"/>
      <c r="I345" s="594"/>
      <c r="J345" s="594"/>
      <c r="K345" s="68"/>
      <c r="L345" s="472"/>
      <c r="M345" s="472"/>
      <c r="N345" s="68"/>
      <c r="O345" s="472"/>
      <c r="P345" s="472"/>
      <c r="Q345" s="472"/>
      <c r="R345" s="472"/>
      <c r="S345" s="472"/>
      <c r="T345" s="472"/>
      <c r="U345" s="472"/>
      <c r="V345" s="472"/>
      <c r="W345" s="472"/>
      <c r="X345" s="472"/>
      <c r="Y345" s="472"/>
    </row>
    <row r="346" spans="1:25" x14ac:dyDescent="0.35">
      <c r="A346" s="472" t="s">
        <v>579</v>
      </c>
      <c r="B346" s="494" t="s">
        <v>401</v>
      </c>
      <c r="C346" s="495">
        <v>1</v>
      </c>
      <c r="D346" s="496" t="s">
        <v>532</v>
      </c>
      <c r="E346" s="494" t="s">
        <v>476</v>
      </c>
      <c r="F346" s="505">
        <v>3.7850000000000001</v>
      </c>
      <c r="G346" s="496" t="s">
        <v>524</v>
      </c>
      <c r="H346" s="494" t="s">
        <v>476</v>
      </c>
      <c r="I346" s="495">
        <f>I337</f>
        <v>1400</v>
      </c>
      <c r="J346" s="496" t="s">
        <v>278</v>
      </c>
      <c r="K346" s="494" t="s">
        <v>476</v>
      </c>
      <c r="L346" s="496">
        <v>1</v>
      </c>
      <c r="M346" s="496" t="s">
        <v>508</v>
      </c>
      <c r="N346" s="494" t="s">
        <v>476</v>
      </c>
      <c r="O346" s="495">
        <v>1440</v>
      </c>
      <c r="P346" s="496" t="s">
        <v>477</v>
      </c>
      <c r="Q346" s="494" t="s">
        <v>476</v>
      </c>
      <c r="R346" s="496">
        <v>365</v>
      </c>
      <c r="S346" s="496" t="s">
        <v>235</v>
      </c>
      <c r="T346" s="494"/>
      <c r="U346" s="494"/>
      <c r="V346" s="472"/>
      <c r="W346" s="472"/>
      <c r="X346" s="472"/>
      <c r="Y346" s="472"/>
    </row>
    <row r="347" spans="1:25" x14ac:dyDescent="0.35">
      <c r="A347" s="31" t="s">
        <v>580</v>
      </c>
      <c r="B347" s="494"/>
      <c r="C347" s="494">
        <v>1</v>
      </c>
      <c r="D347" s="494" t="s">
        <v>524</v>
      </c>
      <c r="E347" s="494"/>
      <c r="F347" s="494">
        <v>1</v>
      </c>
      <c r="G347" s="494" t="s">
        <v>278</v>
      </c>
      <c r="H347" s="494"/>
      <c r="I347" s="503"/>
      <c r="J347" s="494" t="s">
        <v>477</v>
      </c>
      <c r="K347" s="494"/>
      <c r="L347" s="499">
        <v>453600</v>
      </c>
      <c r="M347" s="494" t="s">
        <v>532</v>
      </c>
      <c r="N347" s="494"/>
      <c r="O347" s="503"/>
      <c r="P347" s="494" t="s">
        <v>235</v>
      </c>
      <c r="Q347" s="494"/>
      <c r="R347" s="494">
        <v>1</v>
      </c>
      <c r="S347" s="494" t="s">
        <v>543</v>
      </c>
      <c r="T347" s="494"/>
      <c r="U347" s="494"/>
      <c r="V347" s="472"/>
      <c r="W347" s="472"/>
      <c r="X347" s="472"/>
      <c r="Y347" s="472"/>
    </row>
    <row r="348" spans="1:25" x14ac:dyDescent="0.35">
      <c r="A348" s="472"/>
      <c r="B348" s="494" t="s">
        <v>401</v>
      </c>
      <c r="C348" s="385">
        <f>C346*F346*I346*O346*R346/L347</f>
        <v>6140.1111111111113</v>
      </c>
      <c r="D348" s="70" t="s">
        <v>617</v>
      </c>
      <c r="E348" s="494"/>
      <c r="F348" s="494"/>
      <c r="G348" s="494"/>
      <c r="H348" s="494"/>
      <c r="I348" s="494"/>
      <c r="J348" s="494"/>
      <c r="K348" s="494"/>
      <c r="L348" s="503"/>
      <c r="M348" s="494"/>
      <c r="N348" s="494"/>
      <c r="O348" s="494"/>
      <c r="P348" s="494"/>
      <c r="Q348" s="494"/>
      <c r="R348" s="494"/>
      <c r="S348" s="494"/>
      <c r="T348" s="494"/>
      <c r="U348" s="494"/>
      <c r="V348" s="494"/>
      <c r="W348" s="494"/>
      <c r="X348" s="494"/>
      <c r="Y348" s="472"/>
    </row>
    <row r="349" spans="1:25" x14ac:dyDescent="0.35">
      <c r="A349" s="472"/>
      <c r="B349" s="494"/>
      <c r="C349" s="69"/>
      <c r="D349" s="70"/>
      <c r="E349" s="494"/>
      <c r="F349" s="494"/>
      <c r="G349" s="494"/>
      <c r="H349" s="494"/>
      <c r="I349" s="494"/>
      <c r="J349" s="494"/>
      <c r="K349" s="494"/>
      <c r="L349" s="503"/>
      <c r="M349" s="494"/>
      <c r="N349" s="494"/>
      <c r="O349" s="494"/>
      <c r="P349" s="494"/>
      <c r="Q349" s="494"/>
      <c r="R349" s="494"/>
      <c r="S349" s="494"/>
      <c r="T349" s="494"/>
      <c r="U349" s="494"/>
      <c r="V349" s="494"/>
      <c r="W349" s="494"/>
      <c r="X349" s="494"/>
      <c r="Y349" s="472"/>
    </row>
    <row r="350" spans="1:25" x14ac:dyDescent="0.35">
      <c r="A350" s="472" t="s">
        <v>583</v>
      </c>
      <c r="B350" s="494" t="s">
        <v>401</v>
      </c>
      <c r="C350" s="495">
        <f>C348</f>
        <v>6140.1111111111113</v>
      </c>
      <c r="D350" s="496" t="s">
        <v>508</v>
      </c>
      <c r="E350" s="494" t="s">
        <v>476</v>
      </c>
      <c r="F350" s="496"/>
      <c r="G350" s="496"/>
      <c r="H350" s="472"/>
      <c r="I350" s="472"/>
      <c r="J350" s="472"/>
      <c r="K350" s="472"/>
      <c r="L350" s="472"/>
      <c r="M350" s="472"/>
      <c r="N350" s="472"/>
      <c r="O350" s="472"/>
      <c r="P350" s="472"/>
      <c r="Q350" s="472"/>
      <c r="R350" s="472"/>
      <c r="S350" s="472"/>
      <c r="T350" s="472"/>
      <c r="U350" s="472"/>
      <c r="V350" s="472"/>
      <c r="W350" s="472"/>
      <c r="X350" s="472"/>
      <c r="Y350" s="472"/>
    </row>
    <row r="351" spans="1:25" x14ac:dyDescent="0.35">
      <c r="A351" s="472"/>
      <c r="B351" s="494"/>
      <c r="C351" s="494">
        <v>1</v>
      </c>
      <c r="D351" s="494" t="s">
        <v>543</v>
      </c>
      <c r="E351" s="494"/>
      <c r="F351" s="499">
        <f>I346</f>
        <v>1400</v>
      </c>
      <c r="G351" s="494" t="s">
        <v>264</v>
      </c>
      <c r="H351" s="494"/>
      <c r="I351" s="494"/>
      <c r="J351" s="494"/>
      <c r="K351" s="472"/>
      <c r="L351" s="472"/>
      <c r="M351" s="472"/>
      <c r="N351" s="472"/>
      <c r="O351" s="472"/>
      <c r="P351" s="472"/>
      <c r="Q351" s="472"/>
      <c r="R351" s="472"/>
      <c r="S351" s="472"/>
      <c r="T351" s="472"/>
      <c r="U351" s="472"/>
      <c r="V351" s="472"/>
      <c r="W351" s="472"/>
      <c r="X351" s="472"/>
      <c r="Y351" s="472"/>
    </row>
    <row r="352" spans="1:25" x14ac:dyDescent="0.35">
      <c r="A352" s="472"/>
      <c r="B352" s="494" t="s">
        <v>401</v>
      </c>
      <c r="C352" s="79">
        <f>C350/F351</f>
        <v>4.3857936507936506</v>
      </c>
      <c r="D352" s="71" t="s">
        <v>584</v>
      </c>
      <c r="E352" s="494"/>
      <c r="F352" s="494"/>
      <c r="G352" s="494"/>
      <c r="H352" s="494"/>
      <c r="I352" s="494"/>
      <c r="J352" s="494"/>
      <c r="K352" s="494"/>
      <c r="L352" s="494"/>
      <c r="M352" s="494"/>
      <c r="N352" s="494"/>
      <c r="O352" s="494"/>
      <c r="P352" s="494"/>
      <c r="Q352" s="494"/>
      <c r="R352" s="494"/>
      <c r="S352" s="494"/>
      <c r="T352" s="494"/>
      <c r="U352" s="494"/>
      <c r="V352" s="494"/>
      <c r="W352" s="494"/>
      <c r="X352" s="494"/>
      <c r="Y352" s="472"/>
    </row>
    <row r="353" spans="1:25" x14ac:dyDescent="0.35">
      <c r="A353" s="472"/>
      <c r="B353" s="494"/>
      <c r="C353" s="494"/>
      <c r="D353" s="494"/>
      <c r="E353" s="494"/>
      <c r="F353" s="494"/>
      <c r="G353" s="494"/>
      <c r="H353" s="494"/>
      <c r="I353" s="494"/>
      <c r="J353" s="494"/>
      <c r="K353" s="494"/>
      <c r="L353" s="503"/>
      <c r="M353" s="494"/>
      <c r="N353" s="494"/>
      <c r="O353" s="494"/>
      <c r="P353" s="494"/>
      <c r="Q353" s="494"/>
      <c r="R353" s="494"/>
      <c r="S353" s="494"/>
      <c r="T353" s="494"/>
      <c r="U353" s="494"/>
      <c r="V353" s="494"/>
      <c r="W353" s="494"/>
      <c r="X353" s="494"/>
      <c r="Y353" s="472"/>
    </row>
    <row r="354" spans="1:25" x14ac:dyDescent="0.35">
      <c r="A354" s="464" t="s">
        <v>627</v>
      </c>
      <c r="B354" s="68"/>
      <c r="C354" s="68"/>
      <c r="D354" s="68"/>
      <c r="E354" s="68"/>
      <c r="F354" s="68"/>
      <c r="G354" s="68"/>
      <c r="H354" s="68"/>
      <c r="I354" s="68"/>
      <c r="J354" s="68"/>
      <c r="K354" s="68"/>
      <c r="L354" s="472"/>
      <c r="M354" s="472"/>
      <c r="N354" s="68"/>
      <c r="O354" s="472"/>
      <c r="P354" s="472"/>
      <c r="Q354" s="472"/>
      <c r="R354" s="472"/>
      <c r="S354" s="472"/>
      <c r="T354" s="472"/>
      <c r="U354" s="472"/>
      <c r="V354" s="472"/>
      <c r="W354" s="472"/>
      <c r="X354" s="472"/>
      <c r="Y354" s="472"/>
    </row>
    <row r="355" spans="1:25" x14ac:dyDescent="0.35">
      <c r="A355" s="472" t="s">
        <v>628</v>
      </c>
      <c r="B355" s="494" t="s">
        <v>401</v>
      </c>
      <c r="C355" s="514" t="s">
        <v>629</v>
      </c>
      <c r="D355" s="515"/>
      <c r="E355" s="494" t="s">
        <v>630</v>
      </c>
      <c r="F355" s="516" t="s">
        <v>631</v>
      </c>
      <c r="G355" s="494"/>
      <c r="H355" s="494"/>
      <c r="I355" s="499"/>
      <c r="J355" s="494"/>
      <c r="K355" s="494"/>
      <c r="L355" s="494"/>
      <c r="M355" s="494"/>
      <c r="N355" s="494"/>
      <c r="O355" s="494"/>
      <c r="P355" s="494"/>
      <c r="Q355" s="494"/>
      <c r="R355" s="494"/>
      <c r="S355" s="494"/>
      <c r="T355" s="494"/>
      <c r="U355" s="494"/>
      <c r="V355" s="472"/>
      <c r="W355" s="472"/>
      <c r="X355" s="472"/>
      <c r="Y355" s="472"/>
    </row>
    <row r="356" spans="1:25" x14ac:dyDescent="0.35">
      <c r="A356" s="31"/>
      <c r="B356" s="494" t="s">
        <v>401</v>
      </c>
      <c r="C356" s="506">
        <f>C273</f>
        <v>0.67</v>
      </c>
      <c r="D356" s="496" t="s">
        <v>278</v>
      </c>
      <c r="E356" s="496" t="s">
        <v>630</v>
      </c>
      <c r="F356" s="500">
        <f>C236</f>
        <v>39</v>
      </c>
      <c r="G356" s="496" t="s">
        <v>278</v>
      </c>
      <c r="H356" s="494"/>
      <c r="I356" s="503"/>
      <c r="J356" s="494"/>
      <c r="K356" s="494"/>
      <c r="L356" s="494"/>
      <c r="M356" s="494"/>
      <c r="N356" s="494"/>
      <c r="O356" s="494"/>
      <c r="P356" s="494"/>
      <c r="Q356" s="494"/>
      <c r="R356" s="494"/>
      <c r="S356" s="494"/>
      <c r="T356" s="494"/>
      <c r="U356" s="494"/>
      <c r="V356" s="472"/>
      <c r="W356" s="472"/>
      <c r="X356" s="472"/>
      <c r="Y356" s="472"/>
    </row>
    <row r="357" spans="1:25" x14ac:dyDescent="0.35">
      <c r="A357" s="472"/>
      <c r="B357" s="494"/>
      <c r="C357" s="73"/>
      <c r="D357" s="494" t="s">
        <v>477</v>
      </c>
      <c r="E357" s="494"/>
      <c r="F357" s="494"/>
      <c r="G357" s="494" t="s">
        <v>477</v>
      </c>
      <c r="H357" s="494"/>
      <c r="I357" s="494"/>
      <c r="J357" s="494"/>
      <c r="K357" s="494"/>
      <c r="L357" s="503"/>
      <c r="M357" s="494"/>
      <c r="N357" s="494"/>
      <c r="O357" s="494"/>
      <c r="P357" s="494"/>
      <c r="Q357" s="494"/>
      <c r="R357" s="494"/>
      <c r="S357" s="494"/>
      <c r="T357" s="494"/>
      <c r="U357" s="494"/>
      <c r="V357" s="494"/>
      <c r="W357" s="494"/>
      <c r="X357" s="494"/>
      <c r="Y357" s="472"/>
    </row>
    <row r="358" spans="1:25" x14ac:dyDescent="0.35">
      <c r="A358" s="472" t="s">
        <v>628</v>
      </c>
      <c r="B358" s="494" t="s">
        <v>401</v>
      </c>
      <c r="C358" s="387">
        <f>C356+F356</f>
        <v>39.67</v>
      </c>
      <c r="D358" s="70" t="s">
        <v>264</v>
      </c>
      <c r="E358" s="494"/>
      <c r="F358" s="494"/>
      <c r="G358" s="494"/>
      <c r="H358" s="494"/>
      <c r="I358" s="494"/>
      <c r="J358" s="494"/>
      <c r="K358" s="494"/>
      <c r="L358" s="503"/>
      <c r="M358" s="494"/>
      <c r="N358" s="494"/>
      <c r="O358" s="494"/>
      <c r="P358" s="494"/>
      <c r="Q358" s="494"/>
      <c r="R358" s="494"/>
      <c r="S358" s="494"/>
      <c r="T358" s="494"/>
      <c r="U358" s="494"/>
      <c r="V358" s="494"/>
      <c r="W358" s="494"/>
      <c r="X358" s="494"/>
      <c r="Y358" s="472"/>
    </row>
    <row r="359" spans="1:25" x14ac:dyDescent="0.35">
      <c r="A359" s="472"/>
      <c r="B359" s="494"/>
      <c r="C359" s="509"/>
      <c r="D359" s="494"/>
      <c r="E359" s="494"/>
      <c r="F359" s="494"/>
      <c r="G359" s="494"/>
      <c r="H359" s="472"/>
      <c r="I359" s="472"/>
      <c r="J359" s="472"/>
      <c r="K359" s="472"/>
      <c r="L359" s="472"/>
      <c r="M359" s="472"/>
      <c r="N359" s="472"/>
      <c r="O359" s="472"/>
      <c r="P359" s="472"/>
      <c r="Q359" s="472"/>
      <c r="R359" s="472"/>
      <c r="S359" s="472"/>
      <c r="T359" s="472"/>
      <c r="U359" s="472"/>
      <c r="V359" s="472"/>
      <c r="W359" s="472"/>
      <c r="X359" s="472"/>
      <c r="Y359" s="472"/>
    </row>
    <row r="360" spans="1:25" x14ac:dyDescent="0.35">
      <c r="A360" s="64" t="s">
        <v>475</v>
      </c>
      <c r="B360" s="65" t="s">
        <v>401</v>
      </c>
      <c r="C360" s="388">
        <f>C358</f>
        <v>39.67</v>
      </c>
      <c r="D360" s="40" t="s">
        <v>278</v>
      </c>
      <c r="E360" s="37" t="s">
        <v>476</v>
      </c>
      <c r="F360" s="40">
        <v>75</v>
      </c>
      <c r="G360" s="40" t="s">
        <v>477</v>
      </c>
      <c r="H360" s="494"/>
      <c r="I360" s="494"/>
      <c r="J360" s="494"/>
      <c r="K360" s="494"/>
      <c r="L360" s="503"/>
      <c r="M360" s="494"/>
      <c r="N360" s="494"/>
      <c r="O360" s="494"/>
      <c r="P360" s="494"/>
      <c r="Q360" s="494"/>
      <c r="R360" s="494"/>
      <c r="S360" s="494"/>
      <c r="T360" s="494"/>
      <c r="U360" s="494"/>
      <c r="V360" s="494"/>
      <c r="W360" s="494"/>
      <c r="X360" s="494"/>
      <c r="Y360" s="472"/>
    </row>
    <row r="361" spans="1:25" x14ac:dyDescent="0.35">
      <c r="A361" s="64"/>
      <c r="B361" s="65"/>
      <c r="C361" s="60">
        <v>1</v>
      </c>
      <c r="D361" s="37" t="s">
        <v>477</v>
      </c>
      <c r="E361" s="37"/>
      <c r="F361" s="37"/>
      <c r="G361" s="37"/>
      <c r="H361" s="494"/>
      <c r="I361" s="494"/>
      <c r="J361" s="494"/>
      <c r="K361" s="494"/>
      <c r="L361" s="503"/>
      <c r="M361" s="494"/>
      <c r="N361" s="494"/>
      <c r="O361" s="494"/>
      <c r="P361" s="494"/>
      <c r="Q361" s="494"/>
      <c r="R361" s="494"/>
      <c r="S361" s="494"/>
      <c r="T361" s="494"/>
      <c r="U361" s="494"/>
      <c r="V361" s="494"/>
      <c r="W361" s="494"/>
      <c r="X361" s="494"/>
      <c r="Y361" s="472"/>
    </row>
    <row r="362" spans="1:25" x14ac:dyDescent="0.35">
      <c r="A362" s="64"/>
      <c r="B362" s="65" t="s">
        <v>401</v>
      </c>
      <c r="C362" s="66">
        <f>ROUNDUP((C360*F360),-3)</f>
        <v>3000</v>
      </c>
      <c r="D362" s="67" t="s">
        <v>278</v>
      </c>
      <c r="E362" s="37"/>
      <c r="F362" s="37"/>
      <c r="G362" s="37"/>
      <c r="H362" s="494"/>
      <c r="I362" s="494"/>
      <c r="J362" s="494"/>
      <c r="K362" s="494"/>
      <c r="L362" s="503"/>
      <c r="M362" s="494"/>
      <c r="N362" s="494"/>
      <c r="O362" s="494"/>
      <c r="P362" s="494"/>
      <c r="Q362" s="494"/>
      <c r="R362" s="494"/>
      <c r="S362" s="494"/>
      <c r="T362" s="494"/>
      <c r="U362" s="494"/>
      <c r="V362" s="494"/>
      <c r="W362" s="494"/>
      <c r="X362" s="494"/>
      <c r="Y362" s="472"/>
    </row>
    <row r="363" spans="1:25" x14ac:dyDescent="0.35">
      <c r="A363" s="64"/>
      <c r="B363" s="65"/>
      <c r="C363" s="60"/>
      <c r="D363" s="37"/>
      <c r="E363" s="37"/>
      <c r="F363" s="37"/>
      <c r="G363" s="37"/>
      <c r="H363" s="494"/>
      <c r="I363" s="494"/>
      <c r="J363" s="494"/>
      <c r="K363" s="494"/>
      <c r="L363" s="503"/>
      <c r="M363" s="494"/>
      <c r="N363" s="494"/>
      <c r="O363" s="494"/>
      <c r="P363" s="494"/>
      <c r="Q363" s="494"/>
      <c r="R363" s="494"/>
      <c r="S363" s="494"/>
      <c r="T363" s="494"/>
      <c r="U363" s="494"/>
      <c r="V363" s="494"/>
      <c r="W363" s="494"/>
      <c r="X363" s="494"/>
      <c r="Y363" s="472"/>
    </row>
    <row r="364" spans="1:25" ht="17" x14ac:dyDescent="0.35">
      <c r="A364" s="471"/>
      <c r="B364" s="473" t="s">
        <v>401</v>
      </c>
      <c r="C364" s="477">
        <f>C362</f>
        <v>3000</v>
      </c>
      <c r="D364" s="478" t="s">
        <v>278</v>
      </c>
      <c r="E364" s="471" t="s">
        <v>476</v>
      </c>
      <c r="F364" s="478">
        <v>1</v>
      </c>
      <c r="G364" s="478" t="s">
        <v>483</v>
      </c>
      <c r="H364" s="494"/>
      <c r="I364" s="494"/>
      <c r="J364" s="494"/>
      <c r="K364" s="494"/>
      <c r="L364" s="503"/>
      <c r="M364" s="494"/>
      <c r="N364" s="494"/>
      <c r="O364" s="494"/>
      <c r="P364" s="494"/>
      <c r="Q364" s="494"/>
      <c r="R364" s="494"/>
      <c r="S364" s="494"/>
      <c r="T364" s="494"/>
      <c r="U364" s="494"/>
      <c r="V364" s="494"/>
      <c r="W364" s="494"/>
      <c r="X364" s="494"/>
      <c r="Y364" s="472"/>
    </row>
    <row r="365" spans="1:25" x14ac:dyDescent="0.35">
      <c r="A365" s="471"/>
      <c r="B365" s="473"/>
      <c r="C365" s="28"/>
      <c r="D365" s="29"/>
      <c r="E365" s="471"/>
      <c r="F365" s="479">
        <v>7.4809999999999999</v>
      </c>
      <c r="G365" s="471" t="s">
        <v>278</v>
      </c>
      <c r="H365" s="494"/>
      <c r="I365" s="494"/>
      <c r="J365" s="494"/>
      <c r="K365" s="494"/>
      <c r="L365" s="503"/>
      <c r="M365" s="494"/>
      <c r="N365" s="494"/>
      <c r="O365" s="494"/>
      <c r="P365" s="494"/>
      <c r="Q365" s="494"/>
      <c r="R365" s="494"/>
      <c r="S365" s="494"/>
      <c r="T365" s="494"/>
      <c r="U365" s="494"/>
      <c r="V365" s="494"/>
      <c r="W365" s="494"/>
      <c r="X365" s="494"/>
      <c r="Y365" s="472"/>
    </row>
    <row r="366" spans="1:25" ht="16.5" x14ac:dyDescent="0.35">
      <c r="A366" s="471"/>
      <c r="B366" s="473" t="s">
        <v>401</v>
      </c>
      <c r="C366" s="28">
        <f>C364/F365</f>
        <v>401.01590696430958</v>
      </c>
      <c r="D366" s="29" t="s">
        <v>484</v>
      </c>
      <c r="E366" s="471"/>
      <c r="F366" s="471"/>
      <c r="G366" s="471"/>
      <c r="H366" s="494"/>
      <c r="I366" s="494"/>
      <c r="J366" s="494"/>
      <c r="K366" s="494"/>
      <c r="L366" s="503"/>
      <c r="M366" s="494"/>
      <c r="N366" s="494"/>
      <c r="O366" s="494"/>
      <c r="P366" s="494"/>
      <c r="Q366" s="494"/>
      <c r="R366" s="494"/>
      <c r="S366" s="494"/>
      <c r="T366" s="494"/>
      <c r="U366" s="494"/>
      <c r="V366" s="494"/>
      <c r="W366" s="494"/>
      <c r="X366" s="494"/>
      <c r="Y366" s="472"/>
    </row>
    <row r="367" spans="1:25" x14ac:dyDescent="0.35">
      <c r="A367" s="471"/>
      <c r="B367" s="473"/>
      <c r="C367" s="28"/>
      <c r="D367" s="29"/>
      <c r="E367" s="471"/>
      <c r="F367" s="471"/>
      <c r="G367" s="471"/>
      <c r="H367" s="494"/>
      <c r="I367" s="494"/>
      <c r="J367" s="494"/>
      <c r="K367" s="494"/>
      <c r="L367" s="503"/>
      <c r="M367" s="494"/>
      <c r="N367" s="494"/>
      <c r="O367" s="494"/>
      <c r="P367" s="494"/>
      <c r="Q367" s="494"/>
      <c r="R367" s="494"/>
      <c r="S367" s="494"/>
      <c r="T367" s="494"/>
      <c r="U367" s="494"/>
      <c r="V367" s="494"/>
      <c r="W367" s="494"/>
      <c r="X367" s="494"/>
      <c r="Y367" s="472"/>
    </row>
    <row r="368" spans="1:25" x14ac:dyDescent="0.35">
      <c r="A368" s="471" t="s">
        <v>485</v>
      </c>
      <c r="B368" s="473" t="s">
        <v>401</v>
      </c>
      <c r="C368" s="326">
        <v>15</v>
      </c>
      <c r="D368" s="327" t="s">
        <v>218</v>
      </c>
      <c r="E368" s="471"/>
      <c r="F368" s="471"/>
      <c r="G368" s="471"/>
      <c r="H368" s="494"/>
      <c r="I368" s="494"/>
      <c r="J368" s="494"/>
      <c r="K368" s="494"/>
      <c r="L368" s="503"/>
      <c r="M368" s="494"/>
      <c r="N368" s="494"/>
      <c r="O368" s="494"/>
      <c r="P368" s="494"/>
      <c r="Q368" s="494"/>
      <c r="R368" s="494"/>
      <c r="S368" s="494"/>
      <c r="T368" s="494"/>
      <c r="U368" s="494"/>
      <c r="V368" s="494"/>
      <c r="W368" s="494"/>
      <c r="X368" s="494"/>
      <c r="Y368" s="472"/>
    </row>
    <row r="369" spans="1:25" x14ac:dyDescent="0.35">
      <c r="A369" s="471"/>
      <c r="B369" s="473"/>
      <c r="C369" s="28"/>
      <c r="D369" s="29"/>
      <c r="E369" s="471"/>
      <c r="F369" s="471"/>
      <c r="G369" s="471"/>
      <c r="H369" s="494"/>
      <c r="I369" s="494"/>
      <c r="J369" s="494"/>
      <c r="K369" s="494"/>
      <c r="L369" s="503"/>
      <c r="M369" s="494"/>
      <c r="N369" s="494"/>
      <c r="O369" s="494"/>
      <c r="P369" s="494"/>
      <c r="Q369" s="494"/>
      <c r="R369" s="494"/>
      <c r="S369" s="494"/>
      <c r="T369" s="494"/>
      <c r="U369" s="494"/>
      <c r="V369" s="494"/>
      <c r="W369" s="494"/>
      <c r="X369" s="494"/>
      <c r="Y369" s="472"/>
    </row>
    <row r="370" spans="1:25" ht="17" x14ac:dyDescent="0.35">
      <c r="A370" s="471" t="s">
        <v>486</v>
      </c>
      <c r="B370" s="45" t="s">
        <v>401</v>
      </c>
      <c r="C370" s="480">
        <f>C366</f>
        <v>401.01590696430958</v>
      </c>
      <c r="D370" s="478" t="s">
        <v>483</v>
      </c>
      <c r="E370" s="471" t="s">
        <v>476</v>
      </c>
      <c r="F370" s="481">
        <v>4</v>
      </c>
      <c r="G370" s="46">
        <v>0.5</v>
      </c>
      <c r="H370" s="494"/>
      <c r="I370" s="494"/>
      <c r="J370" s="494"/>
      <c r="K370" s="494"/>
      <c r="L370" s="503"/>
      <c r="M370" s="494"/>
      <c r="N370" s="494"/>
      <c r="O370" s="494"/>
      <c r="P370" s="494"/>
      <c r="Q370" s="494"/>
      <c r="R370" s="494"/>
      <c r="S370" s="494"/>
      <c r="T370" s="494"/>
      <c r="U370" s="494"/>
      <c r="V370" s="494"/>
      <c r="W370" s="494"/>
      <c r="X370" s="494"/>
      <c r="Y370" s="472"/>
    </row>
    <row r="371" spans="1:25" x14ac:dyDescent="0.35">
      <c r="A371" s="471"/>
      <c r="B371" s="471"/>
      <c r="C371" s="482">
        <f>C368</f>
        <v>15</v>
      </c>
      <c r="D371" s="471" t="s">
        <v>218</v>
      </c>
      <c r="E371" s="471"/>
      <c r="F371" s="483" t="s">
        <v>487</v>
      </c>
      <c r="G371" s="471"/>
      <c r="H371" s="494"/>
      <c r="I371" s="494"/>
      <c r="J371" s="494"/>
      <c r="K371" s="494"/>
      <c r="L371" s="503"/>
      <c r="M371" s="494"/>
      <c r="N371" s="494"/>
      <c r="O371" s="494"/>
      <c r="P371" s="494"/>
      <c r="Q371" s="494"/>
      <c r="R371" s="494"/>
      <c r="S371" s="494"/>
      <c r="T371" s="494"/>
      <c r="U371" s="494"/>
      <c r="V371" s="494"/>
      <c r="W371" s="494"/>
      <c r="X371" s="494"/>
      <c r="Y371" s="472"/>
    </row>
    <row r="372" spans="1:25" x14ac:dyDescent="0.35">
      <c r="A372" s="471"/>
      <c r="B372" s="45" t="s">
        <v>401</v>
      </c>
      <c r="C372" s="47">
        <f>ROUNDUP(SQRT(C370/C371*F370/PI()),-0.5)</f>
        <v>6</v>
      </c>
      <c r="D372" s="29" t="s">
        <v>218</v>
      </c>
      <c r="E372" s="471"/>
      <c r="F372" s="471"/>
      <c r="G372" s="471"/>
      <c r="H372" s="494"/>
      <c r="I372" s="494"/>
      <c r="J372" s="494"/>
      <c r="K372" s="494"/>
      <c r="L372" s="503"/>
      <c r="M372" s="494"/>
      <c r="N372" s="494"/>
      <c r="O372" s="494"/>
      <c r="P372" s="494"/>
      <c r="Q372" s="494"/>
      <c r="R372" s="494"/>
      <c r="S372" s="494"/>
      <c r="T372" s="494"/>
      <c r="U372" s="494"/>
      <c r="V372" s="494"/>
      <c r="W372" s="494"/>
      <c r="X372" s="494"/>
      <c r="Y372" s="472"/>
    </row>
    <row r="373" spans="1:25" x14ac:dyDescent="0.35">
      <c r="A373" s="467"/>
      <c r="B373" s="467"/>
      <c r="C373" s="504"/>
      <c r="D373" s="467"/>
      <c r="E373" s="467"/>
      <c r="F373" s="467"/>
      <c r="G373" s="467"/>
      <c r="H373" s="467"/>
      <c r="I373" s="467"/>
      <c r="J373" s="467"/>
      <c r="K373" s="467"/>
      <c r="L373" s="467"/>
      <c r="M373" s="467"/>
      <c r="N373" s="467"/>
      <c r="O373" s="467"/>
      <c r="P373" s="467"/>
      <c r="Q373" s="467"/>
      <c r="R373" s="467"/>
      <c r="S373" s="467"/>
      <c r="T373" s="467"/>
      <c r="U373" s="467"/>
      <c r="V373" s="467"/>
      <c r="W373" s="467"/>
      <c r="X373" s="467"/>
      <c r="Y373" s="467"/>
    </row>
    <row r="374" spans="1:25" x14ac:dyDescent="0.35">
      <c r="A374" s="464" t="s">
        <v>632</v>
      </c>
      <c r="B374" s="68"/>
      <c r="C374" s="68"/>
      <c r="D374" s="68"/>
      <c r="E374" s="68"/>
      <c r="F374" s="68"/>
      <c r="G374" s="68"/>
      <c r="H374" s="68"/>
      <c r="I374" s="68"/>
      <c r="J374" s="68"/>
      <c r="K374" s="471"/>
      <c r="L374" s="471"/>
      <c r="M374" s="471"/>
      <c r="N374" s="471"/>
      <c r="O374" s="471"/>
      <c r="P374" s="471"/>
      <c r="Q374" s="471"/>
      <c r="R374" s="471"/>
      <c r="S374" s="471"/>
      <c r="T374" s="471"/>
      <c r="U374" s="471"/>
      <c r="V374" s="471"/>
      <c r="W374" s="471"/>
      <c r="X374" s="471"/>
      <c r="Y374" s="471"/>
    </row>
    <row r="375" spans="1:25" x14ac:dyDescent="0.35">
      <c r="A375" s="472" t="s">
        <v>633</v>
      </c>
      <c r="B375" s="494" t="s">
        <v>401</v>
      </c>
      <c r="C375" s="477">
        <f>SUM('STS Equipment List Input'!C17)*1.05</f>
        <v>262.5</v>
      </c>
      <c r="D375" s="478" t="s">
        <v>634</v>
      </c>
      <c r="E375" s="471" t="s">
        <v>476</v>
      </c>
      <c r="F375" s="517">
        <v>0.74570000000000003</v>
      </c>
      <c r="G375" s="478" t="s">
        <v>635</v>
      </c>
      <c r="H375" s="471" t="s">
        <v>476</v>
      </c>
      <c r="I375" s="478">
        <v>24</v>
      </c>
      <c r="J375" s="478" t="s">
        <v>586</v>
      </c>
      <c r="K375" s="471" t="s">
        <v>476</v>
      </c>
      <c r="L375" s="478">
        <v>365</v>
      </c>
      <c r="M375" s="478" t="s">
        <v>510</v>
      </c>
      <c r="N375" s="471"/>
      <c r="O375" s="471"/>
      <c r="P375" s="471"/>
      <c r="Q375" s="471"/>
      <c r="R375" s="471"/>
      <c r="S375" s="471"/>
      <c r="T375" s="471"/>
      <c r="U375" s="471"/>
      <c r="V375" s="471"/>
      <c r="W375" s="471"/>
      <c r="X375" s="471"/>
      <c r="Y375" s="471"/>
    </row>
    <row r="376" spans="1:25" x14ac:dyDescent="0.35">
      <c r="A376" s="471" t="s">
        <v>636</v>
      </c>
      <c r="B376" s="471"/>
      <c r="C376" s="28"/>
      <c r="D376" s="29"/>
      <c r="E376" s="471"/>
      <c r="F376" s="471">
        <v>1</v>
      </c>
      <c r="G376" s="471" t="s">
        <v>634</v>
      </c>
      <c r="H376" s="471"/>
      <c r="I376" s="471">
        <v>1</v>
      </c>
      <c r="J376" s="471" t="s">
        <v>510</v>
      </c>
      <c r="K376" s="471"/>
      <c r="L376" s="471">
        <v>1</v>
      </c>
      <c r="M376" s="471" t="s">
        <v>620</v>
      </c>
      <c r="N376" s="471"/>
      <c r="O376" s="474"/>
      <c r="P376" s="471"/>
      <c r="Q376" s="471"/>
      <c r="R376" s="471"/>
      <c r="S376" s="471"/>
      <c r="T376" s="471"/>
      <c r="U376" s="471"/>
      <c r="V376" s="471"/>
      <c r="W376" s="471"/>
      <c r="X376" s="471"/>
      <c r="Y376" s="471"/>
    </row>
    <row r="377" spans="1:25" x14ac:dyDescent="0.35">
      <c r="A377" s="471"/>
      <c r="B377" s="494" t="s">
        <v>401</v>
      </c>
      <c r="C377" s="474">
        <f>C375*F375*I375*L375</f>
        <v>1714737.15</v>
      </c>
      <c r="D377" s="471" t="s">
        <v>637</v>
      </c>
      <c r="E377" s="471"/>
      <c r="F377" s="471"/>
      <c r="G377" s="471"/>
      <c r="H377" s="471"/>
      <c r="I377" s="471"/>
      <c r="J377" s="471"/>
      <c r="K377" s="471"/>
      <c r="L377" s="471"/>
      <c r="M377" s="471"/>
      <c r="N377" s="471"/>
      <c r="O377" s="471"/>
      <c r="P377" s="471"/>
      <c r="Q377" s="471"/>
      <c r="R377" s="471"/>
      <c r="S377" s="471"/>
      <c r="T377" s="471"/>
      <c r="U377" s="471"/>
      <c r="V377" s="471"/>
      <c r="W377" s="471"/>
      <c r="X377" s="471"/>
      <c r="Y377" s="471"/>
    </row>
    <row r="379" spans="1:25" x14ac:dyDescent="0.35">
      <c r="A379" s="471"/>
      <c r="B379" s="494" t="s">
        <v>401</v>
      </c>
      <c r="C379" s="477">
        <f>C377</f>
        <v>1714737.15</v>
      </c>
      <c r="D379" s="478" t="s">
        <v>638</v>
      </c>
      <c r="E379" s="471" t="s">
        <v>476</v>
      </c>
      <c r="F379" s="478"/>
      <c r="G379" s="478"/>
      <c r="H379" s="471"/>
      <c r="I379" s="471"/>
      <c r="J379" s="471"/>
      <c r="K379" s="471"/>
      <c r="L379" s="471"/>
      <c r="M379" s="471"/>
      <c r="N379" s="471"/>
      <c r="O379" s="471"/>
      <c r="P379" s="471"/>
      <c r="Q379" s="471"/>
      <c r="R379" s="471"/>
      <c r="S379" s="471"/>
      <c r="T379" s="471"/>
      <c r="U379" s="471"/>
      <c r="V379" s="471"/>
      <c r="W379" s="471"/>
      <c r="X379" s="471"/>
      <c r="Y379" s="471"/>
    </row>
    <row r="380" spans="1:25" x14ac:dyDescent="0.35">
      <c r="A380" s="471"/>
      <c r="B380" s="471"/>
      <c r="C380" s="28"/>
      <c r="D380" s="471" t="s">
        <v>620</v>
      </c>
      <c r="E380" s="471"/>
      <c r="F380" s="474">
        <f>C11</f>
        <v>1400</v>
      </c>
      <c r="G380" s="471" t="s">
        <v>264</v>
      </c>
      <c r="H380" s="471"/>
      <c r="I380" s="471"/>
      <c r="J380" s="471"/>
      <c r="K380" s="471"/>
      <c r="L380" s="471"/>
      <c r="M380" s="471"/>
      <c r="N380" s="471"/>
      <c r="O380" s="471"/>
      <c r="P380" s="471"/>
      <c r="Q380" s="471"/>
      <c r="R380" s="471"/>
      <c r="S380" s="471"/>
      <c r="T380" s="471"/>
      <c r="U380" s="471"/>
      <c r="V380" s="471"/>
      <c r="W380" s="471"/>
      <c r="X380" s="471"/>
      <c r="Y380" s="471"/>
    </row>
    <row r="381" spans="1:25" x14ac:dyDescent="0.35">
      <c r="A381" s="471"/>
      <c r="B381" s="471"/>
      <c r="C381" s="80">
        <f>C379/F380</f>
        <v>1224.8122499999999</v>
      </c>
      <c r="D381" s="81" t="s">
        <v>639</v>
      </c>
      <c r="E381" s="471"/>
      <c r="F381" s="471"/>
      <c r="G381" s="471"/>
      <c r="H381" s="471"/>
      <c r="I381" s="471"/>
      <c r="J381" s="471"/>
      <c r="K381" s="471"/>
      <c r="L381" s="471"/>
      <c r="M381" s="471"/>
      <c r="N381" s="471"/>
      <c r="O381" s="471"/>
      <c r="P381" s="471"/>
      <c r="Q381" s="471"/>
      <c r="R381" s="471"/>
      <c r="S381" s="471"/>
      <c r="T381" s="471"/>
      <c r="U381" s="471"/>
      <c r="V381" s="471"/>
      <c r="W381" s="471"/>
      <c r="X381" s="471"/>
      <c r="Y381" s="471"/>
    </row>
    <row r="384" spans="1:25" x14ac:dyDescent="0.35">
      <c r="A384" s="472" t="s">
        <v>640</v>
      </c>
      <c r="B384" s="494" t="s">
        <v>401</v>
      </c>
      <c r="C384" s="477">
        <f>SUM('STS Equipment List Input'!C18:C38)*1.05</f>
        <v>51.555000000000007</v>
      </c>
      <c r="D384" s="478" t="s">
        <v>634</v>
      </c>
      <c r="E384" s="471" t="s">
        <v>476</v>
      </c>
      <c r="F384" s="517">
        <v>0.74570000000000003</v>
      </c>
      <c r="G384" s="478" t="s">
        <v>635</v>
      </c>
      <c r="H384" s="471" t="s">
        <v>476</v>
      </c>
      <c r="I384" s="478">
        <v>24</v>
      </c>
      <c r="J384" s="478" t="s">
        <v>586</v>
      </c>
      <c r="K384" s="471" t="s">
        <v>476</v>
      </c>
      <c r="L384" s="478">
        <v>365</v>
      </c>
      <c r="M384" s="478" t="s">
        <v>510</v>
      </c>
      <c r="N384" s="471"/>
      <c r="O384" s="471"/>
      <c r="P384" s="471"/>
      <c r="Q384" s="471"/>
      <c r="R384" s="471"/>
      <c r="S384" s="471"/>
      <c r="T384" s="471"/>
      <c r="U384" s="471"/>
      <c r="V384" s="471"/>
      <c r="W384" s="471"/>
      <c r="X384" s="471"/>
      <c r="Y384" s="471"/>
    </row>
    <row r="385" spans="1:25" x14ac:dyDescent="0.35">
      <c r="A385" s="471" t="s">
        <v>636</v>
      </c>
      <c r="B385" s="471"/>
      <c r="C385" s="28"/>
      <c r="D385" s="29"/>
      <c r="E385" s="471"/>
      <c r="F385" s="471">
        <v>1</v>
      </c>
      <c r="G385" s="471" t="s">
        <v>634</v>
      </c>
      <c r="H385" s="471"/>
      <c r="I385" s="471">
        <v>1</v>
      </c>
      <c r="J385" s="471" t="s">
        <v>510</v>
      </c>
      <c r="K385" s="471"/>
      <c r="L385" s="471">
        <v>1</v>
      </c>
      <c r="M385" s="471" t="s">
        <v>620</v>
      </c>
      <c r="N385" s="471"/>
      <c r="O385" s="471"/>
      <c r="P385" s="471"/>
      <c r="Q385" s="471"/>
      <c r="R385" s="471"/>
      <c r="S385" s="471"/>
      <c r="T385" s="471"/>
      <c r="U385" s="471"/>
      <c r="V385" s="471"/>
      <c r="W385" s="471"/>
      <c r="X385" s="471"/>
      <c r="Y385" s="471"/>
    </row>
    <row r="386" spans="1:25" x14ac:dyDescent="0.35">
      <c r="A386" s="471"/>
      <c r="B386" s="494" t="s">
        <v>401</v>
      </c>
      <c r="C386" s="474">
        <f>C384*F384*I384*L384</f>
        <v>336774.37626000005</v>
      </c>
      <c r="D386" s="471" t="s">
        <v>637</v>
      </c>
      <c r="E386" s="471"/>
      <c r="F386" s="471"/>
      <c r="G386" s="471"/>
      <c r="H386" s="471"/>
      <c r="I386" s="471"/>
      <c r="J386" s="471"/>
      <c r="K386" s="471"/>
      <c r="L386" s="471"/>
      <c r="M386" s="471"/>
      <c r="N386" s="471"/>
      <c r="O386" s="471"/>
      <c r="P386" s="471"/>
      <c r="Q386" s="471"/>
      <c r="R386" s="471"/>
      <c r="S386" s="471"/>
      <c r="T386" s="471"/>
      <c r="U386" s="471"/>
      <c r="V386" s="471"/>
      <c r="W386" s="471"/>
      <c r="X386" s="471"/>
      <c r="Y386" s="471"/>
    </row>
    <row r="388" spans="1:25" x14ac:dyDescent="0.35">
      <c r="A388" s="471"/>
      <c r="B388" s="494" t="s">
        <v>401</v>
      </c>
      <c r="C388" s="477">
        <f>C386</f>
        <v>336774.37626000005</v>
      </c>
      <c r="D388" s="478" t="s">
        <v>638</v>
      </c>
      <c r="E388" s="471" t="s">
        <v>476</v>
      </c>
      <c r="F388" s="478"/>
      <c r="G388" s="478"/>
      <c r="H388" s="471"/>
      <c r="I388" s="471"/>
      <c r="J388" s="471"/>
      <c r="K388" s="471"/>
      <c r="L388" s="471"/>
      <c r="M388" s="471"/>
      <c r="N388" s="471"/>
      <c r="O388" s="471"/>
      <c r="P388" s="471"/>
      <c r="Q388" s="471"/>
      <c r="R388" s="471"/>
      <c r="S388" s="471"/>
      <c r="T388" s="471"/>
      <c r="U388" s="471"/>
      <c r="V388" s="471"/>
      <c r="W388" s="471"/>
      <c r="X388" s="471"/>
      <c r="Y388" s="471"/>
    </row>
    <row r="389" spans="1:25" x14ac:dyDescent="0.35">
      <c r="A389"/>
      <c r="B389"/>
      <c r="C389" s="28"/>
      <c r="D389" s="471" t="s">
        <v>620</v>
      </c>
      <c r="E389" s="471"/>
      <c r="F389" s="474">
        <f>C13</f>
        <v>1100</v>
      </c>
      <c r="G389" s="471" t="s">
        <v>264</v>
      </c>
      <c r="H389" s="471"/>
      <c r="I389" s="471"/>
      <c r="J389" s="471"/>
      <c r="K389" s="471"/>
      <c r="L389" s="471"/>
      <c r="M389" s="471"/>
      <c r="N389"/>
      <c r="O389"/>
      <c r="P389"/>
      <c r="Q389"/>
      <c r="R389"/>
      <c r="S389"/>
      <c r="T389"/>
      <c r="U389"/>
      <c r="V389"/>
      <c r="W389"/>
      <c r="X389"/>
      <c r="Y389"/>
    </row>
    <row r="390" spans="1:25" x14ac:dyDescent="0.35">
      <c r="A390"/>
      <c r="B390"/>
      <c r="C390" s="80">
        <f>C388/F389</f>
        <v>306.1585238727273</v>
      </c>
      <c r="D390" s="81" t="s">
        <v>639</v>
      </c>
      <c r="E390" s="471"/>
      <c r="F390" s="471"/>
      <c r="G390" s="471"/>
      <c r="H390" s="471"/>
      <c r="I390" s="471"/>
      <c r="J390" s="471"/>
      <c r="K390" s="471"/>
      <c r="L390" s="471"/>
      <c r="M390" s="471"/>
      <c r="N390"/>
      <c r="O390"/>
      <c r="P390"/>
      <c r="Q390"/>
      <c r="R390"/>
      <c r="S390"/>
      <c r="T390"/>
      <c r="U390"/>
      <c r="V390"/>
      <c r="W390"/>
      <c r="X390"/>
      <c r="Y390"/>
    </row>
  </sheetData>
  <mergeCells count="31">
    <mergeCell ref="A25:J25"/>
    <mergeCell ref="A275:J275"/>
    <mergeCell ref="A302:J302"/>
    <mergeCell ref="A319:J319"/>
    <mergeCell ref="A336:J336"/>
    <mergeCell ref="A345:J345"/>
    <mergeCell ref="A262:J262"/>
    <mergeCell ref="A31:J31"/>
    <mergeCell ref="A32:J32"/>
    <mergeCell ref="A55:J55"/>
    <mergeCell ref="A78:J78"/>
    <mergeCell ref="A99:J99"/>
    <mergeCell ref="A100:J100"/>
    <mergeCell ref="A143:J143"/>
    <mergeCell ref="A144:J144"/>
    <mergeCell ref="A203:J203"/>
    <mergeCell ref="A220:J220"/>
    <mergeCell ref="A221:J221"/>
    <mergeCell ref="A123:J123"/>
    <mergeCell ref="A124:J124"/>
    <mergeCell ref="B6:C6"/>
    <mergeCell ref="D6:E6"/>
    <mergeCell ref="F6:I6"/>
    <mergeCell ref="B7:C7"/>
    <mergeCell ref="A9:J9"/>
    <mergeCell ref="B4:C4"/>
    <mergeCell ref="D4:E4"/>
    <mergeCell ref="F4:I4"/>
    <mergeCell ref="B5:C5"/>
    <mergeCell ref="D5:E5"/>
    <mergeCell ref="F5:I5"/>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98AD-F0A8-40C3-A5A3-9295C2CBBC06}">
  <sheetPr>
    <tabColor rgb="FF00B050"/>
  </sheetPr>
  <dimension ref="A1:I54"/>
  <sheetViews>
    <sheetView zoomScaleNormal="100" zoomScaleSheetLayoutView="100" workbookViewId="0">
      <selection activeCell="A15" sqref="A15:C18"/>
    </sheetView>
  </sheetViews>
  <sheetFormatPr defaultColWidth="9.1796875" defaultRowHeight="12.5" x14ac:dyDescent="0.25"/>
  <cols>
    <col min="1" max="1" width="36.26953125" style="94" customWidth="1"/>
    <col min="2" max="2" width="12.453125" style="94" customWidth="1"/>
    <col min="3" max="3" width="7.54296875" style="94" customWidth="1"/>
    <col min="4" max="4" width="36.453125" style="94" customWidth="1"/>
    <col min="5" max="5" width="11.453125" style="94" customWidth="1"/>
    <col min="6" max="6" width="5.7265625" style="94" bestFit="1" customWidth="1"/>
    <col min="7" max="7" width="9.1796875" style="94"/>
    <col min="8" max="8" width="14.26953125" style="94" customWidth="1"/>
    <col min="9" max="9" width="11.54296875" style="94" bestFit="1" customWidth="1"/>
    <col min="10" max="16384" width="9.1796875" style="94"/>
  </cols>
  <sheetData>
    <row r="1" spans="1:9" x14ac:dyDescent="0.25">
      <c r="A1" s="7"/>
    </row>
    <row r="2" spans="1:9" ht="14.5" x14ac:dyDescent="0.35">
      <c r="A2" s="7"/>
      <c r="D2" s="283"/>
    </row>
    <row r="3" spans="1:9" ht="23.25" customHeight="1" x14ac:dyDescent="0.25">
      <c r="A3" s="3"/>
    </row>
    <row r="4" spans="1:9" ht="13" x14ac:dyDescent="0.3">
      <c r="A4" s="455" t="s">
        <v>1</v>
      </c>
      <c r="B4" s="125">
        <f>'2019 CCP Summary'!B4</f>
        <v>43536</v>
      </c>
      <c r="H4" s="5"/>
      <c r="I4" s="24"/>
    </row>
    <row r="5" spans="1:9" ht="13" x14ac:dyDescent="0.3">
      <c r="A5" s="456" t="s">
        <v>2</v>
      </c>
      <c r="B5" s="6" t="s">
        <v>3</v>
      </c>
      <c r="H5" s="5"/>
      <c r="I5" s="24"/>
    </row>
    <row r="6" spans="1:9" ht="13" x14ac:dyDescent="0.3">
      <c r="A6" s="456" t="s">
        <v>4</v>
      </c>
      <c r="B6" s="6" t="s">
        <v>641</v>
      </c>
    </row>
    <row r="7" spans="1:9" ht="14.5" customHeight="1" x14ac:dyDescent="0.3">
      <c r="A7" s="457" t="s">
        <v>6</v>
      </c>
      <c r="B7" s="6" t="s">
        <v>7</v>
      </c>
    </row>
    <row r="8" spans="1:9" ht="13" thickBot="1" x14ac:dyDescent="0.3"/>
    <row r="9" spans="1:9" ht="13" x14ac:dyDescent="0.3">
      <c r="A9" s="597" t="s">
        <v>642</v>
      </c>
      <c r="B9" s="598" t="s">
        <v>643</v>
      </c>
      <c r="C9" s="599" t="s">
        <v>643</v>
      </c>
      <c r="D9" s="597" t="s">
        <v>644</v>
      </c>
      <c r="E9" s="598" t="s">
        <v>643</v>
      </c>
      <c r="F9" s="599" t="s">
        <v>643</v>
      </c>
      <c r="G9" s="88"/>
    </row>
    <row r="10" spans="1:9" ht="75.75" customHeight="1" thickBot="1" x14ac:dyDescent="0.3">
      <c r="A10" s="600" t="s">
        <v>645</v>
      </c>
      <c r="B10" s="601"/>
      <c r="C10" s="602"/>
      <c r="D10" s="603" t="s">
        <v>646</v>
      </c>
      <c r="E10" s="604"/>
      <c r="F10" s="605"/>
      <c r="G10" s="88"/>
    </row>
    <row r="11" spans="1:9" x14ac:dyDescent="0.25">
      <c r="A11" s="389" t="s">
        <v>89</v>
      </c>
      <c r="B11" s="390">
        <v>12</v>
      </c>
      <c r="C11" s="391"/>
      <c r="D11" s="389" t="s">
        <v>89</v>
      </c>
      <c r="E11" s="390">
        <v>5</v>
      </c>
      <c r="F11" s="391"/>
      <c r="G11" s="88"/>
    </row>
    <row r="12" spans="1:9" ht="14.5" x14ac:dyDescent="0.25">
      <c r="A12" s="392" t="s">
        <v>90</v>
      </c>
      <c r="B12" s="106">
        <f>'STS O&amp;M Input'!$C$27</f>
        <v>18.600000000000001</v>
      </c>
      <c r="C12" s="393" t="s">
        <v>91</v>
      </c>
      <c r="D12" s="392" t="s">
        <v>647</v>
      </c>
      <c r="E12" s="106">
        <f>'STS O&amp;M Input'!$C$27</f>
        <v>18.600000000000001</v>
      </c>
      <c r="F12" s="393" t="s">
        <v>91</v>
      </c>
      <c r="G12" s="88"/>
    </row>
    <row r="13" spans="1:9" x14ac:dyDescent="0.25">
      <c r="A13" s="392" t="s">
        <v>648</v>
      </c>
      <c r="B13" s="399">
        <f>2080</f>
        <v>2080</v>
      </c>
      <c r="C13" s="393" t="s">
        <v>93</v>
      </c>
      <c r="D13" s="392" t="s">
        <v>649</v>
      </c>
      <c r="E13" s="399">
        <v>2080</v>
      </c>
      <c r="F13" s="393" t="s">
        <v>93</v>
      </c>
      <c r="G13" s="88"/>
    </row>
    <row r="14" spans="1:9" ht="13" thickBot="1" x14ac:dyDescent="0.3">
      <c r="A14" s="394" t="s">
        <v>94</v>
      </c>
      <c r="B14" s="400">
        <f>B11*B12*B13</f>
        <v>464256.00000000006</v>
      </c>
      <c r="C14" s="395"/>
      <c r="D14" s="394" t="s">
        <v>94</v>
      </c>
      <c r="E14" s="400">
        <f>E11*E12*E13</f>
        <v>193440</v>
      </c>
      <c r="F14" s="395"/>
      <c r="G14" s="88"/>
    </row>
    <row r="15" spans="1:9" x14ac:dyDescent="0.25">
      <c r="A15" s="389" t="s">
        <v>100</v>
      </c>
      <c r="B15" s="390">
        <v>1</v>
      </c>
      <c r="C15" s="391"/>
      <c r="D15" s="389" t="s">
        <v>100</v>
      </c>
      <c r="E15" s="390">
        <v>1</v>
      </c>
      <c r="F15" s="391"/>
      <c r="G15" s="88"/>
    </row>
    <row r="16" spans="1:9" ht="14.5" x14ac:dyDescent="0.25">
      <c r="A16" s="392" t="s">
        <v>101</v>
      </c>
      <c r="B16" s="106">
        <f>'STS O&amp;M Input'!$C$28</f>
        <v>31.1</v>
      </c>
      <c r="C16" s="393" t="s">
        <v>91</v>
      </c>
      <c r="D16" s="392" t="s">
        <v>427</v>
      </c>
      <c r="E16" s="106">
        <f>'STS O&amp;M Input'!$C$28</f>
        <v>31.1</v>
      </c>
      <c r="F16" s="393" t="s">
        <v>91</v>
      </c>
      <c r="G16" s="88"/>
    </row>
    <row r="17" spans="1:9" x14ac:dyDescent="0.25">
      <c r="A17" s="392" t="s">
        <v>650</v>
      </c>
      <c r="B17" s="399">
        <f>52*40</f>
        <v>2080</v>
      </c>
      <c r="C17" s="393" t="s">
        <v>93</v>
      </c>
      <c r="D17" s="392" t="s">
        <v>102</v>
      </c>
      <c r="E17" s="399">
        <f>52*40</f>
        <v>2080</v>
      </c>
      <c r="F17" s="393" t="s">
        <v>93</v>
      </c>
      <c r="G17" s="88"/>
    </row>
    <row r="18" spans="1:9" ht="13" thickBot="1" x14ac:dyDescent="0.3">
      <c r="A18" s="394" t="s">
        <v>104</v>
      </c>
      <c r="B18" s="400">
        <f>B15*B16*B17</f>
        <v>64688</v>
      </c>
      <c r="C18" s="395"/>
      <c r="D18" s="394" t="s">
        <v>94</v>
      </c>
      <c r="E18" s="400">
        <f>E15*E16*E17</f>
        <v>64688</v>
      </c>
      <c r="F18" s="395"/>
      <c r="G18" s="88"/>
    </row>
    <row r="19" spans="1:9" x14ac:dyDescent="0.25">
      <c r="A19" s="389" t="s">
        <v>651</v>
      </c>
      <c r="B19" s="390">
        <v>2</v>
      </c>
      <c r="C19" s="391"/>
      <c r="D19" s="389" t="s">
        <v>651</v>
      </c>
      <c r="E19" s="390">
        <v>1</v>
      </c>
      <c r="F19" s="391"/>
      <c r="G19" s="88"/>
    </row>
    <row r="20" spans="1:9" ht="14.5" x14ac:dyDescent="0.25">
      <c r="A20" s="392" t="s">
        <v>652</v>
      </c>
      <c r="B20" s="106">
        <f>'STS O&amp;M Input'!$C$29</f>
        <v>19.829999999999998</v>
      </c>
      <c r="C20" s="393" t="s">
        <v>91</v>
      </c>
      <c r="D20" s="392" t="s">
        <v>653</v>
      </c>
      <c r="E20" s="106">
        <f>'STS O&amp;M Input'!$C$29</f>
        <v>19.829999999999998</v>
      </c>
      <c r="F20" s="393" t="s">
        <v>91</v>
      </c>
      <c r="G20" s="88"/>
    </row>
    <row r="21" spans="1:9" x14ac:dyDescent="0.25">
      <c r="A21" s="392" t="s">
        <v>654</v>
      </c>
      <c r="B21" s="399">
        <f>52*40</f>
        <v>2080</v>
      </c>
      <c r="C21" s="393" t="s">
        <v>93</v>
      </c>
      <c r="D21" s="392" t="s">
        <v>655</v>
      </c>
      <c r="E21" s="399">
        <f>52*40</f>
        <v>2080</v>
      </c>
      <c r="F21" s="393" t="s">
        <v>93</v>
      </c>
      <c r="G21" s="88"/>
    </row>
    <row r="22" spans="1:9" ht="13" thickBot="1" x14ac:dyDescent="0.3">
      <c r="A22" s="394" t="s">
        <v>656</v>
      </c>
      <c r="B22" s="400">
        <f>B19*B20*B21</f>
        <v>82492.799999999988</v>
      </c>
      <c r="C22" s="395"/>
      <c r="D22" s="394" t="s">
        <v>656</v>
      </c>
      <c r="E22" s="400">
        <f>E19*E20*E21</f>
        <v>41246.399999999994</v>
      </c>
      <c r="F22" s="395"/>
      <c r="G22" s="88"/>
      <c r="I22" s="111"/>
    </row>
    <row r="23" spans="1:9" ht="13.5" thickBot="1" x14ac:dyDescent="0.35">
      <c r="A23" s="396" t="s">
        <v>657</v>
      </c>
      <c r="B23" s="402">
        <f>B14+B18+B22</f>
        <v>611436.80000000005</v>
      </c>
      <c r="C23" s="397"/>
      <c r="D23" s="396" t="s">
        <v>657</v>
      </c>
      <c r="E23" s="421">
        <f>E14+E18+E22</f>
        <v>299374.40000000002</v>
      </c>
      <c r="F23" s="397"/>
      <c r="G23" s="88"/>
    </row>
    <row r="24" spans="1:9" ht="14.5" x14ac:dyDescent="0.25">
      <c r="A24" s="389" t="s">
        <v>658</v>
      </c>
      <c r="B24" s="398">
        <v>0.1</v>
      </c>
      <c r="C24" s="391"/>
      <c r="D24" s="389" t="s">
        <v>658</v>
      </c>
      <c r="E24" s="398">
        <v>0.1</v>
      </c>
      <c r="F24" s="391"/>
      <c r="G24" s="88"/>
    </row>
    <row r="25" spans="1:9" x14ac:dyDescent="0.25">
      <c r="A25" s="392" t="s">
        <v>659</v>
      </c>
      <c r="B25" s="399">
        <f>(B17*B15)*B24</f>
        <v>208</v>
      </c>
      <c r="C25" s="393"/>
      <c r="D25" s="392" t="s">
        <v>659</v>
      </c>
      <c r="E25" s="399">
        <f>(E17*E15)*E24</f>
        <v>208</v>
      </c>
      <c r="F25" s="393"/>
      <c r="G25" s="88"/>
    </row>
    <row r="26" spans="1:9" ht="13" thickBot="1" x14ac:dyDescent="0.3">
      <c r="A26" s="394" t="s">
        <v>660</v>
      </c>
      <c r="B26" s="400">
        <f>B16*1.5*B25</f>
        <v>9703.2000000000007</v>
      </c>
      <c r="C26" s="395"/>
      <c r="D26" s="394" t="s">
        <v>660</v>
      </c>
      <c r="E26" s="400">
        <f>E16*1.5*E25</f>
        <v>9703.2000000000007</v>
      </c>
      <c r="F26" s="395"/>
      <c r="G26" s="88"/>
    </row>
    <row r="27" spans="1:9" ht="14.5" x14ac:dyDescent="0.25">
      <c r="A27" s="389" t="s">
        <v>661</v>
      </c>
      <c r="B27" s="398">
        <v>0.1</v>
      </c>
      <c r="C27" s="391"/>
      <c r="D27" s="389" t="s">
        <v>661</v>
      </c>
      <c r="E27" s="398">
        <v>0.1</v>
      </c>
      <c r="F27" s="391"/>
      <c r="G27" s="88"/>
    </row>
    <row r="28" spans="1:9" x14ac:dyDescent="0.25">
      <c r="A28" s="392" t="s">
        <v>662</v>
      </c>
      <c r="B28" s="399">
        <f>(B21*B19)*B27</f>
        <v>416</v>
      </c>
      <c r="C28" s="393"/>
      <c r="D28" s="392" t="s">
        <v>662</v>
      </c>
      <c r="E28" s="399">
        <f>(E21*E19)*E27</f>
        <v>208</v>
      </c>
      <c r="F28" s="393"/>
      <c r="G28" s="88"/>
    </row>
    <row r="29" spans="1:9" ht="13" thickBot="1" x14ac:dyDescent="0.3">
      <c r="A29" s="394" t="s">
        <v>663</v>
      </c>
      <c r="B29" s="400">
        <f>B20*1.5*B28</f>
        <v>12373.919999999998</v>
      </c>
      <c r="C29" s="395"/>
      <c r="D29" s="394" t="s">
        <v>663</v>
      </c>
      <c r="E29" s="400">
        <f>E20*1.5*E28</f>
        <v>6186.9599999999991</v>
      </c>
      <c r="F29" s="395"/>
      <c r="G29" s="88"/>
    </row>
    <row r="30" spans="1:9" ht="14.5" x14ac:dyDescent="0.25">
      <c r="A30" s="389" t="s">
        <v>664</v>
      </c>
      <c r="B30" s="398">
        <v>0.15</v>
      </c>
      <c r="C30" s="391"/>
      <c r="D30" s="389" t="s">
        <v>664</v>
      </c>
      <c r="E30" s="398">
        <v>0.15</v>
      </c>
      <c r="F30" s="391"/>
      <c r="G30" s="88"/>
    </row>
    <row r="31" spans="1:9" ht="14.5" x14ac:dyDescent="0.25">
      <c r="A31" s="392" t="s">
        <v>665</v>
      </c>
      <c r="B31" s="399">
        <f>B13*B11*B30</f>
        <v>3744</v>
      </c>
      <c r="C31" s="393"/>
      <c r="D31" s="392" t="s">
        <v>665</v>
      </c>
      <c r="E31" s="399">
        <f>E13*E11*E30</f>
        <v>1560</v>
      </c>
      <c r="F31" s="393"/>
      <c r="G31" s="88"/>
    </row>
    <row r="32" spans="1:9" ht="13" thickBot="1" x14ac:dyDescent="0.3">
      <c r="A32" s="394" t="s">
        <v>98</v>
      </c>
      <c r="B32" s="400">
        <f>B12*1.5*B31</f>
        <v>104457.60000000001</v>
      </c>
      <c r="C32" s="395"/>
      <c r="D32" s="394" t="s">
        <v>98</v>
      </c>
      <c r="E32" s="400">
        <f>E12*1.5*E31</f>
        <v>43524</v>
      </c>
      <c r="F32" s="395"/>
      <c r="G32" s="88"/>
    </row>
    <row r="33" spans="1:7" ht="13.5" thickBot="1" x14ac:dyDescent="0.35">
      <c r="A33" s="396" t="s">
        <v>99</v>
      </c>
      <c r="B33" s="402">
        <f>B26+B29+B32</f>
        <v>126534.72</v>
      </c>
      <c r="C33" s="397"/>
      <c r="D33" s="396" t="s">
        <v>99</v>
      </c>
      <c r="E33" s="402">
        <f>E26+E29+E32</f>
        <v>59414.16</v>
      </c>
      <c r="F33" s="397"/>
      <c r="G33" s="88"/>
    </row>
    <row r="34" spans="1:7" ht="14.5" x14ac:dyDescent="0.25">
      <c r="A34" s="389" t="s">
        <v>666</v>
      </c>
      <c r="B34" s="403">
        <f>'STS O&amp;M Input'!C30</f>
        <v>5.94</v>
      </c>
      <c r="C34" s="391" t="s">
        <v>91</v>
      </c>
      <c r="D34" s="389" t="s">
        <v>666</v>
      </c>
      <c r="E34" s="403">
        <f>'STS O&amp;M Input'!C30</f>
        <v>5.94</v>
      </c>
      <c r="F34" s="391" t="s">
        <v>91</v>
      </c>
      <c r="G34" s="88"/>
    </row>
    <row r="35" spans="1:7" x14ac:dyDescent="0.25">
      <c r="A35" s="404" t="s">
        <v>667</v>
      </c>
      <c r="B35" s="401">
        <f>B11+B15+B19</f>
        <v>15</v>
      </c>
      <c r="C35" s="405" t="s">
        <v>668</v>
      </c>
      <c r="D35" s="404" t="s">
        <v>667</v>
      </c>
      <c r="E35" s="401">
        <f>E11+E15+E19</f>
        <v>7</v>
      </c>
      <c r="F35" s="405" t="s">
        <v>668</v>
      </c>
      <c r="G35" s="88"/>
    </row>
    <row r="36" spans="1:7" ht="13" thickBot="1" x14ac:dyDescent="0.3">
      <c r="A36" s="406" t="s">
        <v>106</v>
      </c>
      <c r="B36" s="407">
        <f>B13</f>
        <v>2080</v>
      </c>
      <c r="C36" s="408" t="s">
        <v>669</v>
      </c>
      <c r="D36" s="406" t="s">
        <v>106</v>
      </c>
      <c r="E36" s="407">
        <f>E13</f>
        <v>2080</v>
      </c>
      <c r="F36" s="408" t="s">
        <v>669</v>
      </c>
      <c r="G36" s="88"/>
    </row>
    <row r="37" spans="1:7" ht="13" thickBot="1" x14ac:dyDescent="0.3">
      <c r="A37" s="409" t="s">
        <v>108</v>
      </c>
      <c r="B37" s="410">
        <f>B34*B35*B36</f>
        <v>185328.00000000003</v>
      </c>
      <c r="C37" s="411"/>
      <c r="D37" s="409" t="s">
        <v>108</v>
      </c>
      <c r="E37" s="410">
        <f>E34*E35*E36</f>
        <v>86486.400000000009</v>
      </c>
      <c r="F37" s="411"/>
      <c r="G37" s="88"/>
    </row>
    <row r="38" spans="1:7" ht="13.5" thickBot="1" x14ac:dyDescent="0.35">
      <c r="A38" s="396" t="s">
        <v>108</v>
      </c>
      <c r="B38" s="402">
        <f>B37</f>
        <v>185328.00000000003</v>
      </c>
      <c r="C38" s="397"/>
      <c r="D38" s="396" t="s">
        <v>108</v>
      </c>
      <c r="E38" s="402">
        <f>E37</f>
        <v>86486.400000000009</v>
      </c>
      <c r="F38" s="397"/>
      <c r="G38" s="88"/>
    </row>
    <row r="39" spans="1:7" ht="13" x14ac:dyDescent="0.3">
      <c r="A39" s="412" t="s">
        <v>670</v>
      </c>
      <c r="B39" s="413">
        <f>B23+B33+B38</f>
        <v>923299.52</v>
      </c>
      <c r="C39" s="414"/>
      <c r="D39" s="412" t="s">
        <v>670</v>
      </c>
      <c r="E39" s="413">
        <f>E23+E33+E38</f>
        <v>445274.96000000008</v>
      </c>
      <c r="F39" s="420"/>
      <c r="G39" s="88"/>
    </row>
    <row r="40" spans="1:7" ht="15" x14ac:dyDescent="0.3">
      <c r="A40" s="415" t="s">
        <v>671</v>
      </c>
      <c r="B40" s="107">
        <f>'STS Calculation Summary'!V112</f>
        <v>295452.99989571888</v>
      </c>
      <c r="C40" s="416"/>
      <c r="D40" s="415" t="s">
        <v>671</v>
      </c>
      <c r="E40" s="107">
        <f>'STS Calculation Summary'!V111</f>
        <v>108339.61122482012</v>
      </c>
      <c r="F40" s="416"/>
      <c r="G40" s="88"/>
    </row>
    <row r="41" spans="1:7" ht="13.5" thickBot="1" x14ac:dyDescent="0.35">
      <c r="A41" s="417" t="s">
        <v>672</v>
      </c>
      <c r="B41" s="418">
        <f>B39/B40</f>
        <v>3.125030107414315</v>
      </c>
      <c r="C41" s="419"/>
      <c r="D41" s="417" t="s">
        <v>672</v>
      </c>
      <c r="E41" s="418">
        <f>E39/E40</f>
        <v>4.1099922269057352</v>
      </c>
      <c r="F41" s="419"/>
      <c r="G41" s="88"/>
    </row>
    <row r="42" spans="1:7" ht="15.75" customHeight="1" x14ac:dyDescent="0.3">
      <c r="A42" s="108" t="s">
        <v>69</v>
      </c>
      <c r="B42" s="109"/>
      <c r="C42" s="110"/>
      <c r="D42" s="110"/>
      <c r="E42" s="110"/>
      <c r="F42" s="110"/>
      <c r="G42" s="110"/>
    </row>
    <row r="43" spans="1:7" ht="14.5" x14ac:dyDescent="0.25">
      <c r="A43" s="110" t="s">
        <v>673</v>
      </c>
      <c r="B43" s="110"/>
      <c r="C43" s="110"/>
      <c r="D43" s="110"/>
      <c r="E43" s="110"/>
      <c r="F43" s="110"/>
      <c r="G43" s="110"/>
    </row>
    <row r="44" spans="1:7" ht="28.5" customHeight="1" x14ac:dyDescent="0.25">
      <c r="A44" s="551" t="s">
        <v>674</v>
      </c>
      <c r="B44" s="551"/>
      <c r="C44" s="551"/>
      <c r="D44" s="551"/>
      <c r="E44" s="551"/>
      <c r="F44" s="551"/>
      <c r="G44" s="110"/>
    </row>
    <row r="45" spans="1:7" ht="26.25" customHeight="1" x14ac:dyDescent="0.25">
      <c r="A45" s="551" t="s">
        <v>675</v>
      </c>
      <c r="B45" s="551"/>
      <c r="C45" s="551"/>
      <c r="D45" s="551"/>
      <c r="E45" s="551"/>
      <c r="F45" s="551"/>
      <c r="G45" s="110"/>
    </row>
    <row r="46" spans="1:7" ht="29.25" customHeight="1" x14ac:dyDescent="0.25">
      <c r="A46" s="551" t="s">
        <v>676</v>
      </c>
      <c r="B46" s="551"/>
      <c r="C46" s="551"/>
      <c r="D46" s="551"/>
      <c r="E46" s="551"/>
      <c r="F46" s="551"/>
      <c r="G46" s="110"/>
    </row>
    <row r="47" spans="1:7" ht="52.5" customHeight="1" x14ac:dyDescent="0.25">
      <c r="A47" s="551" t="s">
        <v>677</v>
      </c>
      <c r="B47" s="551"/>
      <c r="C47" s="551"/>
      <c r="D47" s="551"/>
      <c r="E47" s="551"/>
      <c r="F47" s="551"/>
      <c r="G47" s="110"/>
    </row>
    <row r="48" spans="1:7" ht="29.25" customHeight="1" x14ac:dyDescent="0.25">
      <c r="A48" s="551" t="s">
        <v>678</v>
      </c>
      <c r="B48" s="551"/>
      <c r="C48" s="551"/>
      <c r="D48" s="551"/>
      <c r="E48" s="551"/>
      <c r="F48" s="551"/>
      <c r="G48" s="110"/>
    </row>
    <row r="49" spans="1:7" ht="14.5" x14ac:dyDescent="0.25">
      <c r="A49" s="110" t="s">
        <v>679</v>
      </c>
      <c r="B49" s="110"/>
      <c r="C49" s="110"/>
      <c r="D49" s="110"/>
      <c r="E49" s="110"/>
      <c r="F49" s="110"/>
      <c r="G49" s="110"/>
    </row>
    <row r="50" spans="1:7" x14ac:dyDescent="0.25">
      <c r="A50" s="94" t="s">
        <v>86</v>
      </c>
    </row>
    <row r="54" spans="1:7" x14ac:dyDescent="0.25">
      <c r="A54" s="94">
        <v>7</v>
      </c>
    </row>
  </sheetData>
  <mergeCells count="9">
    <mergeCell ref="A47:F47"/>
    <mergeCell ref="A48:F48"/>
    <mergeCell ref="A46:F46"/>
    <mergeCell ref="A9:C9"/>
    <mergeCell ref="D9:F9"/>
    <mergeCell ref="A10:C10"/>
    <mergeCell ref="A44:F44"/>
    <mergeCell ref="A45:F45"/>
    <mergeCell ref="D10:F10"/>
  </mergeCells>
  <pageMargins left="0.7" right="0.7" top="0.75" bottom="0.75" header="0.3" footer="0.3"/>
  <pageSetup scale="85"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7BA271278A949B76DAFD4698230DA" ma:contentTypeVersion="9" ma:contentTypeDescription="Create a new document." ma:contentTypeScope="" ma:versionID="6ede4323f3fd82fa2296d94858e9956f">
  <xsd:schema xmlns:xsd="http://www.w3.org/2001/XMLSchema" xmlns:xs="http://www.w3.org/2001/XMLSchema" xmlns:p="http://schemas.microsoft.com/office/2006/metadata/properties" xmlns:ns2="589d294b-ad21-4f47-8844-7033164dc1c0" xmlns:ns3="a30678ea-2f10-4149-b5d2-18ceaa3efcc2" xmlns:ns4="f7390b8b-86d6-40f8-b097-637009773176" targetNamespace="http://schemas.microsoft.com/office/2006/metadata/properties" ma:root="true" ma:fieldsID="1fbab517714bf929a12d700822a1ad7f" ns2:_="" ns3:_="" ns4:_="">
    <xsd:import namespace="589d294b-ad21-4f47-8844-7033164dc1c0"/>
    <xsd:import namespace="a30678ea-2f10-4149-b5d2-18ceaa3efcc2"/>
    <xsd:import namespace="f7390b8b-86d6-40f8-b097-637009773176"/>
    <xsd:element name="properties">
      <xsd:complexType>
        <xsd:sequence>
          <xsd:element name="documentManagement">
            <xsd:complexType>
              <xsd:all>
                <xsd:element ref="ns2:c93ee443c4fa424091d84076e6e57acf" minOccurs="0"/>
                <xsd:element ref="ns2:TaxCatchAll" minOccurs="0"/>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d294b-ad21-4f47-8844-7033164dc1c0" elementFormDefault="qualified">
    <xsd:import namespace="http://schemas.microsoft.com/office/2006/documentManagement/types"/>
    <xsd:import namespace="http://schemas.microsoft.com/office/infopath/2007/PartnerControls"/>
    <xsd:element name="c93ee443c4fa424091d84076e6e57acf" ma:index="9" nillable="true" ma:taxonomy="true" ma:internalName="c93ee443c4fa424091d84076e6e57acf" ma:taxonomyFieldName="Document_x0020_Type" ma:displayName="Document Type" ma:default="" ma:fieldId="{c93ee443-c4fa-4240-91d8-4076e6e57acf}" ma:taxonomyMulti="true" ma:sspId="6cfda930-661e-4498-8596-99ec2a7c2da3" ma:termSetId="6bfba52d-7605-4d18-83f6-f2a3ddc9ac4e"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16e54f7-eba7-4c1f-bbfb-bf673b2564c0}" ma:internalName="TaxCatchAll" ma:showField="CatchAllData" ma:web="f7390b8b-86d6-40f8-b097-63700977317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0678ea-2f10-4149-b5d2-18ceaa3ef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390b8b-86d6-40f8-b097-6370097731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93ee443c4fa424091d84076e6e57acf xmlns="589d294b-ad21-4f47-8844-7033164dc1c0">
      <Terms xmlns="http://schemas.microsoft.com/office/infopath/2007/PartnerControls"/>
    </c93ee443c4fa424091d84076e6e57acf>
    <TaxCatchAll xmlns="589d294b-ad21-4f47-8844-7033164dc1c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93F61-17B8-4841-AB02-3001570FC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d294b-ad21-4f47-8844-7033164dc1c0"/>
    <ds:schemaRef ds:uri="a30678ea-2f10-4149-b5d2-18ceaa3efcc2"/>
    <ds:schemaRef ds:uri="f7390b8b-86d6-40f8-b097-637009773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CC1201-34C9-4F87-83ED-8AA78D3DEAA2}">
  <ds:schemaRefs>
    <ds:schemaRef ds:uri="589d294b-ad21-4f47-8844-7033164dc1c0"/>
    <ds:schemaRef ds:uri="http://purl.org/dc/elements/1.1/"/>
    <ds:schemaRef ds:uri="a30678ea-2f10-4149-b5d2-18ceaa3efcc2"/>
    <ds:schemaRef ds:uri="http://schemas.microsoft.com/office/infopath/2007/PartnerControls"/>
    <ds:schemaRef ds:uri="http://purl.org/dc/terms/"/>
    <ds:schemaRef ds:uri="f7390b8b-86d6-40f8-b097-637009773176"/>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907475C-C3B1-480A-A3F7-4393BCC2C1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2019 CCP Summary</vt:lpstr>
      <vt:lpstr>2019 CCP Cash Flow</vt:lpstr>
      <vt:lpstr>Short Term ETS Cash Flow</vt:lpstr>
      <vt:lpstr>Short Term ETS Labor</vt:lpstr>
      <vt:lpstr>Long Term ETS Cash Flow</vt:lpstr>
      <vt:lpstr>Salt Disposal Cash Flow</vt:lpstr>
      <vt:lpstr>Water Conveyance Cash Flow</vt:lpstr>
      <vt:lpstr>Sludge Disposal Cash Flow</vt:lpstr>
      <vt:lpstr>STS Cash Flow</vt:lpstr>
      <vt:lpstr>STS Capital Cost</vt:lpstr>
      <vt:lpstr>STS Equipment List Input</vt:lpstr>
      <vt:lpstr>STS Calculation Summary</vt:lpstr>
      <vt:lpstr>STS Analytical Costs</vt:lpstr>
      <vt:lpstr>STS O&amp;M Input</vt:lpstr>
      <vt:lpstr>STS Design Calcs</vt:lpstr>
      <vt:lpstr>STS Labor</vt:lpstr>
      <vt:lpstr>'2019 CCP Cash Flow'!Print_Area</vt:lpstr>
      <vt:lpstr>'2019 CCP Summary'!Print_Area</vt:lpstr>
      <vt:lpstr>'Long Term ETS Cash Flow'!Print_Area</vt:lpstr>
      <vt:lpstr>'Salt Disposal Cash Flow'!Print_Area</vt:lpstr>
      <vt:lpstr>'Short Term ETS Cash Flow'!Print_Area</vt:lpstr>
      <vt:lpstr>'Short Term ETS Labor'!Print_Area</vt:lpstr>
      <vt:lpstr>'Sludge Disposal Cash Flow'!Print_Area</vt:lpstr>
      <vt:lpstr>'STS Analytical Costs'!Print_Area</vt:lpstr>
      <vt:lpstr>'STS Capital Cost'!Print_Area</vt:lpstr>
      <vt:lpstr>'STS Cash Flow'!Print_Area</vt:lpstr>
      <vt:lpstr>'STS Labor'!Print_Area</vt:lpstr>
      <vt:lpstr>'STS O&amp;M Input'!Print_Area</vt:lpstr>
      <vt:lpstr>'Water Conveyance Cash Flow'!Print_Area</vt:lpstr>
      <vt:lpstr>'Long Term ETS Cash Flow'!Print_Titles</vt:lpstr>
      <vt:lpstr>'Salt Disposal Cash Flow'!Print_Titles</vt:lpstr>
      <vt:lpstr>'Short Term ETS Cash Flow'!Print_Titles</vt:lpstr>
      <vt:lpstr>'Sludge Disposal Cash Flow'!Print_Titles</vt:lpstr>
      <vt:lpstr>'Water Conveyance Cash 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Schipper, Ryan</dc:creator>
  <cp:keywords/>
  <dc:description/>
  <cp:lastModifiedBy>Hendricks, Bridgette</cp:lastModifiedBy>
  <cp:revision/>
  <dcterms:created xsi:type="dcterms:W3CDTF">2018-11-08T20:28:53Z</dcterms:created>
  <dcterms:modified xsi:type="dcterms:W3CDTF">2019-03-15T14:41:59Z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0x0101001037BA271278A949B76DAFD4698230DA</vt:lpwstr>
  </property>
  <property fmtid="{D5CDD505-2E9C-101B-9397-08002B2CF9AE}" pid="3" name="Document Type">
    <vt:lpwstr/>
  </property>
  <property fmtid="{D5CDD505-2E9C-101B-9397-08002B2CF9AE}" pid="4" name="AuthorIds_UIVersion_7168">
    <vt:lpwstr>26</vt:lpwstr>
  </property>
</Properties>
</file>