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7.xml" ContentType="application/vnd.openxmlformats-officedocument.drawing+xml"/>
  <Override PartName="/xl/ctrlProps/ctrlProp47.xml" ContentType="application/vnd.ms-excel.controlproperties+xml"/>
  <Override PartName="/xl/drawings/drawing8.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9.xml" ContentType="application/vnd.openxmlformats-officedocument.drawing+xml"/>
  <Override PartName="/xl/ctrlProps/ctrlProp52.xml" ContentType="application/vnd.ms-excel.controlproperties+xml"/>
  <Override PartName="/xl/ctrlProps/ctrlProp53.xml" ContentType="application/vnd.ms-excel.controlproperties+xml"/>
  <Override PartName="/xl/drawings/drawing10.xml" ContentType="application/vnd.openxmlformats-officedocument.drawing+xml"/>
  <Override PartName="/xl/ctrlProps/ctrlProp54.xml" ContentType="application/vnd.ms-excel.controlproperties+xml"/>
  <Override PartName="/xl/ctrlProps/ctrlProp5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5" yWindow="3990" windowWidth="18870" windowHeight="9000" tabRatio="894"/>
  </bookViews>
  <sheets>
    <sheet name="1 General" sheetId="1" r:id="rId1"/>
    <sheet name="2   Demo" sheetId="4" r:id="rId2"/>
    <sheet name="3   Material" sheetId="5" r:id="rId3"/>
    <sheet name="4   Earthwork" sheetId="6" r:id="rId4"/>
    <sheet name="5   Dozer" sheetId="7" r:id="rId5"/>
    <sheet name="6   Grading" sheetId="8" r:id="rId6"/>
    <sheet name="7   Ripper" sheetId="9" r:id="rId7"/>
    <sheet name="8  Excavator" sheetId="10" r:id="rId8"/>
    <sheet name="9   Trucks" sheetId="11" r:id="rId9"/>
    <sheet name="10   Loader" sheetId="12" r:id="rId10"/>
    <sheet name="11   Scraper" sheetId="13" r:id="rId11"/>
    <sheet name="12   M'grader" sheetId="14" r:id="rId12"/>
    <sheet name="13   EarthSum" sheetId="15" r:id="rId13"/>
    <sheet name="14   Reveg" sheetId="16" r:id="rId14"/>
    <sheet name="15   Other" sheetId="17" r:id="rId15"/>
    <sheet name="16   Sum" sheetId="18" r:id="rId16"/>
    <sheet name="17 Detailed Sum" sheetId="31" r:id="rId17"/>
    <sheet name="18 Facility Characteristics" sheetId="32" r:id="rId18"/>
    <sheet name="          " sheetId="19" r:id="rId19"/>
    <sheet name="Trucks.xls" sheetId="20" r:id="rId20"/>
    <sheet name="Productivity" sheetId="21" r:id="rId21"/>
    <sheet name="Time" sheetId="22" r:id="rId22"/>
    <sheet name="TruckCost" sheetId="23" r:id="rId23"/>
    <sheet name="LoaderCost" sheetId="24" r:id="rId24"/>
    <sheet name="TotalCost" sheetId="25" r:id="rId25"/>
    <sheet name="Optimum" sheetId="26" r:id="rId26"/>
    <sheet name="           " sheetId="27" r:id="rId27"/>
    <sheet name="Earthwork.xls" sheetId="28" r:id="rId28"/>
  </sheets>
  <definedNames>
    <definedName name="_xlnm._FilterDatabase" localSheetId="12" hidden="1">'13   EarthSum'!$A$1:$A$86</definedName>
    <definedName name="_xlnm._FilterDatabase" localSheetId="14" hidden="1">'15   Other'!$A$2:$A$58</definedName>
    <definedName name="_xlnm.Print_Area" localSheetId="0">'1 General'!$A$1:$C$22</definedName>
    <definedName name="_xlnm.Print_Area" localSheetId="9">'10   Loader'!$A$1:$L$12</definedName>
    <definedName name="_xlnm.Print_Area" localSheetId="10">'11   Scraper'!$A$1:$H$10</definedName>
    <definedName name="_xlnm.Print_Area" localSheetId="12">'13   EarthSum'!$B$1:$N$62</definedName>
    <definedName name="_xlnm.Print_Area" localSheetId="13">'14   Reveg'!$A$1:$E$17</definedName>
    <definedName name="_xlnm.Print_Area" localSheetId="14">'15   Other'!$A$1:$J$21</definedName>
    <definedName name="_xlnm.Print_Area" localSheetId="15">'16   Sum'!$A$1:$E$36</definedName>
    <definedName name="_xlnm.Print_Area" localSheetId="16">'17 Detailed Sum'!$A$1:$E$26</definedName>
    <definedName name="_xlnm.Print_Area" localSheetId="17">'18 Facility Characteristics'!$A$1:$D$28</definedName>
    <definedName name="_xlnm.Print_Area" localSheetId="1">'2   Demo'!$A$1:$J$7</definedName>
    <definedName name="_xlnm.Print_Area" localSheetId="2">'3   Material'!$A$1:$G$22</definedName>
    <definedName name="_xlnm.Print_Area" localSheetId="3">'4   Earthwork'!$A$1:$I$20</definedName>
    <definedName name="_xlnm.Print_Area" localSheetId="4">'5   Dozer'!$A$1:$S$15</definedName>
    <definedName name="_xlnm.Print_Area" localSheetId="5">'6   Grading'!$A$1:$W$15</definedName>
    <definedName name="_xlnm.Print_Area" localSheetId="6">'7   Ripper'!$A$1:$H$8</definedName>
    <definedName name="_xlnm.Print_Area" localSheetId="7">'8  Excavator'!$A$1:$G$7</definedName>
    <definedName name="_xlnm.Print_Area" localSheetId="27">Earthwork.xls!$A$1:$E$14</definedName>
    <definedName name="_xlnm.Print_Area" localSheetId="23">LoaderCost!$A$1:$AB$11</definedName>
    <definedName name="_xlnm.Print_Area" localSheetId="25">Optimum!$A$1:$AC$11</definedName>
    <definedName name="_xlnm.Print_Area" localSheetId="20">Productivity!$A$1:$AB$13</definedName>
    <definedName name="_xlnm.Print_Area" localSheetId="21">Time!$A$1:$AB$13</definedName>
    <definedName name="_xlnm.Print_Area" localSheetId="24">TotalCost!$A$1:$AC$11</definedName>
    <definedName name="_xlnm.Print_Area" localSheetId="22">TruckCost!$A$1:$AB$11</definedName>
    <definedName name="_xlnm.Print_Titles" localSheetId="12">'13   EarthSum'!$B:$F,'13   EarthSum'!$1:$7</definedName>
    <definedName name="_xlnm.Print_Titles" localSheetId="13">'14   Reveg'!$A:$B,'14   Reveg'!$1:$10</definedName>
    <definedName name="_xlnm.Print_Titles" localSheetId="14">'15   Other'!$A:$A,'15   Other'!$1:$7</definedName>
    <definedName name="_xlnm.Print_Titles" localSheetId="16">'17 Detailed Sum'!$A:$B</definedName>
    <definedName name="_xlnm.Print_Titles" localSheetId="17">'18 Facility Characteristics'!$A:$B</definedName>
    <definedName name="_xlnm.Print_Titles" localSheetId="1">'2   Demo'!$A:$A,'2   Demo'!$1:$3</definedName>
    <definedName name="_xlnm.Print_Titles" localSheetId="2">'3   Material'!$1:$8</definedName>
    <definedName name="_xlnm.Print_Titles" localSheetId="3">'4   Earthwork'!$1:$8</definedName>
    <definedName name="_xlnm.Print_Titles" localSheetId="4">'5   Dozer'!$A:$C,'5   Dozer'!$5:$10</definedName>
    <definedName name="_xlnm.Print_Titles" localSheetId="5">'6   Grading'!$A:$C,'6   Grading'!$1:$10</definedName>
    <definedName name="_xlnm.Print_Titles" localSheetId="6">'7   Ripper'!$A:$C,'7   Ripper'!$1:$10</definedName>
    <definedName name="_xlnm.Print_Titles" localSheetId="7">'8  Excavator'!$A:$A,'8  Excavator'!$1:$3</definedName>
    <definedName name="_xlnm.Print_Titles" localSheetId="8">'9   Trucks'!$A:$C,'9   Trucks'!$1:$12</definedName>
    <definedName name="_xlnm.Print_Titles" localSheetId="27">Earthwork.xls!$A:$C,Earthwork.xls!$1:$10</definedName>
    <definedName name="_xlnm.Print_Titles" localSheetId="23">LoaderCost!$A:$C,LoaderCost!$1:$10</definedName>
    <definedName name="_xlnm.Print_Titles" localSheetId="25">Optimum!$A:$C,Optimum!$1:$10</definedName>
    <definedName name="_xlnm.Print_Titles" localSheetId="20">Productivity!$A:$C,Productivity!$1:$11</definedName>
    <definedName name="_xlnm.Print_Titles" localSheetId="21">Time!$A:$C,Time!$1:$11</definedName>
    <definedName name="_xlnm.Print_Titles" localSheetId="24">TotalCost!$A:$C,TotalCost!$1:$10</definedName>
    <definedName name="_xlnm.Print_Titles" localSheetId="22">TruckCost!$A:$C,TruckCost!$1:$10</definedName>
    <definedName name="Z_022582FA_9605_4A7F_B587_E5659EE41F6B_.wvu.Cols" localSheetId="8" hidden="1">'9   Trucks'!#REF!</definedName>
    <definedName name="Z_022582FA_9605_4A7F_B587_E5659EE41F6B_.wvu.Cols" localSheetId="27" hidden="1">Earthwork.xls!#REF!,Earthwork.xls!#REF!</definedName>
    <definedName name="Z_022582FA_9605_4A7F_B587_E5659EE41F6B_.wvu.PrintArea" localSheetId="0" hidden="1">'1 General'!$A$1:$C$22</definedName>
    <definedName name="Z_022582FA_9605_4A7F_B587_E5659EE41F6B_.wvu.PrintArea" localSheetId="10" hidden="1">'11   Scraper'!$A$1:$Q$5</definedName>
    <definedName name="Z_022582FA_9605_4A7F_B587_E5659EE41F6B_.wvu.PrintArea" localSheetId="12" hidden="1">'13   EarthSum'!$B$1:$P$72</definedName>
    <definedName name="Z_022582FA_9605_4A7F_B587_E5659EE41F6B_.wvu.PrintArea" localSheetId="13" hidden="1">'14   Reveg'!$A$1:$J$22</definedName>
    <definedName name="Z_022582FA_9605_4A7F_B587_E5659EE41F6B_.wvu.PrintArea" localSheetId="14" hidden="1">'15   Other'!$A$1:$M$33</definedName>
    <definedName name="Z_022582FA_9605_4A7F_B587_E5659EE41F6B_.wvu.PrintArea" localSheetId="15" hidden="1">'16   Sum'!$A$1:$K$52</definedName>
    <definedName name="Z_022582FA_9605_4A7F_B587_E5659EE41F6B_.wvu.PrintArea" localSheetId="1" hidden="1">'2   Demo'!$A$1:$T$3</definedName>
    <definedName name="Z_022582FA_9605_4A7F_B587_E5659EE41F6B_.wvu.PrintArea" localSheetId="2" hidden="1">'3   Material'!$A$1:$G$50</definedName>
    <definedName name="Z_022582FA_9605_4A7F_B587_E5659EE41F6B_.wvu.PrintArea" localSheetId="3" hidden="1">'4   Earthwork'!$A$1:$I$37</definedName>
    <definedName name="Z_022582FA_9605_4A7F_B587_E5659EE41F6B_.wvu.PrintArea" localSheetId="4" hidden="1">'5   Dozer'!$A$1:$R$11</definedName>
    <definedName name="Z_022582FA_9605_4A7F_B587_E5659EE41F6B_.wvu.PrintArea" localSheetId="5" hidden="1">'6   Grading'!$A$1:$S$10</definedName>
    <definedName name="Z_022582FA_9605_4A7F_B587_E5659EE41F6B_.wvu.PrintArea" localSheetId="6" hidden="1">'7   Ripper'!$A$1:$N$19</definedName>
    <definedName name="Z_022582FA_9605_4A7F_B587_E5659EE41F6B_.wvu.PrintArea" localSheetId="7" hidden="1">'8  Excavator'!$A$1:$O$23</definedName>
    <definedName name="Z_022582FA_9605_4A7F_B587_E5659EE41F6B_.wvu.PrintArea" localSheetId="8" hidden="1">'9   Trucks'!$A$1:$AN$13</definedName>
    <definedName name="Z_022582FA_9605_4A7F_B587_E5659EE41F6B_.wvu.PrintArea" localSheetId="27" hidden="1">Earthwork.xls!$A$1:$E$13</definedName>
    <definedName name="Z_022582FA_9605_4A7F_B587_E5659EE41F6B_.wvu.PrintArea" localSheetId="23" hidden="1">LoaderCost!$A$1:$AB$11</definedName>
    <definedName name="Z_022582FA_9605_4A7F_B587_E5659EE41F6B_.wvu.PrintArea" localSheetId="25" hidden="1">Optimum!$A$1:$AC$11</definedName>
    <definedName name="Z_022582FA_9605_4A7F_B587_E5659EE41F6B_.wvu.PrintArea" localSheetId="20" hidden="1">Productivity!$A$1:$AB$13</definedName>
    <definedName name="Z_022582FA_9605_4A7F_B587_E5659EE41F6B_.wvu.PrintArea" localSheetId="21" hidden="1">Time!$A$1:$AB$13</definedName>
    <definedName name="Z_022582FA_9605_4A7F_B587_E5659EE41F6B_.wvu.PrintArea" localSheetId="24" hidden="1">TotalCost!$A$1:$AC$11</definedName>
    <definedName name="Z_022582FA_9605_4A7F_B587_E5659EE41F6B_.wvu.PrintArea" localSheetId="22" hidden="1">TruckCost!$A$1:$AB$11</definedName>
    <definedName name="Z_022582FA_9605_4A7F_B587_E5659EE41F6B_.wvu.PrintTitles" localSheetId="10" hidden="1">'11   Scraper'!$A:$C,'11   Scraper'!#REF!</definedName>
    <definedName name="Z_022582FA_9605_4A7F_B587_E5659EE41F6B_.wvu.PrintTitles" localSheetId="12" hidden="1">'13   EarthSum'!$B:$F,'13   EarthSum'!$1:$7</definedName>
    <definedName name="Z_022582FA_9605_4A7F_B587_E5659EE41F6B_.wvu.PrintTitles" localSheetId="13" hidden="1">'14   Reveg'!$A:$B,'14   Reveg'!$1:$10</definedName>
    <definedName name="Z_022582FA_9605_4A7F_B587_E5659EE41F6B_.wvu.PrintTitles" localSheetId="14" hidden="1">'15   Other'!$A:$A,'15   Other'!$1:$7</definedName>
    <definedName name="Z_022582FA_9605_4A7F_B587_E5659EE41F6B_.wvu.PrintTitles" localSheetId="1" hidden="1">'2   Demo'!$A:$A,'2   Demo'!$1:$3</definedName>
    <definedName name="Z_022582FA_9605_4A7F_B587_E5659EE41F6B_.wvu.PrintTitles" localSheetId="2" hidden="1">'3   Material'!$1:$8</definedName>
    <definedName name="Z_022582FA_9605_4A7F_B587_E5659EE41F6B_.wvu.PrintTitles" localSheetId="3" hidden="1">'4   Earthwork'!$1:$8</definedName>
    <definedName name="Z_022582FA_9605_4A7F_B587_E5659EE41F6B_.wvu.PrintTitles" localSheetId="4" hidden="1">'5   Dozer'!$A:$C,'5   Dozer'!$5:$10</definedName>
    <definedName name="Z_022582FA_9605_4A7F_B587_E5659EE41F6B_.wvu.PrintTitles" localSheetId="5" hidden="1">'6   Grading'!$A:$C,'6   Grading'!$1:$10</definedName>
    <definedName name="Z_022582FA_9605_4A7F_B587_E5659EE41F6B_.wvu.PrintTitles" localSheetId="6" hidden="1">'7   Ripper'!$A:$C,'7   Ripper'!$1:$10</definedName>
    <definedName name="Z_022582FA_9605_4A7F_B587_E5659EE41F6B_.wvu.PrintTitles" localSheetId="7" hidden="1">'8  Excavator'!$A:$A,'8  Excavator'!$1:$3</definedName>
    <definedName name="Z_022582FA_9605_4A7F_B587_E5659EE41F6B_.wvu.PrintTitles" localSheetId="8" hidden="1">'9   Trucks'!$A:$C,'9   Trucks'!$1:$12</definedName>
    <definedName name="Z_022582FA_9605_4A7F_B587_E5659EE41F6B_.wvu.PrintTitles" localSheetId="27" hidden="1">Earthwork.xls!$A:$C,Earthwork.xls!$1:$10</definedName>
    <definedName name="Z_022582FA_9605_4A7F_B587_E5659EE41F6B_.wvu.PrintTitles" localSheetId="23" hidden="1">LoaderCost!$A:$C,LoaderCost!$1:$10</definedName>
    <definedName name="Z_022582FA_9605_4A7F_B587_E5659EE41F6B_.wvu.PrintTitles" localSheetId="25" hidden="1">Optimum!$A:$C,Optimum!$1:$10</definedName>
    <definedName name="Z_022582FA_9605_4A7F_B587_E5659EE41F6B_.wvu.PrintTitles" localSheetId="20" hidden="1">Productivity!$A:$C,Productivity!$1:$11</definedName>
    <definedName name="Z_022582FA_9605_4A7F_B587_E5659EE41F6B_.wvu.PrintTitles" localSheetId="21" hidden="1">Time!$A:$C,Time!$1:$11</definedName>
    <definedName name="Z_022582FA_9605_4A7F_B587_E5659EE41F6B_.wvu.PrintTitles" localSheetId="24" hidden="1">TotalCost!$A:$C,TotalCost!$1:$10</definedName>
    <definedName name="Z_022582FA_9605_4A7F_B587_E5659EE41F6B_.wvu.PrintTitles" localSheetId="22" hidden="1">TruckCost!$A:$C,TruckCost!$1:$10</definedName>
    <definedName name="Z_022582FA_9605_4A7F_B587_E5659EE41F6B_.wvu.Rows" localSheetId="10" hidden="1">'11   Scraper'!#REF!</definedName>
    <definedName name="Z_CFF26D3A_8717_40F2_B6BC_9E1EF0EFD095_.wvu.PrintArea" localSheetId="0" hidden="1">'1 General'!$A$1:$C$22</definedName>
    <definedName name="Z_CFF26D3A_8717_40F2_B6BC_9E1EF0EFD095_.wvu.PrintArea" localSheetId="10" hidden="1">'11   Scraper'!$A$1:$Q$5</definedName>
    <definedName name="Z_CFF26D3A_8717_40F2_B6BC_9E1EF0EFD095_.wvu.PrintArea" localSheetId="12" hidden="1">'13   EarthSum'!$B$1:$P$72</definedName>
    <definedName name="Z_CFF26D3A_8717_40F2_B6BC_9E1EF0EFD095_.wvu.PrintArea" localSheetId="13" hidden="1">'14   Reveg'!$A$1:$J$22</definedName>
    <definedName name="Z_CFF26D3A_8717_40F2_B6BC_9E1EF0EFD095_.wvu.PrintArea" localSheetId="14" hidden="1">'15   Other'!$A$1:$M$33</definedName>
    <definedName name="Z_CFF26D3A_8717_40F2_B6BC_9E1EF0EFD095_.wvu.PrintArea" localSheetId="15" hidden="1">'16   Sum'!$A$1:$K$52</definedName>
    <definedName name="Z_CFF26D3A_8717_40F2_B6BC_9E1EF0EFD095_.wvu.PrintArea" localSheetId="1" hidden="1">'2   Demo'!$A$1:$T$3</definedName>
    <definedName name="Z_CFF26D3A_8717_40F2_B6BC_9E1EF0EFD095_.wvu.PrintArea" localSheetId="2" hidden="1">'3   Material'!$A$1:$G$50</definedName>
    <definedName name="Z_CFF26D3A_8717_40F2_B6BC_9E1EF0EFD095_.wvu.PrintArea" localSheetId="3" hidden="1">'4   Earthwork'!$A$1:$I$37</definedName>
    <definedName name="Z_CFF26D3A_8717_40F2_B6BC_9E1EF0EFD095_.wvu.PrintArea" localSheetId="4" hidden="1">'5   Dozer'!$A$1:$R$11</definedName>
    <definedName name="Z_CFF26D3A_8717_40F2_B6BC_9E1EF0EFD095_.wvu.PrintArea" localSheetId="5" hidden="1">'6   Grading'!$A$1:$S$10</definedName>
    <definedName name="Z_CFF26D3A_8717_40F2_B6BC_9E1EF0EFD095_.wvu.PrintArea" localSheetId="6" hidden="1">'7   Ripper'!$A$1:$N$19</definedName>
    <definedName name="Z_CFF26D3A_8717_40F2_B6BC_9E1EF0EFD095_.wvu.PrintArea" localSheetId="7" hidden="1">'8  Excavator'!$A$1:$O$23</definedName>
    <definedName name="Z_CFF26D3A_8717_40F2_B6BC_9E1EF0EFD095_.wvu.PrintArea" localSheetId="8" hidden="1">'9   Trucks'!$A$1:$AN$13</definedName>
    <definedName name="Z_CFF26D3A_8717_40F2_B6BC_9E1EF0EFD095_.wvu.PrintArea" localSheetId="27" hidden="1">Earthwork.xls!$A$1:$E$13</definedName>
    <definedName name="Z_CFF26D3A_8717_40F2_B6BC_9E1EF0EFD095_.wvu.PrintArea" localSheetId="23" hidden="1">LoaderCost!$A$1:$AB$11</definedName>
    <definedName name="Z_CFF26D3A_8717_40F2_B6BC_9E1EF0EFD095_.wvu.PrintArea" localSheetId="25" hidden="1">Optimum!$A$1:$AC$11</definedName>
    <definedName name="Z_CFF26D3A_8717_40F2_B6BC_9E1EF0EFD095_.wvu.PrintArea" localSheetId="20" hidden="1">Productivity!$A$1:$AB$13</definedName>
    <definedName name="Z_CFF26D3A_8717_40F2_B6BC_9E1EF0EFD095_.wvu.PrintArea" localSheetId="21" hidden="1">Time!$A$1:$AB$13</definedName>
    <definedName name="Z_CFF26D3A_8717_40F2_B6BC_9E1EF0EFD095_.wvu.PrintArea" localSheetId="24" hidden="1">TotalCost!$A$1:$AC$11</definedName>
    <definedName name="Z_CFF26D3A_8717_40F2_B6BC_9E1EF0EFD095_.wvu.PrintArea" localSheetId="22" hidden="1">TruckCost!$A$1:$AB$11</definedName>
    <definedName name="Z_CFF26D3A_8717_40F2_B6BC_9E1EF0EFD095_.wvu.PrintTitles" localSheetId="10" hidden="1">'11   Scraper'!$A:$C,'11   Scraper'!#REF!</definedName>
    <definedName name="Z_CFF26D3A_8717_40F2_B6BC_9E1EF0EFD095_.wvu.PrintTitles" localSheetId="12" hidden="1">'13   EarthSum'!$B:$F,'13   EarthSum'!$1:$7</definedName>
    <definedName name="Z_CFF26D3A_8717_40F2_B6BC_9E1EF0EFD095_.wvu.PrintTitles" localSheetId="13" hidden="1">'14   Reveg'!$A:$B,'14   Reveg'!$1:$10</definedName>
    <definedName name="Z_CFF26D3A_8717_40F2_B6BC_9E1EF0EFD095_.wvu.PrintTitles" localSheetId="14" hidden="1">'15   Other'!$A:$A,'15   Other'!$1:$7</definedName>
    <definedName name="Z_CFF26D3A_8717_40F2_B6BC_9E1EF0EFD095_.wvu.PrintTitles" localSheetId="1" hidden="1">'2   Demo'!$A:$A,'2   Demo'!$1:$3</definedName>
    <definedName name="Z_CFF26D3A_8717_40F2_B6BC_9E1EF0EFD095_.wvu.PrintTitles" localSheetId="2" hidden="1">'3   Material'!$1:$8</definedName>
    <definedName name="Z_CFF26D3A_8717_40F2_B6BC_9E1EF0EFD095_.wvu.PrintTitles" localSheetId="3" hidden="1">'4   Earthwork'!$1:$8</definedName>
    <definedName name="Z_CFF26D3A_8717_40F2_B6BC_9E1EF0EFD095_.wvu.PrintTitles" localSheetId="4" hidden="1">'5   Dozer'!$A:$C,'5   Dozer'!$5:$10</definedName>
    <definedName name="Z_CFF26D3A_8717_40F2_B6BC_9E1EF0EFD095_.wvu.PrintTitles" localSheetId="5" hidden="1">'6   Grading'!$A:$C,'6   Grading'!$1:$10</definedName>
    <definedName name="Z_CFF26D3A_8717_40F2_B6BC_9E1EF0EFD095_.wvu.PrintTitles" localSheetId="6" hidden="1">'7   Ripper'!$A:$C,'7   Ripper'!$1:$10</definedName>
    <definedName name="Z_CFF26D3A_8717_40F2_B6BC_9E1EF0EFD095_.wvu.PrintTitles" localSheetId="7" hidden="1">'8  Excavator'!$A:$A,'8  Excavator'!$1:$3</definedName>
    <definedName name="Z_CFF26D3A_8717_40F2_B6BC_9E1EF0EFD095_.wvu.PrintTitles" localSheetId="8" hidden="1">'9   Trucks'!$A:$C,'9   Trucks'!$1:$12</definedName>
    <definedName name="Z_CFF26D3A_8717_40F2_B6BC_9E1EF0EFD095_.wvu.PrintTitles" localSheetId="27" hidden="1">Earthwork.xls!$A:$C,Earthwork.xls!$1:$10</definedName>
    <definedName name="Z_CFF26D3A_8717_40F2_B6BC_9E1EF0EFD095_.wvu.PrintTitles" localSheetId="23" hidden="1">LoaderCost!$A:$C,LoaderCost!$1:$10</definedName>
    <definedName name="Z_CFF26D3A_8717_40F2_B6BC_9E1EF0EFD095_.wvu.PrintTitles" localSheetId="25" hidden="1">Optimum!$A:$C,Optimum!$1:$10</definedName>
    <definedName name="Z_CFF26D3A_8717_40F2_B6BC_9E1EF0EFD095_.wvu.PrintTitles" localSheetId="20" hidden="1">Productivity!$A:$C,Productivity!$1:$11</definedName>
    <definedName name="Z_CFF26D3A_8717_40F2_B6BC_9E1EF0EFD095_.wvu.PrintTitles" localSheetId="21" hidden="1">Time!$A:$C,Time!$1:$11</definedName>
    <definedName name="Z_CFF26D3A_8717_40F2_B6BC_9E1EF0EFD095_.wvu.PrintTitles" localSheetId="24" hidden="1">TotalCost!$A:$C,TotalCost!$1:$10</definedName>
    <definedName name="Z_CFF26D3A_8717_40F2_B6BC_9E1EF0EFD095_.wvu.PrintTitles" localSheetId="22" hidden="1">TruckCost!$A:$C,TruckCost!$1:$10</definedName>
    <definedName name="Z_CFF26D3A_8717_40F2_B6BC_9E1EF0EFD095_.wvu.Rows" localSheetId="10" hidden="1">'11   Scraper'!#REF!</definedName>
    <definedName name="Z_CFF26D3A_8717_40F2_B6BC_9E1EF0EFD095_.wvu.Rows" localSheetId="14" hidden="1">'15   Other'!#REF!,'15   Other'!#REF!</definedName>
  </definedNames>
  <calcPr calcId="145621"/>
  <customWorkbookViews>
    <customWorkbookView name="jcoleman - Personal View" guid="{022582FA-9605-4A7F-B587-E5659EE41F6B}" mergeInterval="0" personalView="1" maximized="1" windowWidth="1020" windowHeight="543" tabRatio="810" activeSheetId="10"/>
    <customWorkbookView name="atischer - Personal View" guid="{CFF26D3A-8717-40F2-B6BC-9E1EF0EFD095}" mergeInterval="0" personalView="1" maximized="1" windowWidth="1276" windowHeight="799" tabRatio="810" activeSheetId="21"/>
  </customWorkbookViews>
</workbook>
</file>

<file path=xl/calcChain.xml><?xml version="1.0" encoding="utf-8"?>
<calcChain xmlns="http://schemas.openxmlformats.org/spreadsheetml/2006/main">
  <c r="B17" i="16" l="1"/>
  <c r="F13" i="17" l="1"/>
  <c r="D5" i="31" l="1"/>
  <c r="D25" i="15"/>
  <c r="D24" i="15"/>
  <c r="AO3" i="11"/>
  <c r="AO1" i="11"/>
  <c r="T3" i="11"/>
  <c r="T1" i="11"/>
  <c r="E14" i="28"/>
  <c r="C16" i="5"/>
  <c r="C15" i="5"/>
  <c r="C14" i="5"/>
  <c r="B11" i="1"/>
  <c r="E14" i="17" l="1"/>
  <c r="E12" i="17" l="1"/>
  <c r="E11" i="17"/>
  <c r="F11" i="17" s="1"/>
  <c r="E10" i="17"/>
  <c r="E9" i="17"/>
  <c r="D11" i="16"/>
  <c r="D12" i="16" s="1"/>
  <c r="H29" i="15"/>
  <c r="H28" i="15"/>
  <c r="G29" i="15"/>
  <c r="G28" i="15"/>
  <c r="C29" i="15"/>
  <c r="C28" i="15"/>
  <c r="J31" i="15"/>
  <c r="E40" i="15"/>
  <c r="E41" i="15"/>
  <c r="E42" i="15"/>
  <c r="E43" i="15"/>
  <c r="E39" i="15"/>
  <c r="G39" i="15"/>
  <c r="G43" i="15"/>
  <c r="G42" i="15"/>
  <c r="G41" i="15"/>
  <c r="G40" i="15"/>
  <c r="W12" i="8" l="1"/>
  <c r="W11" i="8"/>
  <c r="A8" i="18" l="1"/>
  <c r="AC13" i="11" l="1"/>
  <c r="AO13" i="11" s="1"/>
  <c r="AB13" i="11"/>
  <c r="AN13" i="11" s="1"/>
  <c r="AA13" i="11"/>
  <c r="AM13" i="11" s="1"/>
  <c r="D3" i="32"/>
  <c r="D1" i="32"/>
  <c r="E3" i="31"/>
  <c r="E1" i="31"/>
  <c r="D13" i="24" l="1"/>
  <c r="D12" i="24"/>
  <c r="X14" i="11"/>
  <c r="AJ14" i="11" s="1"/>
  <c r="X13" i="11"/>
  <c r="AJ13" i="11" s="1"/>
  <c r="U14" i="11"/>
  <c r="AA14" i="11"/>
  <c r="AM14" i="11" s="1"/>
  <c r="D15" i="21"/>
  <c r="D14" i="21"/>
  <c r="D12" i="25" s="1"/>
  <c r="F11" i="21"/>
  <c r="G11" i="21"/>
  <c r="H11" i="21" s="1"/>
  <c r="I11" i="21" s="1"/>
  <c r="E9" i="5"/>
  <c r="L11" i="7" s="1"/>
  <c r="E10" i="5"/>
  <c r="L12" i="7" s="1"/>
  <c r="E13" i="6"/>
  <c r="G13" i="6" s="1"/>
  <c r="G17" i="6" s="1"/>
  <c r="E14" i="6"/>
  <c r="E18" i="6" s="1"/>
  <c r="K11" i="8"/>
  <c r="K12" i="8"/>
  <c r="H12" i="8" s="1"/>
  <c r="H25" i="15"/>
  <c r="H24" i="15"/>
  <c r="G25" i="15"/>
  <c r="G24" i="15"/>
  <c r="H21" i="15"/>
  <c r="H20" i="15"/>
  <c r="G21" i="15"/>
  <c r="G20" i="15"/>
  <c r="H17" i="15"/>
  <c r="H16" i="15"/>
  <c r="G17" i="15"/>
  <c r="G16" i="15"/>
  <c r="D13" i="7"/>
  <c r="C12" i="15" s="1"/>
  <c r="A13" i="7"/>
  <c r="D12" i="15" s="1"/>
  <c r="C13" i="7"/>
  <c r="F12" i="15" s="1"/>
  <c r="G12" i="15"/>
  <c r="H12" i="15"/>
  <c r="D14" i="7"/>
  <c r="C13" i="15" s="1"/>
  <c r="A14" i="7"/>
  <c r="D13" i="15" s="1"/>
  <c r="C14" i="7"/>
  <c r="F13" i="15" s="1"/>
  <c r="G13" i="15"/>
  <c r="H13" i="15"/>
  <c r="F11" i="12"/>
  <c r="L14" i="11" s="1"/>
  <c r="AF14" i="11" s="1"/>
  <c r="F10" i="12"/>
  <c r="L13" i="11" s="1"/>
  <c r="D11" i="12"/>
  <c r="D10" i="12"/>
  <c r="Y14" i="11"/>
  <c r="AK14" i="11" s="1"/>
  <c r="V14" i="11"/>
  <c r="W14" i="11"/>
  <c r="Z14" i="11"/>
  <c r="AL14" i="11" s="1"/>
  <c r="AB14" i="11"/>
  <c r="AN14" i="11" s="1"/>
  <c r="AC14" i="11"/>
  <c r="AO14" i="11" s="1"/>
  <c r="U13" i="11"/>
  <c r="Y13" i="11"/>
  <c r="AK13" i="11" s="1"/>
  <c r="V13" i="11"/>
  <c r="W13" i="11"/>
  <c r="Z13" i="11"/>
  <c r="AL13" i="11" s="1"/>
  <c r="A14" i="11"/>
  <c r="A13" i="11"/>
  <c r="D14" i="11"/>
  <c r="D13" i="11"/>
  <c r="A12" i="6"/>
  <c r="B12" i="6"/>
  <c r="A11" i="6"/>
  <c r="B11" i="6"/>
  <c r="M14" i="11"/>
  <c r="E16" i="5"/>
  <c r="M13" i="11"/>
  <c r="E15" i="5" s="1"/>
  <c r="C10" i="17"/>
  <c r="F10" i="17" s="1"/>
  <c r="F8" i="17"/>
  <c r="F9" i="17"/>
  <c r="F16" i="17" s="1"/>
  <c r="C13" i="17"/>
  <c r="C12" i="17"/>
  <c r="F12" i="17" s="1"/>
  <c r="C14" i="17"/>
  <c r="F14" i="17" s="1"/>
  <c r="A8" i="17"/>
  <c r="A12" i="17" s="1"/>
  <c r="G11" i="15"/>
  <c r="H11" i="15"/>
  <c r="G10" i="15"/>
  <c r="H10" i="15"/>
  <c r="E11" i="16"/>
  <c r="E12" i="16"/>
  <c r="I11" i="7"/>
  <c r="E13" i="28"/>
  <c r="G9" i="6" s="1"/>
  <c r="I12" i="7"/>
  <c r="G10" i="6"/>
  <c r="L11" i="15" s="1"/>
  <c r="D14" i="5"/>
  <c r="C12" i="5" s="1"/>
  <c r="C12" i="6" s="1"/>
  <c r="B14" i="7" s="1"/>
  <c r="E13" i="15" s="1"/>
  <c r="D13" i="5"/>
  <c r="B11" i="16" s="1"/>
  <c r="C11" i="32"/>
  <c r="C12" i="31"/>
  <c r="C13" i="31"/>
  <c r="C14" i="31"/>
  <c r="C15" i="31"/>
  <c r="C16" i="31"/>
  <c r="C17" i="31"/>
  <c r="C21" i="31"/>
  <c r="A13" i="28"/>
  <c r="A14" i="28"/>
  <c r="C9" i="6"/>
  <c r="B11" i="7" s="1"/>
  <c r="E10" i="15" s="1"/>
  <c r="D28" i="15" s="1"/>
  <c r="B15" i="6"/>
  <c r="A14" i="21" s="1"/>
  <c r="B16" i="6"/>
  <c r="A15" i="21" s="1"/>
  <c r="A15" i="6"/>
  <c r="A16" i="6"/>
  <c r="F10" i="23"/>
  <c r="G10" i="23"/>
  <c r="H10" i="23"/>
  <c r="I10" i="23" s="1"/>
  <c r="J10" i="23" s="1"/>
  <c r="K10" i="23" s="1"/>
  <c r="L10" i="23" s="1"/>
  <c r="M10" i="23" s="1"/>
  <c r="N10" i="23" s="1"/>
  <c r="O10" i="23" s="1"/>
  <c r="P10" i="23" s="1"/>
  <c r="Q10" i="23" s="1"/>
  <c r="R10" i="23" s="1"/>
  <c r="S10" i="23" s="1"/>
  <c r="T10" i="23" s="1"/>
  <c r="U10" i="23" s="1"/>
  <c r="V10" i="23" s="1"/>
  <c r="W10" i="23" s="1"/>
  <c r="X10" i="23" s="1"/>
  <c r="Y10" i="23" s="1"/>
  <c r="Z10" i="23" s="1"/>
  <c r="AA10" i="23" s="1"/>
  <c r="AB10" i="23" s="1"/>
  <c r="E53" i="16"/>
  <c r="E52" i="16"/>
  <c r="F10" i="26"/>
  <c r="G10" i="26"/>
  <c r="H10" i="26"/>
  <c r="I10" i="26" s="1"/>
  <c r="J10" i="26" s="1"/>
  <c r="K10" i="26" s="1"/>
  <c r="L10" i="26" s="1"/>
  <c r="M10" i="26" s="1"/>
  <c r="N10" i="26" s="1"/>
  <c r="O10" i="26" s="1"/>
  <c r="P10" i="26" s="1"/>
  <c r="Q10" i="26" s="1"/>
  <c r="R10" i="26" s="1"/>
  <c r="S10" i="26" s="1"/>
  <c r="T10" i="26" s="1"/>
  <c r="U10" i="26" s="1"/>
  <c r="V10" i="26" s="1"/>
  <c r="W10" i="26" s="1"/>
  <c r="X10" i="26" s="1"/>
  <c r="Y10" i="26" s="1"/>
  <c r="Z10" i="26" s="1"/>
  <c r="AA10" i="26" s="1"/>
  <c r="AB10" i="26" s="1"/>
  <c r="C21" i="18"/>
  <c r="C18" i="31" s="1"/>
  <c r="T14" i="15"/>
  <c r="T15" i="15"/>
  <c r="S14" i="15"/>
  <c r="S15" i="15"/>
  <c r="C15" i="6"/>
  <c r="J1" i="17"/>
  <c r="C7" i="32"/>
  <c r="B12" i="16"/>
  <c r="A17" i="6"/>
  <c r="A18" i="6"/>
  <c r="A13" i="6"/>
  <c r="A14" i="6"/>
  <c r="A9" i="6"/>
  <c r="B14" i="28"/>
  <c r="C14" i="28"/>
  <c r="B13" i="28"/>
  <c r="C13" i="28"/>
  <c r="C20" i="15"/>
  <c r="C21" i="15"/>
  <c r="C24" i="15"/>
  <c r="D12" i="23" s="1"/>
  <c r="C25" i="15"/>
  <c r="D13" i="23" s="1"/>
  <c r="B13" i="6"/>
  <c r="A10" i="12" s="1"/>
  <c r="D20" i="15" s="1"/>
  <c r="B14" i="6"/>
  <c r="A11" i="12" s="1"/>
  <c r="D21" i="15" s="1"/>
  <c r="C16" i="15"/>
  <c r="B17" i="6"/>
  <c r="A11" i="8" s="1"/>
  <c r="D16" i="15" s="1"/>
  <c r="D17" i="6"/>
  <c r="C11" i="8" s="1"/>
  <c r="F16" i="15" s="1"/>
  <c r="C17" i="15"/>
  <c r="B18" i="6"/>
  <c r="A12" i="8" s="1"/>
  <c r="D17" i="15" s="1"/>
  <c r="D18" i="6"/>
  <c r="C12" i="8" s="1"/>
  <c r="F17" i="15" s="1"/>
  <c r="D12" i="7"/>
  <c r="C11" i="15" s="1"/>
  <c r="A12" i="7"/>
  <c r="D11" i="15" s="1"/>
  <c r="C10" i="6"/>
  <c r="B12" i="7" s="1"/>
  <c r="E11" i="15" s="1"/>
  <c r="D29" i="15" s="1"/>
  <c r="C12" i="7"/>
  <c r="F11" i="15" s="1"/>
  <c r="D11" i="7"/>
  <c r="C10" i="15" s="1"/>
  <c r="A11" i="7"/>
  <c r="D10" i="15" s="1"/>
  <c r="C11" i="7"/>
  <c r="F10" i="15" s="1"/>
  <c r="D11" i="8"/>
  <c r="D12" i="8"/>
  <c r="A10" i="6"/>
  <c r="B10" i="6"/>
  <c r="B9" i="6"/>
  <c r="E3" i="18"/>
  <c r="J3" i="17"/>
  <c r="E1" i="28"/>
  <c r="E3" i="28"/>
  <c r="J1" i="21"/>
  <c r="L1" i="25" s="1"/>
  <c r="J3" i="21"/>
  <c r="AC3" i="26" s="1"/>
  <c r="F10" i="25"/>
  <c r="G10" i="25" s="1"/>
  <c r="H10" i="25" s="1"/>
  <c r="I10" i="25" s="1"/>
  <c r="J10" i="25" s="1"/>
  <c r="K10" i="25" s="1"/>
  <c r="L10" i="25" s="1"/>
  <c r="M10" i="25" s="1"/>
  <c r="N10" i="25" s="1"/>
  <c r="O10" i="25" s="1"/>
  <c r="P10" i="25" s="1"/>
  <c r="Q10" i="25" s="1"/>
  <c r="R10" i="25" s="1"/>
  <c r="S10" i="25" s="1"/>
  <c r="T10" i="25" s="1"/>
  <c r="U10" i="25" s="1"/>
  <c r="V10" i="25" s="1"/>
  <c r="W10" i="25" s="1"/>
  <c r="X10" i="25" s="1"/>
  <c r="Y10" i="25" s="1"/>
  <c r="Z10" i="25" s="1"/>
  <c r="AA10" i="25" s="1"/>
  <c r="AB10" i="25" s="1"/>
  <c r="F10" i="24"/>
  <c r="G10" i="24" s="1"/>
  <c r="H10" i="24" s="1"/>
  <c r="I10" i="24" s="1"/>
  <c r="J10" i="24" s="1"/>
  <c r="K10" i="24" s="1"/>
  <c r="L10" i="24" s="1"/>
  <c r="M10" i="24" s="1"/>
  <c r="N10" i="24" s="1"/>
  <c r="O10" i="24" s="1"/>
  <c r="P10" i="24" s="1"/>
  <c r="Q10" i="24" s="1"/>
  <c r="R10" i="24" s="1"/>
  <c r="S10" i="24" s="1"/>
  <c r="T10" i="24" s="1"/>
  <c r="U10" i="24" s="1"/>
  <c r="V10" i="24" s="1"/>
  <c r="W10" i="24" s="1"/>
  <c r="X10" i="24" s="1"/>
  <c r="Y10" i="24" s="1"/>
  <c r="Z10" i="24" s="1"/>
  <c r="AA10" i="24" s="1"/>
  <c r="AB10" i="24" s="1"/>
  <c r="F11" i="22"/>
  <c r="G11" i="22" s="1"/>
  <c r="H11" i="22" s="1"/>
  <c r="I11" i="22" s="1"/>
  <c r="J11" i="22" s="1"/>
  <c r="K11" i="22" s="1"/>
  <c r="L11" i="22" s="1"/>
  <c r="M11" i="22" s="1"/>
  <c r="N11" i="22" s="1"/>
  <c r="O11" i="22" s="1"/>
  <c r="P11" i="22" s="1"/>
  <c r="Q11" i="22" s="1"/>
  <c r="R11" i="22" s="1"/>
  <c r="S11" i="22" s="1"/>
  <c r="T11" i="22" s="1"/>
  <c r="U11" i="22" s="1"/>
  <c r="V11" i="22" s="1"/>
  <c r="W11" i="22" s="1"/>
  <c r="X11" i="22" s="1"/>
  <c r="Y11" i="22" s="1"/>
  <c r="Z11" i="22" s="1"/>
  <c r="AA11" i="22" s="1"/>
  <c r="AB11" i="22" s="1"/>
  <c r="E1" i="18"/>
  <c r="E1" i="16"/>
  <c r="E3" i="16"/>
  <c r="N1" i="15"/>
  <c r="N3" i="15"/>
  <c r="G1" i="14"/>
  <c r="G3" i="14"/>
  <c r="H1" i="13"/>
  <c r="H3" i="13"/>
  <c r="L1" i="12"/>
  <c r="L3" i="12"/>
  <c r="G1" i="10"/>
  <c r="G3" i="10"/>
  <c r="H1" i="9"/>
  <c r="H3" i="9"/>
  <c r="W1" i="8"/>
  <c r="W3" i="8"/>
  <c r="S1" i="7"/>
  <c r="S3" i="7"/>
  <c r="I1" i="6"/>
  <c r="I3" i="6"/>
  <c r="G1" i="5"/>
  <c r="G3" i="5"/>
  <c r="J1" i="4"/>
  <c r="J3" i="4"/>
  <c r="P1" i="22"/>
  <c r="D14" i="6"/>
  <c r="F21" i="15" s="1"/>
  <c r="D13" i="25"/>
  <c r="L3" i="23"/>
  <c r="I10" i="6"/>
  <c r="E12" i="7" s="1"/>
  <c r="L3" i="24"/>
  <c r="C16" i="6"/>
  <c r="C14" i="6"/>
  <c r="E21" i="15" s="1"/>
  <c r="D13" i="6"/>
  <c r="F20" i="15" s="1"/>
  <c r="D15" i="22"/>
  <c r="D13" i="26"/>
  <c r="H11" i="12"/>
  <c r="H11" i="8"/>
  <c r="G14" i="6" l="1"/>
  <c r="C10" i="12"/>
  <c r="D16" i="5"/>
  <c r="C18" i="5" s="1"/>
  <c r="C18" i="6" s="1"/>
  <c r="B12" i="8" s="1"/>
  <c r="E17" i="15" s="1"/>
  <c r="D14" i="22"/>
  <c r="G16" i="6"/>
  <c r="I16" i="6" s="1"/>
  <c r="E14" i="11" s="1"/>
  <c r="L25" i="15" s="1"/>
  <c r="G18" i="6"/>
  <c r="H10" i="12"/>
  <c r="AE13" i="11"/>
  <c r="AE14" i="11"/>
  <c r="A9" i="17"/>
  <c r="A10" i="17" s="1"/>
  <c r="A11" i="17"/>
  <c r="M12" i="7"/>
  <c r="F12" i="7" s="1"/>
  <c r="G12" i="7" s="1"/>
  <c r="J11" i="15" s="1"/>
  <c r="M11" i="7"/>
  <c r="F11" i="7" s="1"/>
  <c r="A14" i="17"/>
  <c r="D12" i="26"/>
  <c r="A13" i="17"/>
  <c r="D15" i="5"/>
  <c r="C17" i="5" s="1"/>
  <c r="C17" i="6" s="1"/>
  <c r="B11" i="8" s="1"/>
  <c r="E16" i="15" s="1"/>
  <c r="C11" i="5"/>
  <c r="C11" i="6" s="1"/>
  <c r="B13" i="7" s="1"/>
  <c r="E12" i="15" s="1"/>
  <c r="B13" i="11"/>
  <c r="E24" i="15"/>
  <c r="C13" i="6"/>
  <c r="AF13" i="11"/>
  <c r="E17" i="6"/>
  <c r="I17" i="6" s="1"/>
  <c r="E11" i="8" s="1"/>
  <c r="L16" i="15" s="1"/>
  <c r="I13" i="6"/>
  <c r="E10" i="12" s="1"/>
  <c r="G15" i="6"/>
  <c r="I15" i="6" s="1"/>
  <c r="E13" i="11" s="1"/>
  <c r="L24" i="15" s="1"/>
  <c r="G11" i="6"/>
  <c r="L12" i="15" s="1"/>
  <c r="A14" i="22"/>
  <c r="A12" i="26"/>
  <c r="A12" i="24"/>
  <c r="A12" i="23"/>
  <c r="G12" i="6"/>
  <c r="L13" i="15" s="1"/>
  <c r="E14" i="16"/>
  <c r="D8" i="31" s="1"/>
  <c r="C25" i="32" s="1"/>
  <c r="L1" i="23"/>
  <c r="B14" i="21"/>
  <c r="B12" i="26" s="1"/>
  <c r="L3" i="25"/>
  <c r="L1" i="24"/>
  <c r="AC1" i="26"/>
  <c r="C11" i="12"/>
  <c r="P3" i="22"/>
  <c r="B11" i="12"/>
  <c r="D15" i="6"/>
  <c r="I18" i="6"/>
  <c r="E12" i="8" s="1"/>
  <c r="L17" i="15" s="1"/>
  <c r="A15" i="22"/>
  <c r="A13" i="24"/>
  <c r="A13" i="26"/>
  <c r="A13" i="25"/>
  <c r="A13" i="23"/>
  <c r="D16" i="6"/>
  <c r="F25" i="15" s="1"/>
  <c r="I14" i="6"/>
  <c r="E11" i="12" s="1"/>
  <c r="A12" i="25"/>
  <c r="J11" i="21"/>
  <c r="E25" i="15"/>
  <c r="B15" i="21"/>
  <c r="B14" i="11"/>
  <c r="AD13" i="11"/>
  <c r="AD14" i="11"/>
  <c r="I9" i="6"/>
  <c r="L10" i="15"/>
  <c r="F13" i="11" l="1"/>
  <c r="F14" i="21" s="1"/>
  <c r="B12" i="24"/>
  <c r="D12" i="18"/>
  <c r="D9" i="31"/>
  <c r="C26" i="32" s="1"/>
  <c r="F14" i="11"/>
  <c r="I15" i="21" s="1"/>
  <c r="K11" i="15"/>
  <c r="P11" i="15"/>
  <c r="I12" i="6"/>
  <c r="L20" i="15"/>
  <c r="I10" i="12"/>
  <c r="G13" i="7" s="1"/>
  <c r="J12" i="15" s="1"/>
  <c r="C15" i="32"/>
  <c r="B12" i="23"/>
  <c r="B10" i="12"/>
  <c r="E20" i="15"/>
  <c r="I11" i="8"/>
  <c r="J16" i="15" s="1"/>
  <c r="K16" i="15" s="1"/>
  <c r="N16" i="15" s="1"/>
  <c r="I12" i="8"/>
  <c r="J17" i="15" s="1"/>
  <c r="I11" i="6"/>
  <c r="B14" i="22"/>
  <c r="C14" i="21"/>
  <c r="C13" i="11"/>
  <c r="F24" i="15"/>
  <c r="E11" i="7"/>
  <c r="G11" i="7" s="1"/>
  <c r="J10" i="15" s="1"/>
  <c r="C15" i="21"/>
  <c r="C13" i="26" s="1"/>
  <c r="B12" i="25"/>
  <c r="D11" i="18"/>
  <c r="C14" i="11"/>
  <c r="I11" i="12"/>
  <c r="L21" i="15"/>
  <c r="E14" i="21"/>
  <c r="E15" i="21"/>
  <c r="H15" i="21"/>
  <c r="F15" i="21"/>
  <c r="B13" i="25"/>
  <c r="B13" i="26"/>
  <c r="B13" i="23"/>
  <c r="B13" i="24"/>
  <c r="B15" i="22"/>
  <c r="I14" i="21"/>
  <c r="I14" i="22" s="1"/>
  <c r="C13" i="24"/>
  <c r="K11" i="21"/>
  <c r="J15" i="21"/>
  <c r="J14" i="21"/>
  <c r="G15" i="21" l="1"/>
  <c r="G14" i="21"/>
  <c r="G14" i="22" s="1"/>
  <c r="G12" i="24" s="1"/>
  <c r="H14" i="21"/>
  <c r="J20" i="15"/>
  <c r="E14" i="22"/>
  <c r="E12" i="23" s="1"/>
  <c r="J14" i="22"/>
  <c r="J12" i="23" s="1"/>
  <c r="H14" i="22"/>
  <c r="H12" i="24" s="1"/>
  <c r="K10" i="15"/>
  <c r="C14" i="32" s="1"/>
  <c r="C23" i="32" s="1"/>
  <c r="P10" i="15"/>
  <c r="K12" i="15"/>
  <c r="P12" i="15"/>
  <c r="T11" i="15"/>
  <c r="C16" i="32"/>
  <c r="F14" i="22"/>
  <c r="F12" i="23" s="1"/>
  <c r="K17" i="15"/>
  <c r="N17" i="15" s="1"/>
  <c r="K20" i="15"/>
  <c r="N20" i="15" s="1"/>
  <c r="C15" i="22"/>
  <c r="C13" i="25"/>
  <c r="C12" i="23"/>
  <c r="C12" i="26"/>
  <c r="C14" i="22"/>
  <c r="C12" i="25"/>
  <c r="C12" i="24"/>
  <c r="C13" i="23"/>
  <c r="G15" i="22"/>
  <c r="G13" i="23" s="1"/>
  <c r="G14" i="7"/>
  <c r="J13" i="15" s="1"/>
  <c r="K13" i="15" s="1"/>
  <c r="J21" i="15"/>
  <c r="F15" i="22"/>
  <c r="F13" i="23" s="1"/>
  <c r="H15" i="22"/>
  <c r="H13" i="23" s="1"/>
  <c r="J15" i="22"/>
  <c r="J13" i="23" s="1"/>
  <c r="E15" i="22"/>
  <c r="E13" i="23" s="1"/>
  <c r="I15" i="22"/>
  <c r="I12" i="24"/>
  <c r="I12" i="23"/>
  <c r="G13" i="24"/>
  <c r="L11" i="21"/>
  <c r="K15" i="21"/>
  <c r="K15" i="22" s="1"/>
  <c r="K14" i="21"/>
  <c r="K14" i="22" s="1"/>
  <c r="N11" i="15"/>
  <c r="O11" i="15" s="1"/>
  <c r="E12" i="24" l="1"/>
  <c r="G12" i="23"/>
  <c r="G12" i="25" s="1"/>
  <c r="J28" i="15"/>
  <c r="J29" i="15" s="1"/>
  <c r="H12" i="23"/>
  <c r="J12" i="24"/>
  <c r="J12" i="25" s="1"/>
  <c r="N10" i="15"/>
  <c r="O10" i="15" s="1"/>
  <c r="S10" i="15" s="1"/>
  <c r="F12" i="24"/>
  <c r="F12" i="25" s="1"/>
  <c r="T10" i="15"/>
  <c r="S11" i="15"/>
  <c r="J13" i="24"/>
  <c r="J13" i="25" s="1"/>
  <c r="K29" i="15"/>
  <c r="E13" i="24"/>
  <c r="E13" i="25" s="1"/>
  <c r="K21" i="15"/>
  <c r="F13" i="24"/>
  <c r="F13" i="25" s="1"/>
  <c r="H13" i="24"/>
  <c r="H13" i="25" s="1"/>
  <c r="G13" i="25"/>
  <c r="I13" i="24"/>
  <c r="I13" i="23"/>
  <c r="P13" i="15"/>
  <c r="H12" i="25"/>
  <c r="E12" i="25"/>
  <c r="I12" i="25"/>
  <c r="T12" i="15"/>
  <c r="N12" i="15"/>
  <c r="L15" i="21"/>
  <c r="L15" i="22" s="1"/>
  <c r="M11" i="21"/>
  <c r="L14" i="21"/>
  <c r="L14" i="22" s="1"/>
  <c r="K13" i="23"/>
  <c r="K13" i="24"/>
  <c r="K12" i="23"/>
  <c r="K12" i="24"/>
  <c r="K28" i="15" l="1"/>
  <c r="N21" i="15"/>
  <c r="I13" i="25"/>
  <c r="T13" i="15"/>
  <c r="N13" i="15"/>
  <c r="L13" i="24"/>
  <c r="L13" i="23"/>
  <c r="K12" i="25"/>
  <c r="K13" i="25"/>
  <c r="L12" i="23"/>
  <c r="L12" i="24"/>
  <c r="M14" i="21"/>
  <c r="M14" i="22" s="1"/>
  <c r="M15" i="21"/>
  <c r="M15" i="22" s="1"/>
  <c r="N11" i="21"/>
  <c r="L13" i="25" l="1"/>
  <c r="L12" i="25"/>
  <c r="M13" i="23"/>
  <c r="M13" i="24"/>
  <c r="M12" i="24"/>
  <c r="M12" i="23"/>
  <c r="O11" i="21"/>
  <c r="N15" i="21"/>
  <c r="N15" i="22" s="1"/>
  <c r="N14" i="21"/>
  <c r="N14" i="22" s="1"/>
  <c r="M12" i="25" l="1"/>
  <c r="N12" i="23"/>
  <c r="N12" i="24"/>
  <c r="M13" i="25"/>
  <c r="N13" i="23"/>
  <c r="N13" i="24"/>
  <c r="P11" i="21"/>
  <c r="O14" i="21"/>
  <c r="O14" i="22" s="1"/>
  <c r="O15" i="21"/>
  <c r="O15" i="22" s="1"/>
  <c r="N12" i="25" l="1"/>
  <c r="P15" i="21"/>
  <c r="P15" i="22" s="1"/>
  <c r="P14" i="21"/>
  <c r="P14" i="22" s="1"/>
  <c r="Q11" i="21"/>
  <c r="O13" i="23"/>
  <c r="O13" i="24"/>
  <c r="N13" i="25"/>
  <c r="O12" i="23"/>
  <c r="O12" i="24"/>
  <c r="O13" i="25" l="1"/>
  <c r="R11" i="21"/>
  <c r="Q14" i="21"/>
  <c r="Q14" i="22" s="1"/>
  <c r="Q15" i="21"/>
  <c r="Q15" i="22" s="1"/>
  <c r="P12" i="24"/>
  <c r="P12" i="23"/>
  <c r="O12" i="25"/>
  <c r="P13" i="24"/>
  <c r="P13" i="23"/>
  <c r="P13" i="25" l="1"/>
  <c r="P12" i="25"/>
  <c r="Q13" i="23"/>
  <c r="Q13" i="24"/>
  <c r="Q12" i="24"/>
  <c r="Q12" i="23"/>
  <c r="R15" i="21"/>
  <c r="R15" i="22" s="1"/>
  <c r="R14" i="21"/>
  <c r="R14" i="22" s="1"/>
  <c r="S11" i="21"/>
  <c r="Q13" i="25" l="1"/>
  <c r="Q12" i="25"/>
  <c r="S15" i="21"/>
  <c r="S15" i="22" s="1"/>
  <c r="T11" i="21"/>
  <c r="S14" i="21"/>
  <c r="S14" i="22" s="1"/>
  <c r="R12" i="23"/>
  <c r="R12" i="24"/>
  <c r="R13" i="24"/>
  <c r="R13" i="23"/>
  <c r="R12" i="25" l="1"/>
  <c r="R13" i="25"/>
  <c r="S12" i="24"/>
  <c r="S12" i="23"/>
  <c r="T14" i="21"/>
  <c r="T14" i="22" s="1"/>
  <c r="T15" i="21"/>
  <c r="T15" i="22" s="1"/>
  <c r="U11" i="21"/>
  <c r="S13" i="24"/>
  <c r="S13" i="23"/>
  <c r="S12" i="25" l="1"/>
  <c r="S13" i="25"/>
  <c r="T13" i="24"/>
  <c r="T13" i="23"/>
  <c r="T12" i="23"/>
  <c r="T12" i="24"/>
  <c r="V11" i="21"/>
  <c r="U14" i="21"/>
  <c r="U14" i="22" s="1"/>
  <c r="U15" i="21"/>
  <c r="U15" i="22" s="1"/>
  <c r="T12" i="25" l="1"/>
  <c r="U13" i="24"/>
  <c r="U13" i="23"/>
  <c r="U12" i="24"/>
  <c r="U12" i="23"/>
  <c r="T13" i="25"/>
  <c r="V14" i="21"/>
  <c r="V14" i="22" s="1"/>
  <c r="V15" i="21"/>
  <c r="V15" i="22" s="1"/>
  <c r="W11" i="21"/>
  <c r="U13" i="25" l="1"/>
  <c r="W15" i="21"/>
  <c r="W15" i="22" s="1"/>
  <c r="X11" i="21"/>
  <c r="W14" i="21"/>
  <c r="W14" i="22" s="1"/>
  <c r="U12" i="25"/>
  <c r="V12" i="23"/>
  <c r="V12" i="24"/>
  <c r="V13" i="24"/>
  <c r="V13" i="23"/>
  <c r="V13" i="25" l="1"/>
  <c r="V12" i="25"/>
  <c r="W12" i="23"/>
  <c r="W12" i="24"/>
  <c r="X14" i="21"/>
  <c r="X14" i="22" s="1"/>
  <c r="Y11" i="21"/>
  <c r="X15" i="21"/>
  <c r="X15" i="22" s="1"/>
  <c r="W13" i="23"/>
  <c r="W13" i="24"/>
  <c r="W12" i="25" l="1"/>
  <c r="W13" i="25"/>
  <c r="Y14" i="21"/>
  <c r="Y14" i="22" s="1"/>
  <c r="Y15" i="21"/>
  <c r="Y15" i="22" s="1"/>
  <c r="Z11" i="21"/>
  <c r="X12" i="23"/>
  <c r="X12" i="24"/>
  <c r="X13" i="24"/>
  <c r="X13" i="23"/>
  <c r="Y13" i="24" l="1"/>
  <c r="Y13" i="23"/>
  <c r="Y12" i="24"/>
  <c r="Y12" i="23"/>
  <c r="X12" i="25"/>
  <c r="X13" i="25"/>
  <c r="Z15" i="21"/>
  <c r="Z15" i="22" s="1"/>
  <c r="AA11" i="21"/>
  <c r="Z14" i="21"/>
  <c r="Z14" i="22" s="1"/>
  <c r="Y12" i="25" l="1"/>
  <c r="Y13" i="25"/>
  <c r="AA15" i="21"/>
  <c r="AA15" i="22" s="1"/>
  <c r="AA14" i="21"/>
  <c r="AA14" i="22" s="1"/>
  <c r="AB11" i="21"/>
  <c r="Z13" i="23"/>
  <c r="Z13" i="24"/>
  <c r="Z12" i="24"/>
  <c r="Z12" i="23"/>
  <c r="AA12" i="24" l="1"/>
  <c r="AA12" i="23"/>
  <c r="Z13" i="25"/>
  <c r="Z12" i="25"/>
  <c r="AB15" i="21"/>
  <c r="AB15" i="22" s="1"/>
  <c r="AB14" i="21"/>
  <c r="AB14" i="22" s="1"/>
  <c r="AA13" i="24"/>
  <c r="AA13" i="23"/>
  <c r="AA13" i="25" l="1"/>
  <c r="AA12" i="25"/>
  <c r="AB12" i="24"/>
  <c r="AB12" i="23"/>
  <c r="AB13" i="23"/>
  <c r="AB13" i="24"/>
  <c r="AB13" i="25" l="1"/>
  <c r="AC13" i="25" s="1"/>
  <c r="AB12" i="25"/>
  <c r="AC12" i="25" s="1"/>
  <c r="P12" i="26" l="1"/>
  <c r="Q12" i="26"/>
  <c r="AA12" i="26"/>
  <c r="T12" i="26"/>
  <c r="S12" i="26"/>
  <c r="H12" i="26"/>
  <c r="Y12" i="26"/>
  <c r="I12" i="26"/>
  <c r="L12" i="26"/>
  <c r="U12" i="26"/>
  <c r="O12" i="26"/>
  <c r="R12" i="26"/>
  <c r="Z12" i="26"/>
  <c r="W12" i="26"/>
  <c r="V12" i="26"/>
  <c r="AB12" i="26"/>
  <c r="K12" i="26"/>
  <c r="X12" i="26"/>
  <c r="J12" i="26"/>
  <c r="M12" i="26"/>
  <c r="N12" i="26"/>
  <c r="G12" i="26"/>
  <c r="E12" i="26"/>
  <c r="F12" i="26"/>
  <c r="X13" i="26"/>
  <c r="V13" i="26"/>
  <c r="Q13" i="26"/>
  <c r="M13" i="26"/>
  <c r="Z13" i="26"/>
  <c r="U13" i="26"/>
  <c r="K13" i="26"/>
  <c r="P13" i="26"/>
  <c r="N13" i="26"/>
  <c r="E13" i="26"/>
  <c r="R13" i="26"/>
  <c r="G13" i="26"/>
  <c r="AB13" i="26"/>
  <c r="I13" i="26"/>
  <c r="S13" i="26"/>
  <c r="O13" i="26"/>
  <c r="Y13" i="26"/>
  <c r="H13" i="26"/>
  <c r="F13" i="26"/>
  <c r="AA13" i="26"/>
  <c r="W13" i="26"/>
  <c r="L13" i="26"/>
  <c r="J13" i="26"/>
  <c r="T13" i="26"/>
  <c r="AC12" i="26" l="1"/>
  <c r="G13" i="11" s="1"/>
  <c r="H13" i="11" s="1"/>
  <c r="AC13" i="26"/>
  <c r="G14" i="11" s="1"/>
  <c r="I25" i="15" s="1"/>
  <c r="I24" i="15" l="1"/>
  <c r="I13" i="11"/>
  <c r="J24" i="15" s="1"/>
  <c r="H14" i="11"/>
  <c r="I14" i="11" s="1"/>
  <c r="J25" i="15" s="1"/>
  <c r="K25" i="15" s="1"/>
  <c r="N25" i="15" s="1"/>
  <c r="O13" i="15" l="1"/>
  <c r="S13" i="15" s="1"/>
  <c r="K24" i="15"/>
  <c r="N24" i="15" l="1"/>
  <c r="O12" i="15" s="1"/>
  <c r="S12" i="15" s="1"/>
  <c r="K31" i="15"/>
  <c r="O31" i="15" s="1"/>
  <c r="K32" i="15"/>
  <c r="D10" i="18" s="1"/>
  <c r="D13" i="18" s="1"/>
  <c r="D7" i="31" l="1"/>
  <c r="D17" i="18"/>
  <c r="D19" i="18"/>
  <c r="D15" i="18"/>
  <c r="D20" i="18"/>
  <c r="D16" i="18"/>
  <c r="D18" i="18"/>
  <c r="C24" i="32" l="1"/>
  <c r="C13" i="32"/>
  <c r="D10" i="31"/>
  <c r="D12" i="31" s="1"/>
  <c r="D22" i="18"/>
  <c r="D27" i="18" s="1"/>
  <c r="C22" i="32" l="1"/>
  <c r="C17" i="32"/>
  <c r="C18" i="32" s="1"/>
  <c r="D14" i="31"/>
  <c r="D15" i="31"/>
  <c r="D16" i="31"/>
  <c r="D13" i="31"/>
  <c r="D17" i="31"/>
  <c r="B17" i="1"/>
  <c r="AE11" i="26"/>
  <c r="D19" i="31" l="1"/>
  <c r="D21" i="31" l="1"/>
  <c r="D24" i="31" l="1"/>
</calcChain>
</file>

<file path=xl/sharedStrings.xml><?xml version="1.0" encoding="utf-8"?>
<sst xmlns="http://schemas.openxmlformats.org/spreadsheetml/2006/main" count="774" uniqueCount="354">
  <si>
    <t>General Information</t>
  </si>
  <si>
    <t>Applicant</t>
  </si>
  <si>
    <t>Type of Operation</t>
  </si>
  <si>
    <t>Earthmoving</t>
  </si>
  <si>
    <t>Other</t>
  </si>
  <si>
    <t>Unit</t>
  </si>
  <si>
    <t>Item</t>
  </si>
  <si>
    <t>Area</t>
  </si>
  <si>
    <t>Description</t>
  </si>
  <si>
    <t>Material</t>
  </si>
  <si>
    <t>Quantity</t>
  </si>
  <si>
    <t>Cost</t>
  </si>
  <si>
    <t>(ft)</t>
  </si>
  <si>
    <t>($/unit)</t>
  </si>
  <si>
    <t>($)</t>
  </si>
  <si>
    <t>Material Handling Plan Summary Sheet</t>
  </si>
  <si>
    <t>Haul</t>
  </si>
  <si>
    <t>Volume</t>
  </si>
  <si>
    <t>Distance</t>
  </si>
  <si>
    <t>Grade</t>
  </si>
  <si>
    <t>Equipment</t>
  </si>
  <si>
    <t>Earthwork Quantity Worksheet</t>
  </si>
  <si>
    <t>Cover</t>
  </si>
  <si>
    <t>Swell</t>
  </si>
  <si>
    <t>Depth</t>
  </si>
  <si>
    <t>Factor</t>
  </si>
  <si>
    <t>(ac)</t>
  </si>
  <si>
    <t>Productivity and Hours Required for Dozer Use---Earthmoving</t>
  </si>
  <si>
    <t>Description:</t>
  </si>
  <si>
    <t>cy</t>
  </si>
  <si>
    <t>Time</t>
  </si>
  <si>
    <t>Productivity</t>
  </si>
  <si>
    <t>PERFORMANCE FACTORS</t>
  </si>
  <si>
    <t>Productivity and Hours Required for Dozer Use---Grading</t>
  </si>
  <si>
    <t>Productivity and Hours Required for</t>
  </si>
  <si>
    <t xml:space="preserve">          Ripper-Equipped Dozer Use</t>
  </si>
  <si>
    <t>Operating Cost</t>
  </si>
  <si>
    <t>Trucks</t>
  </si>
  <si>
    <t>Loader</t>
  </si>
  <si>
    <t>Productivity and Hours Required for Scraper Use</t>
  </si>
  <si>
    <t>Summary Calculation of Earthmoving Costs</t>
  </si>
  <si>
    <t>Owning and</t>
  </si>
  <si>
    <t>Labor</t>
  </si>
  <si>
    <t>Total</t>
  </si>
  <si>
    <t>Prod.</t>
  </si>
  <si>
    <t>Type</t>
  </si>
  <si>
    <t>Req'd</t>
  </si>
  <si>
    <t>Production</t>
  </si>
  <si>
    <t>($/hr)</t>
  </si>
  <si>
    <t>(hrs)</t>
  </si>
  <si>
    <t>Dozers-Earthmoving</t>
  </si>
  <si>
    <t>Dozers-Grading</t>
  </si>
  <si>
    <t>Revegetation Costs</t>
  </si>
  <si>
    <t>(acres)</t>
  </si>
  <si>
    <t>($/acre)</t>
  </si>
  <si>
    <t>Data Sources:</t>
  </si>
  <si>
    <t>Other Reclamation Activity Costs</t>
  </si>
  <si>
    <t>Activity</t>
  </si>
  <si>
    <t>INDIRECT COSTS</t>
  </si>
  <si>
    <t>Loaders</t>
  </si>
  <si>
    <t>Demolition</t>
  </si>
  <si>
    <t>Existing/Surface/Copper</t>
  </si>
  <si>
    <t>(%)</t>
  </si>
  <si>
    <t>Means</t>
  </si>
  <si>
    <t>Reference</t>
  </si>
  <si>
    <t>Line Item</t>
  </si>
  <si>
    <t>Indirect Percentage Sum =</t>
  </si>
  <si>
    <t>Unit or Disturbance</t>
  </si>
  <si>
    <t>Bank</t>
  </si>
  <si>
    <t>Loose</t>
  </si>
  <si>
    <t>Direct</t>
  </si>
  <si>
    <t>(in)</t>
  </si>
  <si>
    <t>(lcy)</t>
  </si>
  <si>
    <t>(bcy)</t>
  </si>
  <si>
    <t>Productivity and Hours Required for Truck Use</t>
  </si>
  <si>
    <t>No. of</t>
  </si>
  <si>
    <t>(cy/hr)</t>
  </si>
  <si>
    <t>(cy)</t>
  </si>
  <si>
    <t>Capacity</t>
  </si>
  <si>
    <t>Cycle</t>
  </si>
  <si>
    <t>Bucket</t>
  </si>
  <si>
    <t>Net</t>
  </si>
  <si>
    <t>(min)</t>
  </si>
  <si>
    <t>Heaped</t>
  </si>
  <si>
    <t>Fill</t>
  </si>
  <si>
    <t>Rolling</t>
  </si>
  <si>
    <t>Resistance</t>
  </si>
  <si>
    <t>Return</t>
  </si>
  <si>
    <t>Work</t>
  </si>
  <si>
    <t>Hour</t>
  </si>
  <si>
    <t>(min/hr)</t>
  </si>
  <si>
    <t>Task Description</t>
  </si>
  <si>
    <t>Task</t>
  </si>
  <si>
    <t>(hours)</t>
  </si>
  <si>
    <t>Loading</t>
  </si>
  <si>
    <t>Truck</t>
  </si>
  <si>
    <t>Dump/</t>
  </si>
  <si>
    <t>Struck</t>
  </si>
  <si>
    <t>Cycles</t>
  </si>
  <si>
    <t>per Truck</t>
  </si>
  <si>
    <t>(feet)</t>
  </si>
  <si>
    <t>Soil</t>
  </si>
  <si>
    <t>Weight</t>
  </si>
  <si>
    <t>(lb/cy)</t>
  </si>
  <si>
    <t>Blade</t>
  </si>
  <si>
    <t>Method/</t>
  </si>
  <si>
    <t>Normal</t>
  </si>
  <si>
    <t>Operator</t>
  </si>
  <si>
    <t>Visibility</t>
  </si>
  <si>
    <t>Elevation</t>
  </si>
  <si>
    <t>Drive</t>
  </si>
  <si>
    <t>Trans.</t>
  </si>
  <si>
    <t>Effective</t>
  </si>
  <si>
    <t>Width</t>
  </si>
  <si>
    <t>Speed</t>
  </si>
  <si>
    <t>(miles/hr)</t>
  </si>
  <si>
    <t>Location 1</t>
  </si>
  <si>
    <t>Location 2</t>
  </si>
  <si>
    <t>per gallon</t>
  </si>
  <si>
    <t>Truck-Loader Matching</t>
  </si>
  <si>
    <t>Optimum</t>
  </si>
  <si>
    <t>(meters)</t>
  </si>
  <si>
    <t>Segment 1</t>
  </si>
  <si>
    <t>Segment 2</t>
  </si>
  <si>
    <t>Loaded</t>
  </si>
  <si>
    <t>Empty</t>
  </si>
  <si>
    <t>Push</t>
  </si>
  <si>
    <t>Rate</t>
  </si>
  <si>
    <t>NMDOL Type A</t>
  </si>
  <si>
    <t>Bulldozer (mult. Units)</t>
  </si>
  <si>
    <t>Loader (over 10 cy)</t>
  </si>
  <si>
    <t>Motor Grader</t>
  </si>
  <si>
    <t>Labor Description</t>
  </si>
  <si>
    <t>Equipment Operator VI</t>
  </si>
  <si>
    <t>Equipment Operator IV</t>
  </si>
  <si>
    <t>Equipment Description</t>
  </si>
  <si>
    <t>EQUIPMENT</t>
  </si>
  <si>
    <t>LABOR</t>
  </si>
  <si>
    <t>FUEL</t>
  </si>
  <si>
    <t>Operator Group</t>
  </si>
  <si>
    <t>Operator Classification</t>
  </si>
  <si>
    <t>Off-Hwy Water Tanker Truck, 10,000-gal.</t>
  </si>
  <si>
    <t>Own/Op</t>
  </si>
  <si>
    <t>Minimum</t>
  </si>
  <si>
    <t>Nominal</t>
  </si>
  <si>
    <t>Maneuver</t>
  </si>
  <si>
    <t>State Procurement Cost</t>
  </si>
  <si>
    <t>Subtotal, Direct Costs</t>
  </si>
  <si>
    <t>Subtotal, Indirect Costs</t>
  </si>
  <si>
    <t>GROSS RECEIPTS TAX</t>
  </si>
  <si>
    <t>Grant County (unincorporated areas)</t>
  </si>
  <si>
    <t>(applied to sum of indirect and direct costs)</t>
  </si>
  <si>
    <t>Maximum</t>
  </si>
  <si>
    <t>Segment 3</t>
  </si>
  <si>
    <t xml:space="preserve">     and discounting</t>
  </si>
  <si>
    <t>Current value before escalation</t>
  </si>
  <si>
    <t>-</t>
  </si>
  <si>
    <t>Trucks Productivity (cy/hr)</t>
  </si>
  <si>
    <t>Productivity (cy/hr) =</t>
  </si>
  <si>
    <t>work hour (min/hr) x loader cycles per truck x net bucket capacity (cy) x no. of trucks / truck cycle time (min)</t>
  </si>
  <si>
    <t>Example:</t>
  </si>
  <si>
    <t>50 min/hr x 6 buckets x 11.9 cy/bucket x 8 trucks / 50 min = 571 cy/hr</t>
  </si>
  <si>
    <t>No. of Trucks</t>
  </si>
  <si>
    <t>Truck Time (hours)</t>
  </si>
  <si>
    <t>Truck Time (hr) =</t>
  </si>
  <si>
    <t>If vol./prod. (cy/cy per hr)&lt;loader task time (hr), then use loader task time (hr); if not, use vol./ prod. (cy/cy per hr)</t>
  </si>
  <si>
    <t>1,000,000 cy / 571 cy/hr = 1,751 hr &lt; 2,000 hr =====&gt; 2,000 hr</t>
  </si>
  <si>
    <t>Truck Cost</t>
  </si>
  <si>
    <t>Truck Cost ($) =</t>
  </si>
  <si>
    <t>Truck time (hr) x [owning/operating cost ($/hr) + labor cost ($/hr)] x no. of trucks</t>
  </si>
  <si>
    <t>5,000 hr x ($187.01/hr + $20.00/hr) x 8 trucks = $8,280,400</t>
  </si>
  <si>
    <t>Loader Cost</t>
  </si>
  <si>
    <t>Loader Cost ($) =</t>
  </si>
  <si>
    <t>Loader time (hr) x [owning/operating cost ($/hr) + labor cost ($/hr)]</t>
  </si>
  <si>
    <t>5,000 hr x ($206.13/hr + $20.00/hr) = $1,130,650</t>
  </si>
  <si>
    <t>Trucks &amp; Loader Total Cost</t>
  </si>
  <si>
    <t>Total Cost ($) =</t>
  </si>
  <si>
    <t>Truck Cost ($) + Loader Cost ($)</t>
  </si>
  <si>
    <t>$8,280,400 + $1,130,650 = $9,411,050</t>
  </si>
  <si>
    <t>Trucks Optimum</t>
  </si>
  <si>
    <t>Optimum =</t>
  </si>
  <si>
    <t>If minimum total cost &gt;or = total cost for this no. of trucks, then enter this no. of trucks; if not, enter zero</t>
  </si>
  <si>
    <t>$4,478,191 &lt; $6,060,707 =====&gt; enter zero</t>
  </si>
  <si>
    <t>SLOPE MODIFICATION</t>
  </si>
  <si>
    <t>Dozer</t>
  </si>
  <si>
    <t>(BCY)</t>
  </si>
  <si>
    <t>Disturbed Surface Area (acres)</t>
  </si>
  <si>
    <t>Demo cost are addressed elsewhere.</t>
  </si>
  <si>
    <t>Revegetation</t>
    <phoneticPr fontId="0" type="noConversion"/>
  </si>
  <si>
    <t>Oil Broker Quote</t>
    <phoneticPr fontId="0" type="noConversion"/>
  </si>
  <si>
    <t>(w/out fuel)</t>
  </si>
  <si>
    <t>Fuel</t>
  </si>
  <si>
    <t>(gal/hr)</t>
  </si>
  <si>
    <t>Travel Time</t>
  </si>
  <si>
    <t>(min/m)</t>
  </si>
  <si>
    <t xml:space="preserve">Travel Time </t>
  </si>
  <si>
    <t>Loader Dump Clearance, Cat 992G - 15'3"</t>
  </si>
  <si>
    <t>Productivity for Front End Loader</t>
  </si>
  <si>
    <t>Productivity and Hours Required for Hydraulic Excavator</t>
  </si>
  <si>
    <t>Total Haul/Push Distance</t>
  </si>
  <si>
    <t>Regrade Outslopes</t>
  </si>
  <si>
    <t>Regrade Top</t>
  </si>
  <si>
    <t>ft</t>
  </si>
  <si>
    <t>Outslopes</t>
  </si>
  <si>
    <t>Top</t>
  </si>
  <si>
    <t>Load/</t>
  </si>
  <si>
    <t>N/A</t>
  </si>
  <si>
    <t>Revegetation</t>
  </si>
  <si>
    <t>see dozer</t>
  </si>
  <si>
    <t>G1030 150 6600</t>
  </si>
  <si>
    <t>This page intentionally left blank.</t>
  </si>
  <si>
    <t>Load cover soil</t>
  </si>
  <si>
    <t>Haul cover soil</t>
  </si>
  <si>
    <t>Grade cover soil</t>
  </si>
  <si>
    <t xml:space="preserve"> (acres/hr)</t>
  </si>
  <si>
    <t xml:space="preserve">Note: Ripping Currently Included in Revegetation Costs  </t>
  </si>
  <si>
    <t>Facility Characteristics</t>
  </si>
  <si>
    <t>Facility</t>
  </si>
  <si>
    <t>Reclaimed Acres</t>
  </si>
  <si>
    <t>Capital Cost</t>
  </si>
  <si>
    <t>Seed &amp; Mulch</t>
  </si>
  <si>
    <t>Capital Cost Totals</t>
  </si>
  <si>
    <t>Capital Cost/Acre</t>
  </si>
  <si>
    <t xml:space="preserve">3. Labor rates based on NM Department of Labor Type H (Heavy Engineering) labor rates.  See attachments for rate development. </t>
  </si>
  <si>
    <t>TOTAL COST</t>
  </si>
  <si>
    <t>Reclamation Summary</t>
  </si>
  <si>
    <t>Rated</t>
  </si>
  <si>
    <t>Consumption</t>
  </si>
  <si>
    <t xml:space="preserve">                                                                                                                                                                                                                                                                                                                                                                                                                                                                                                                                                                                                                                                                                                                                                                                                                                                                                                                                                                                                                                                                                                                                                                                                                                                                                                                                                                                                                                                                                                                                                                                                                                                                                                                                                                                  </t>
  </si>
  <si>
    <t>Fleet</t>
  </si>
  <si>
    <t>Unit Cost</t>
  </si>
  <si>
    <t>Capital Cost/Acre Cover</t>
  </si>
  <si>
    <t>Capital Cost/Acre Earthwork Total</t>
  </si>
  <si>
    <t>Capital Cost/Acre Reveg</t>
  </si>
  <si>
    <t>Capital Cost/Acre Other</t>
  </si>
  <si>
    <t>Stockpiles Area</t>
  </si>
  <si>
    <t xml:space="preserve">Number of </t>
  </si>
  <si>
    <t>Units</t>
  </si>
  <si>
    <t>(Equipment)</t>
  </si>
  <si>
    <t xml:space="preserve">Total </t>
  </si>
  <si>
    <t>DIRECT COSTS</t>
  </si>
  <si>
    <t>Q/A Check -&gt;</t>
  </si>
  <si>
    <t>($/ton)</t>
  </si>
  <si>
    <t>(ton/hr)</t>
  </si>
  <si>
    <t>Capital Cost/Acre Top/Outslope Adjustment</t>
  </si>
  <si>
    <t>Magnetite Tailings</t>
  </si>
  <si>
    <t>Cobre</t>
  </si>
  <si>
    <t xml:space="preserve">Riprap </t>
  </si>
  <si>
    <t>Gravel</t>
  </si>
  <si>
    <t>Truck Loading Height (empty), Cat 777F - 14'7"</t>
  </si>
  <si>
    <t>Outslope Regrade-&gt;</t>
  </si>
  <si>
    <t>Top Regrade -&gt;</t>
  </si>
  <si>
    <t>Page</t>
  </si>
  <si>
    <t>Cat 16M Motor Grader</t>
  </si>
  <si>
    <t>Cat 777F Truck</t>
  </si>
  <si>
    <t>Cobre Mining Company</t>
  </si>
  <si>
    <t>Hanover, New Mexico 88041</t>
  </si>
  <si>
    <t>Dozer Assist</t>
  </si>
  <si>
    <t>777F</t>
  </si>
  <si>
    <t>sse trucks</t>
  </si>
  <si>
    <t>Cover -&gt;</t>
  </si>
  <si>
    <t>Fuel-Adjusted</t>
  </si>
  <si>
    <t>Productivity and Hours Required for Motor grader Use---Grading</t>
  </si>
  <si>
    <t>Facility and Structure Removal</t>
  </si>
  <si>
    <t>Current Value</t>
  </si>
  <si>
    <t>Bank/stockpile</t>
  </si>
  <si>
    <t>Loose/stockpile</t>
  </si>
  <si>
    <t>Mobilization and Demobilization</t>
  </si>
  <si>
    <t xml:space="preserve">Contingencies </t>
  </si>
  <si>
    <t xml:space="preserve">Engineering Redesign Fee </t>
  </si>
  <si>
    <t xml:space="preserve">Contractor Profit and Overhead </t>
  </si>
  <si>
    <t>Project Management Fee</t>
  </si>
  <si>
    <t xml:space="preserve">MMD.  1996.  Closeout Plan Guidelines for Existing Mines, Mining Act Reclamation Bureau Mining and Minerals Division </t>
  </si>
  <si>
    <t xml:space="preserve">                     New Mexico Energy, Minerals and Natural Resources Department.  April 30, 1996.</t>
  </si>
  <si>
    <t xml:space="preserve">OSM.  2000.  U.S. Department of the Interior, Office of Surface Mining Reclamation and Enforcement </t>
  </si>
  <si>
    <t xml:space="preserve">                     Handbook for Calculation of Reclamation Bond Amounts.  April 5, 2000.</t>
  </si>
  <si>
    <t>Notes:</t>
  </si>
  <si>
    <t>1)</t>
  </si>
  <si>
    <t>Indirect costs are based on the guidance available from MMD (1996) and OSM (2000).</t>
  </si>
  <si>
    <r>
      <t>INDIRECT COSTS</t>
    </r>
    <r>
      <rPr>
        <b/>
        <vertAlign val="superscript"/>
        <sz val="10"/>
        <rFont val="Arial"/>
        <family val="2"/>
      </rPr>
      <t>1</t>
    </r>
  </si>
  <si>
    <t>Magnetite Tailings Worksheet #1</t>
  </si>
  <si>
    <t>Magnetite Tailings Worksheet #2</t>
  </si>
  <si>
    <t>Magnetite Tailings Worksheet #3</t>
  </si>
  <si>
    <t>Magnetite Tailings Worksheet #7</t>
  </si>
  <si>
    <t>Magnetite Tailings Worksheet #4</t>
  </si>
  <si>
    <t>Magnetite Tailings Worksheet #5</t>
  </si>
  <si>
    <t>Magnetite Tailings Worksheet #6</t>
  </si>
  <si>
    <t>Magnetite Tailings Worksheet #8</t>
  </si>
  <si>
    <t>Magnetite Tailings Worksheet #9</t>
  </si>
  <si>
    <t>Magnetite Tailings Worksheet #10</t>
  </si>
  <si>
    <t>Magnetite Tailings Worksheet #11</t>
  </si>
  <si>
    <t>Magnetite Tailings Worksheet #12</t>
  </si>
  <si>
    <t>Magnetite Tailings Worksheet #13</t>
  </si>
  <si>
    <t>Magnetite Tailings Worksheet #14</t>
  </si>
  <si>
    <t>Magnetite Tailings Worksheet #15</t>
  </si>
  <si>
    <t>Magnetite Tailings Worksheet #16</t>
  </si>
  <si>
    <t>Magnetite Tailings Worksheet #17</t>
  </si>
  <si>
    <t>Magnetite Tailings Worksheet #18</t>
  </si>
  <si>
    <r>
      <t>Other</t>
    </r>
    <r>
      <rPr>
        <vertAlign val="superscript"/>
        <sz val="10"/>
        <rFont val="Arial"/>
        <family val="2"/>
      </rPr>
      <t>1</t>
    </r>
  </si>
  <si>
    <t>Contingencies</t>
  </si>
  <si>
    <t xml:space="preserve">Project Management Fee </t>
  </si>
  <si>
    <t>Magnetite Tailings Worksheet #9a</t>
  </si>
  <si>
    <t>Magnetite Tailings Worksheet #4a</t>
  </si>
  <si>
    <t>Magnetite Tailings Worksheet #9b</t>
  </si>
  <si>
    <t>Magnetite Tailings Worksheet #9c</t>
  </si>
  <si>
    <t>Magnetite Tailings Worksheet #9d</t>
  </si>
  <si>
    <t>Magnetite Tailings Worksheet #9e</t>
  </si>
  <si>
    <t>Magnetite Tailings Worksheet #9f</t>
  </si>
  <si>
    <t>Earthwork Direct Cost</t>
  </si>
  <si>
    <t>Revegetation Direct Cost</t>
  </si>
  <si>
    <t>D11R CD</t>
  </si>
  <si>
    <t>992K</t>
  </si>
  <si>
    <t>References</t>
  </si>
  <si>
    <t xml:space="preserve">1.  Equipment unit rates from EquipmentWatch Custom Cost Evaluator Version 6.15.0B (http://www.equipmentwatch.com). See attachments for rate development. </t>
  </si>
  <si>
    <t>2. Western Refining Quote, Lordsburg NM (June 18, 2014).</t>
  </si>
  <si>
    <t>Truck Driver III</t>
  </si>
  <si>
    <t xml:space="preserve">Haul Truck </t>
  </si>
  <si>
    <t>Cat 992K Loader</t>
  </si>
  <si>
    <t>Cat D11T CD Bulldozer</t>
  </si>
  <si>
    <t>Water Truck and Grader</t>
  </si>
  <si>
    <t>Off-Hwy Water Tanker Truck</t>
  </si>
  <si>
    <t>10,000 gal</t>
  </si>
  <si>
    <t>16M</t>
  </si>
  <si>
    <t>Downdrain Length</t>
  </si>
  <si>
    <t>Downdrain Gravel, Haul</t>
  </si>
  <si>
    <t>Downdrain Gravel, Backfill</t>
  </si>
  <si>
    <t>Downdrain Riprap, Haul</t>
  </si>
  <si>
    <t>Downdrain Riprap, Backfill</t>
  </si>
  <si>
    <t>Load &amp; Haul rock, 3-cy loader, 7 20-cy trailers, 4-mile RT</t>
  </si>
  <si>
    <t>312323.14-5200</t>
  </si>
  <si>
    <t xml:space="preserve">Gravel Backfill, 300 hp, 150' haul sand and gravel </t>
  </si>
  <si>
    <t>RS Means Heavy Construction Cost Data (28st Annual Edition 2014)</t>
  </si>
  <si>
    <t>New Mexico Las Cruces</t>
  </si>
  <si>
    <t xml:space="preserve">Excavate and waste 7.6 cy/lf material on slopes with D11T CD, 175-foot downslope excavation, 200-foot lateral waste push.  Finish grade with D6T XL SU 3 passes 1 mph.  </t>
  </si>
  <si>
    <t>321123.23-0301</t>
  </si>
  <si>
    <t>Base Course Drainage Layers, Crushed 1 1/2 ", Compacted to 4" deep</t>
  </si>
  <si>
    <t>Based on Projected EOY 2019 Mine Plan</t>
  </si>
  <si>
    <t>See Appendix B.2.8 for Channel, Bench, and Downdrain unit rate development.</t>
  </si>
  <si>
    <t>Appendix B.2.8</t>
  </si>
  <si>
    <t>Other Direct Cost:</t>
  </si>
  <si>
    <t>TOTAL  COST PER FACILITY</t>
  </si>
  <si>
    <r>
      <t>Other</t>
    </r>
    <r>
      <rPr>
        <b/>
        <vertAlign val="superscript"/>
        <sz val="10"/>
        <rFont val="Arial"/>
        <family val="2"/>
      </rPr>
      <t>1</t>
    </r>
  </si>
  <si>
    <t>North OB Stockpile, OB-5 Stockpile</t>
  </si>
  <si>
    <t>Fowler Brothers Riprap Verbal Quote February 2009 $29.16/cy inflated to 2014 dollars</t>
  </si>
  <si>
    <t>Area*</t>
  </si>
  <si>
    <t>Cost**</t>
  </si>
  <si>
    <t>*Borrow Area reclamation included in Cobre_Stockpiles_Tails_Other_2014.xlsx</t>
  </si>
  <si>
    <t>Plow; apply fertilizer, seed mix,  mulch, and crimp mulch</t>
  </si>
  <si>
    <t>Regrade</t>
  </si>
  <si>
    <t>Cover Material (Load, haul, spread)</t>
  </si>
  <si>
    <t>*Cover material is assumed to be obtained for each facility based on the 2014 mine expansion plan, the volume of available cover material, and proximity to the facility being covered.  These haul routes are subject to change based on those factors.</t>
  </si>
  <si>
    <t>Magnetite Tailings Reclamation</t>
  </si>
  <si>
    <r>
      <rPr>
        <vertAlign val="superscript"/>
        <sz val="10"/>
        <rFont val="Arial"/>
        <family val="2"/>
      </rPr>
      <t>1</t>
    </r>
    <r>
      <rPr>
        <sz val="10"/>
        <rFont val="Arial"/>
        <family val="2"/>
      </rPr>
      <t>Other includes channels and downdrains</t>
    </r>
  </si>
  <si>
    <r>
      <rPr>
        <vertAlign val="superscript"/>
        <sz val="10"/>
        <rFont val="Arial"/>
        <family val="2"/>
      </rPr>
      <t>1</t>
    </r>
    <r>
      <rPr>
        <sz val="10"/>
        <rFont val="Arial"/>
        <family val="2"/>
      </rPr>
      <t>Other includes: channels and downdrains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</si>
</sst>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7" formatCode="&quot;$&quot;#,##0.00_);\(&quot;$&quot;#,##0.00\)"/>
    <numFmt numFmtId="41" formatCode="_(* #,##0_);_(* \(#,##0\);_(* &quot;-&quot;_);_(@_)"/>
    <numFmt numFmtId="44" formatCode="_(&quot;$&quot;* #,##0.00_);_(&quot;$&quot;* \(#,##0.00\);_(&quot;$&quot;* &quot;-&quot;??_);_(@_)"/>
    <numFmt numFmtId="164" formatCode="mm/dd/yy_)"/>
    <numFmt numFmtId="165" formatCode="0.0%"/>
    <numFmt numFmtId="166" formatCode="0.00_)"/>
    <numFmt numFmtId="167" formatCode="#,##0.0_);\(#,##0.0\)"/>
    <numFmt numFmtId="168" formatCode="0.0"/>
    <numFmt numFmtId="169" formatCode="&quot;$&quot;#,##0"/>
    <numFmt numFmtId="170" formatCode="&quot;$&quot;#,##0.00"/>
    <numFmt numFmtId="171" formatCode="#,##0.0"/>
    <numFmt numFmtId="172" formatCode="0.000"/>
    <numFmt numFmtId="173" formatCode="0.0000%"/>
    <numFmt numFmtId="174" formatCode="&quot;$&quot;#,##0.0000"/>
    <numFmt numFmtId="175" formatCode="0.00000"/>
    <numFmt numFmtId="176" formatCode="0_ "/>
    <numFmt numFmtId="177" formatCode="0\+00"/>
    <numFmt numFmtId="178" formatCode="0.000000"/>
    <numFmt numFmtId="179" formatCode="0_)"/>
  </numFmts>
  <fonts count="30" x14ac:knownFonts="1">
    <font>
      <sz val="12"/>
      <name val="Arial"/>
      <family val="2"/>
    </font>
    <font>
      <sz val="10"/>
      <name val="Arial"/>
      <family val="2"/>
    </font>
    <font>
      <sz val="10"/>
      <name val="Arial"/>
      <family val="2"/>
    </font>
    <font>
      <b/>
      <i/>
      <sz val="12"/>
      <name val="Arial"/>
      <family val="2"/>
    </font>
    <font>
      <sz val="12"/>
      <name val="Arial"/>
      <family val="2"/>
    </font>
    <font>
      <b/>
      <sz val="12"/>
      <name val="Arial"/>
      <family val="2"/>
    </font>
    <font>
      <i/>
      <sz val="12"/>
      <name val="Arial"/>
      <family val="2"/>
    </font>
    <font>
      <sz val="10"/>
      <name val="Arial"/>
      <family val="2"/>
    </font>
    <font>
      <b/>
      <sz val="10"/>
      <name val="Arial"/>
      <family val="2"/>
    </font>
    <font>
      <b/>
      <i/>
      <sz val="14"/>
      <name val="Arial"/>
      <family val="2"/>
    </font>
    <font>
      <u/>
      <sz val="12"/>
      <name val="Arial"/>
      <family val="2"/>
    </font>
    <font>
      <b/>
      <sz val="14"/>
      <name val="Arial"/>
      <family val="2"/>
    </font>
    <font>
      <vertAlign val="superscript"/>
      <sz val="10"/>
      <name val="Arial"/>
      <family val="2"/>
    </font>
    <font>
      <sz val="12"/>
      <color indexed="10"/>
      <name val="Arial"/>
      <family val="2"/>
    </font>
    <font>
      <sz val="8"/>
      <name val="Arial"/>
      <family val="2"/>
    </font>
    <font>
      <i/>
      <sz val="8"/>
      <name val="Arial"/>
      <family val="2"/>
    </font>
    <font>
      <b/>
      <i/>
      <sz val="10"/>
      <name val="Arial"/>
      <family val="2"/>
    </font>
    <font>
      <sz val="8"/>
      <name val="Arial"/>
      <family val="2"/>
    </font>
    <font>
      <sz val="10"/>
      <color indexed="10"/>
      <name val="Arial"/>
      <family val="2"/>
    </font>
    <font>
      <sz val="12"/>
      <name val="Arial"/>
      <family val="2"/>
    </font>
    <font>
      <b/>
      <sz val="20"/>
      <color indexed="10"/>
      <name val="Arial"/>
      <family val="2"/>
    </font>
    <font>
      <sz val="12"/>
      <name val="Times New Roman"/>
      <family val="1"/>
    </font>
    <font>
      <sz val="12"/>
      <color indexed="10"/>
      <name val="Times New Roman"/>
      <family val="1"/>
    </font>
    <font>
      <sz val="9"/>
      <name val="Times New Roman"/>
      <family val="1"/>
    </font>
    <font>
      <b/>
      <u/>
      <sz val="10"/>
      <name val="Arial"/>
      <family val="2"/>
    </font>
    <font>
      <b/>
      <sz val="11"/>
      <name val="Arial"/>
      <family val="2"/>
    </font>
    <font>
      <b/>
      <vertAlign val="superscript"/>
      <sz val="10"/>
      <name val="Arial"/>
      <family val="2"/>
    </font>
    <font>
      <b/>
      <sz val="12"/>
      <color rgb="FF000000"/>
      <name val="Arial"/>
      <family val="2"/>
    </font>
    <font>
      <b/>
      <sz val="20"/>
      <name val="Arial"/>
      <family val="2"/>
    </font>
    <font>
      <b/>
      <sz val="16"/>
      <name val="Times New Roman"/>
      <family val="1"/>
    </font>
  </fonts>
  <fills count="2">
    <fill>
      <patternFill patternType="none"/>
    </fill>
    <fill>
      <patternFill patternType="gray125"/>
    </fill>
  </fills>
  <borders count="13">
    <border>
      <left/>
      <right/>
      <top/>
      <bottom/>
      <diagonal/>
    </border>
    <border>
      <left style="thin">
        <color indexed="8"/>
      </left>
      <right/>
      <top style="thin">
        <color indexed="8"/>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8"/>
      </left>
      <right/>
      <top/>
      <bottom style="thin">
        <color indexed="8"/>
      </bottom>
      <diagonal/>
    </border>
    <border>
      <left/>
      <right style="thick">
        <color indexed="8"/>
      </right>
      <top/>
      <bottom style="thin">
        <color indexed="8"/>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style="thin">
        <color indexed="8"/>
      </top>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s>
  <cellStyleXfs count="9">
    <xf numFmtId="0" fontId="0" fillId="0" borderId="0" applyProtection="0"/>
    <xf numFmtId="41" fontId="2" fillId="0" borderId="0" applyFont="0" applyFill="0" applyBorder="0" applyAlignment="0" applyProtection="0"/>
    <xf numFmtId="44" fontId="2" fillId="0" borderId="0" applyFont="0" applyFill="0" applyBorder="0" applyAlignment="0" applyProtection="0"/>
    <xf numFmtId="0" fontId="4" fillId="0" borderId="0"/>
    <xf numFmtId="0" fontId="1" fillId="0" borderId="0"/>
    <xf numFmtId="0" fontId="1" fillId="0" borderId="0"/>
    <xf numFmtId="9" fontId="2" fillId="0" borderId="0" applyFont="0" applyFill="0" applyBorder="0" applyAlignment="0" applyProtection="0"/>
    <xf numFmtId="0" fontId="7" fillId="0" borderId="0"/>
    <xf numFmtId="0" fontId="4" fillId="0" borderId="0" applyProtection="0"/>
  </cellStyleXfs>
  <cellXfs count="399">
    <xf numFmtId="0" fontId="0" fillId="0" borderId="0" xfId="0"/>
    <xf numFmtId="0" fontId="0" fillId="0" borderId="0" xfId="0" applyFill="1" applyBorder="1" applyAlignment="1">
      <alignment horizontal="left"/>
    </xf>
    <xf numFmtId="0" fontId="8" fillId="0" borderId="0" xfId="0" applyFont="1" applyFill="1" applyBorder="1"/>
    <xf numFmtId="0" fontId="7" fillId="0" borderId="0" xfId="0" applyFont="1" applyFill="1" applyBorder="1"/>
    <xf numFmtId="5" fontId="7" fillId="0" borderId="0" xfId="0" applyNumberFormat="1" applyFont="1" applyFill="1" applyBorder="1" applyAlignment="1" applyProtection="1">
      <alignment horizontal="right"/>
    </xf>
    <xf numFmtId="5" fontId="7" fillId="0" borderId="0" xfId="0" applyNumberFormat="1" applyFont="1" applyFill="1" applyBorder="1" applyProtection="1"/>
    <xf numFmtId="0" fontId="8" fillId="0" borderId="0" xfId="0" applyFont="1" applyFill="1" applyBorder="1" applyAlignment="1">
      <alignment horizontal="right"/>
    </xf>
    <xf numFmtId="37" fontId="7" fillId="0" borderId="0" xfId="0" applyNumberFormat="1" applyFont="1" applyFill="1" applyBorder="1" applyProtection="1"/>
    <xf numFmtId="10" fontId="7" fillId="0" borderId="0" xfId="0" applyNumberFormat="1" applyFont="1" applyFill="1" applyBorder="1" applyProtection="1"/>
    <xf numFmtId="165" fontId="7" fillId="0" borderId="0" xfId="0" applyNumberFormat="1" applyFont="1" applyFill="1" applyBorder="1" applyProtection="1"/>
    <xf numFmtId="0" fontId="0" fillId="0" borderId="0" xfId="0" applyFill="1" applyBorder="1"/>
    <xf numFmtId="0" fontId="7" fillId="0" borderId="0" xfId="0" applyFont="1" applyFill="1" applyBorder="1" applyAlignment="1">
      <alignment horizontal="right"/>
    </xf>
    <xf numFmtId="165" fontId="7" fillId="0" borderId="0" xfId="0" applyNumberFormat="1" applyFont="1" applyFill="1" applyBorder="1"/>
    <xf numFmtId="5" fontId="8" fillId="0" borderId="0" xfId="0" applyNumberFormat="1" applyFont="1" applyFill="1" applyBorder="1" applyProtection="1"/>
    <xf numFmtId="173" fontId="7" fillId="0" borderId="0" xfId="0" applyNumberFormat="1" applyFont="1" applyFill="1" applyBorder="1" applyProtection="1"/>
    <xf numFmtId="0" fontId="3" fillId="0" borderId="0" xfId="0" applyFont="1" applyFill="1" applyBorder="1" applyProtection="1"/>
    <xf numFmtId="0" fontId="0" fillId="0" borderId="0" xfId="0" applyFill="1" applyBorder="1" applyProtection="1"/>
    <xf numFmtId="2" fontId="0" fillId="0" borderId="0" xfId="0" applyNumberFormat="1" applyFill="1" applyBorder="1" applyProtection="1"/>
    <xf numFmtId="2" fontId="0" fillId="0" borderId="0" xfId="0" applyNumberFormat="1" applyFill="1" applyBorder="1"/>
    <xf numFmtId="0" fontId="0" fillId="0" borderId="0" xfId="0" applyFill="1" applyBorder="1" applyAlignment="1" applyProtection="1">
      <alignment horizontal="right"/>
    </xf>
    <xf numFmtId="37" fontId="4" fillId="0" borderId="0" xfId="0" applyNumberFormat="1" applyFont="1" applyFill="1" applyBorder="1" applyProtection="1"/>
    <xf numFmtId="168" fontId="0" fillId="0" borderId="0" xfId="0" applyNumberFormat="1" applyFill="1" applyBorder="1" applyProtection="1"/>
    <xf numFmtId="3" fontId="4" fillId="0" borderId="0" xfId="0" applyNumberFormat="1" applyFont="1" applyFill="1" applyBorder="1" applyProtection="1"/>
    <xf numFmtId="3" fontId="0" fillId="0" borderId="0" xfId="0" applyNumberFormat="1" applyFill="1" applyBorder="1" applyProtection="1"/>
    <xf numFmtId="1" fontId="0" fillId="0" borderId="0" xfId="0" applyNumberFormat="1" applyFill="1" applyBorder="1" applyProtection="1"/>
    <xf numFmtId="0" fontId="0" fillId="0" borderId="1" xfId="0" applyFill="1" applyBorder="1" applyProtection="1"/>
    <xf numFmtId="0" fontId="0" fillId="0" borderId="2" xfId="0" applyFill="1" applyBorder="1" applyProtection="1"/>
    <xf numFmtId="0" fontId="5" fillId="0" borderId="2" xfId="0" applyFont="1" applyFill="1" applyBorder="1" applyProtection="1"/>
    <xf numFmtId="0" fontId="5" fillId="0" borderId="0" xfId="0" applyFont="1" applyFill="1" applyBorder="1" applyProtection="1"/>
    <xf numFmtId="5" fontId="5" fillId="0" borderId="0" xfId="0" applyNumberFormat="1" applyFont="1" applyFill="1" applyBorder="1" applyProtection="1"/>
    <xf numFmtId="0" fontId="0" fillId="0" borderId="0" xfId="0" applyFill="1" applyBorder="1" applyAlignment="1">
      <alignment horizontal="right"/>
    </xf>
    <xf numFmtId="0" fontId="5" fillId="0" borderId="0" xfId="0" applyFont="1" applyFill="1" applyBorder="1"/>
    <xf numFmtId="2" fontId="0" fillId="0" borderId="0" xfId="0" applyNumberFormat="1" applyFill="1" applyBorder="1" applyAlignment="1">
      <alignment horizontal="right"/>
    </xf>
    <xf numFmtId="0" fontId="9" fillId="0" borderId="0" xfId="0" applyFont="1" applyFill="1" applyBorder="1"/>
    <xf numFmtId="3" fontId="0" fillId="0" borderId="0" xfId="0" applyNumberFormat="1" applyFill="1" applyBorder="1"/>
    <xf numFmtId="0" fontId="0" fillId="0" borderId="0" xfId="0" applyFill="1"/>
    <xf numFmtId="0" fontId="0" fillId="0" borderId="0" xfId="0" applyFill="1" applyBorder="1" applyAlignment="1" applyProtection="1">
      <alignment horizontal="center"/>
    </xf>
    <xf numFmtId="5" fontId="11" fillId="0" borderId="0" xfId="0" applyNumberFormat="1" applyFont="1" applyFill="1" applyBorder="1" applyProtection="1"/>
    <xf numFmtId="166" fontId="0" fillId="0" borderId="0" xfId="0" applyNumberFormat="1" applyFill="1" applyBorder="1" applyProtection="1"/>
    <xf numFmtId="167" fontId="0" fillId="0" borderId="0" xfId="0" applyNumberFormat="1" applyFill="1" applyBorder="1" applyProtection="1"/>
    <xf numFmtId="37" fontId="0" fillId="0" borderId="0" xfId="0" applyNumberFormat="1" applyFill="1" applyBorder="1" applyProtection="1"/>
    <xf numFmtId="166" fontId="0" fillId="0" borderId="0" xfId="0" applyNumberFormat="1" applyFill="1" applyBorder="1" applyAlignment="1" applyProtection="1">
      <alignment horizontal="right"/>
    </xf>
    <xf numFmtId="0" fontId="4" fillId="0" borderId="0" xfId="0" applyFont="1" applyFill="1" applyBorder="1"/>
    <xf numFmtId="171" fontId="0" fillId="0" borderId="0" xfId="0" applyNumberFormat="1" applyFill="1" applyBorder="1"/>
    <xf numFmtId="3" fontId="4" fillId="0" borderId="0" xfId="0" applyNumberFormat="1" applyFont="1" applyFill="1" applyBorder="1"/>
    <xf numFmtId="165" fontId="0" fillId="0" borderId="0" xfId="0" applyNumberFormat="1" applyFill="1" applyBorder="1" applyProtection="1"/>
    <xf numFmtId="0" fontId="10" fillId="0" borderId="0" xfId="0" applyFont="1" applyFill="1" applyBorder="1" applyProtection="1"/>
    <xf numFmtId="2" fontId="4" fillId="0" borderId="0" xfId="0" applyNumberFormat="1" applyFont="1" applyFill="1" applyBorder="1" applyProtection="1"/>
    <xf numFmtId="0" fontId="4" fillId="0" borderId="0" xfId="0" applyFont="1" applyFill="1" applyBorder="1" applyProtection="1"/>
    <xf numFmtId="5" fontId="0" fillId="0" borderId="0" xfId="0" applyNumberFormat="1" applyFill="1" applyBorder="1" applyProtection="1"/>
    <xf numFmtId="3" fontId="5" fillId="0" borderId="0" xfId="0" applyNumberFormat="1" applyFont="1" applyFill="1" applyBorder="1"/>
    <xf numFmtId="0" fontId="4" fillId="0" borderId="0" xfId="0" applyFont="1" applyFill="1" applyBorder="1" applyAlignment="1">
      <alignment horizontal="right"/>
    </xf>
    <xf numFmtId="5" fontId="8" fillId="0" borderId="0" xfId="0" applyNumberFormat="1" applyFont="1" applyFill="1" applyBorder="1"/>
    <xf numFmtId="167" fontId="4" fillId="0" borderId="0" xfId="0" applyNumberFormat="1" applyFont="1" applyFill="1" applyBorder="1" applyProtection="1"/>
    <xf numFmtId="0" fontId="4" fillId="0" borderId="0" xfId="0" applyFont="1" applyFill="1"/>
    <xf numFmtId="0" fontId="0" fillId="0" borderId="0" xfId="0" applyFill="1" applyBorder="1" applyAlignment="1" applyProtection="1">
      <alignment horizontal="left"/>
    </xf>
    <xf numFmtId="169" fontId="7" fillId="0" borderId="0" xfId="0" applyNumberFormat="1" applyFont="1" applyFill="1" applyBorder="1"/>
    <xf numFmtId="5" fontId="7" fillId="0" borderId="0" xfId="0" applyNumberFormat="1" applyFont="1" applyFill="1" applyBorder="1"/>
    <xf numFmtId="0" fontId="7" fillId="0" borderId="0" xfId="0" quotePrefix="1" applyFont="1" applyFill="1" applyBorder="1"/>
    <xf numFmtId="37" fontId="0" fillId="0" borderId="0" xfId="0" applyNumberFormat="1" applyFill="1" applyBorder="1" applyAlignment="1" applyProtection="1">
      <alignment horizontal="right"/>
    </xf>
    <xf numFmtId="0" fontId="6" fillId="0" borderId="2" xfId="0" quotePrefix="1" applyFont="1" applyFill="1" applyBorder="1" applyProtection="1"/>
    <xf numFmtId="1" fontId="4" fillId="0" borderId="0" xfId="0" applyNumberFormat="1" applyFont="1" applyFill="1" applyBorder="1"/>
    <xf numFmtId="0" fontId="0" fillId="0" borderId="0" xfId="0" applyFill="1" applyProtection="1"/>
    <xf numFmtId="3" fontId="0" fillId="0" borderId="0" xfId="0" applyNumberFormat="1" applyFill="1" applyAlignment="1">
      <alignment horizontal="right"/>
    </xf>
    <xf numFmtId="1" fontId="0" fillId="0" borderId="0" xfId="0" applyNumberFormat="1" applyFill="1" applyAlignment="1">
      <alignment horizontal="right"/>
    </xf>
    <xf numFmtId="165" fontId="14" fillId="0" borderId="0" xfId="0" applyNumberFormat="1" applyFont="1" applyFill="1" applyAlignment="1">
      <alignment horizontal="right"/>
    </xf>
    <xf numFmtId="0" fontId="0" fillId="0" borderId="0" xfId="0" applyFill="1" applyAlignment="1">
      <alignment horizontal="right"/>
    </xf>
    <xf numFmtId="168" fontId="0" fillId="0" borderId="0" xfId="0" applyNumberFormat="1" applyFill="1"/>
    <xf numFmtId="171" fontId="0" fillId="0" borderId="0" xfId="0" applyNumberFormat="1" applyFill="1"/>
    <xf numFmtId="0" fontId="3" fillId="0" borderId="0" xfId="0" applyFont="1" applyFill="1" applyBorder="1"/>
    <xf numFmtId="164" fontId="0" fillId="0" borderId="0" xfId="0" applyNumberFormat="1" applyFill="1" applyBorder="1" applyAlignment="1" applyProtection="1">
      <alignment horizontal="right"/>
    </xf>
    <xf numFmtId="164" fontId="4" fillId="0" borderId="0" xfId="0" applyNumberFormat="1" applyFont="1" applyFill="1" applyBorder="1" applyAlignment="1" applyProtection="1">
      <alignment horizontal="right"/>
    </xf>
    <xf numFmtId="164" fontId="7" fillId="0" borderId="0" xfId="0" applyNumberFormat="1" applyFont="1" applyFill="1" applyBorder="1" applyAlignment="1" applyProtection="1">
      <alignment horizontal="right"/>
    </xf>
    <xf numFmtId="0" fontId="15" fillId="0" borderId="0" xfId="0" quotePrefix="1" applyFont="1" applyFill="1" applyBorder="1" applyAlignment="1">
      <alignment horizontal="right"/>
    </xf>
    <xf numFmtId="0" fontId="7" fillId="0" borderId="0" xfId="0" quotePrefix="1" applyFont="1" applyFill="1" applyBorder="1" applyAlignment="1">
      <alignment horizontal="right"/>
    </xf>
    <xf numFmtId="37" fontId="7" fillId="0" borderId="0" xfId="0" applyNumberFormat="1" applyFont="1" applyFill="1"/>
    <xf numFmtId="37" fontId="7" fillId="0" borderId="0" xfId="0" applyNumberFormat="1" applyFont="1" applyFill="1" applyBorder="1"/>
    <xf numFmtId="10" fontId="7" fillId="0" borderId="0" xfId="0" applyNumberFormat="1" applyFont="1" applyFill="1" applyBorder="1"/>
    <xf numFmtId="0" fontId="7" fillId="0" borderId="0" xfId="0" applyFont="1" applyFill="1" applyBorder="1" applyAlignment="1"/>
    <xf numFmtId="0" fontId="0" fillId="0" borderId="0" xfId="0" applyFill="1" applyBorder="1" applyAlignment="1"/>
    <xf numFmtId="0" fontId="7" fillId="0" borderId="0" xfId="0" applyFont="1" applyFill="1"/>
    <xf numFmtId="0" fontId="7" fillId="0" borderId="0" xfId="5" applyFont="1" applyFill="1"/>
    <xf numFmtId="0" fontId="1" fillId="0" borderId="0" xfId="5" applyFill="1"/>
    <xf numFmtId="0" fontId="7" fillId="0" borderId="0" xfId="5" applyFont="1" applyFill="1" applyBorder="1"/>
    <xf numFmtId="0" fontId="1" fillId="0" borderId="0" xfId="5" applyFill="1" applyBorder="1"/>
    <xf numFmtId="0" fontId="1" fillId="0" borderId="3" xfId="4" applyFill="1" applyBorder="1" applyAlignment="1">
      <alignment horizontal="right"/>
    </xf>
    <xf numFmtId="0" fontId="1" fillId="0" borderId="3" xfId="4" quotePrefix="1" applyFill="1" applyBorder="1" applyAlignment="1">
      <alignment horizontal="right"/>
    </xf>
    <xf numFmtId="0" fontId="1" fillId="0" borderId="0" xfId="4" applyFill="1" applyBorder="1" applyAlignment="1">
      <alignment horizontal="right"/>
    </xf>
    <xf numFmtId="0" fontId="1" fillId="0" borderId="0" xfId="4" quotePrefix="1" applyFill="1" applyBorder="1" applyAlignment="1">
      <alignment horizontal="right"/>
    </xf>
    <xf numFmtId="0" fontId="1" fillId="0" borderId="0" xfId="4" applyFill="1"/>
    <xf numFmtId="0" fontId="1" fillId="0" borderId="0" xfId="4" applyFill="1" applyAlignment="1">
      <alignment horizontal="right"/>
    </xf>
    <xf numFmtId="14" fontId="1" fillId="0" borderId="0" xfId="4" applyNumberFormat="1" applyFill="1" applyBorder="1" applyAlignment="1">
      <alignment horizontal="right"/>
    </xf>
    <xf numFmtId="0" fontId="1" fillId="0" borderId="0" xfId="4" applyFill="1" applyAlignment="1">
      <alignment horizontal="left"/>
    </xf>
    <xf numFmtId="0" fontId="1" fillId="0" borderId="3" xfId="4" applyFill="1" applyBorder="1"/>
    <xf numFmtId="0" fontId="1" fillId="0" borderId="0" xfId="4" applyFill="1" applyBorder="1"/>
    <xf numFmtId="0" fontId="1" fillId="0" borderId="0" xfId="4" applyFill="1" applyBorder="1" applyAlignment="1">
      <alignment horizontal="left"/>
    </xf>
    <xf numFmtId="0" fontId="1" fillId="0" borderId="0" xfId="5" applyFill="1" applyBorder="1" applyProtection="1"/>
    <xf numFmtId="0" fontId="1" fillId="0" borderId="0" xfId="5" applyFill="1" applyBorder="1" applyAlignment="1" applyProtection="1">
      <alignment horizontal="right"/>
    </xf>
    <xf numFmtId="0" fontId="7" fillId="0" borderId="0" xfId="5" applyFont="1" applyFill="1" applyBorder="1" applyAlignment="1" applyProtection="1">
      <alignment horizontal="right"/>
    </xf>
    <xf numFmtId="0" fontId="3" fillId="0" borderId="0" xfId="5" applyFont="1" applyFill="1" applyBorder="1" applyProtection="1"/>
    <xf numFmtId="164" fontId="1" fillId="0" borderId="0" xfId="5" applyNumberFormat="1" applyFill="1" applyBorder="1" applyAlignment="1" applyProtection="1">
      <alignment horizontal="right"/>
    </xf>
    <xf numFmtId="0" fontId="7" fillId="0" borderId="0" xfId="5" applyFont="1" applyFill="1" applyBorder="1" applyAlignment="1">
      <alignment horizontal="right"/>
    </xf>
    <xf numFmtId="0" fontId="3" fillId="0" borderId="0" xfId="5" applyFont="1" applyFill="1" applyBorder="1"/>
    <xf numFmtId="0" fontId="7" fillId="0" borderId="0" xfId="5" applyFont="1" applyFill="1" applyBorder="1" applyProtection="1"/>
    <xf numFmtId="0" fontId="16" fillId="0" borderId="0" xfId="5" applyFont="1" applyFill="1" applyBorder="1" applyProtection="1"/>
    <xf numFmtId="164" fontId="7" fillId="0" borderId="0" xfId="5" applyNumberFormat="1" applyFont="1" applyFill="1" applyBorder="1" applyAlignment="1" applyProtection="1">
      <alignment horizontal="right"/>
    </xf>
    <xf numFmtId="0" fontId="1" fillId="0" borderId="0" xfId="5" applyFill="1" applyBorder="1" applyAlignment="1">
      <alignment horizontal="right"/>
    </xf>
    <xf numFmtId="14" fontId="1" fillId="0" borderId="0" xfId="5" applyNumberFormat="1" applyFill="1" applyBorder="1" applyAlignment="1">
      <alignment horizontal="right"/>
    </xf>
    <xf numFmtId="17" fontId="0" fillId="0" borderId="0" xfId="0" applyNumberFormat="1" applyFill="1" applyBorder="1"/>
    <xf numFmtId="4" fontId="0" fillId="0" borderId="0" xfId="0" applyNumberFormat="1" applyFill="1" applyBorder="1"/>
    <xf numFmtId="0" fontId="5" fillId="0" borderId="0" xfId="0" applyFont="1" applyFill="1" applyBorder="1" applyAlignment="1" applyProtection="1">
      <alignment horizontal="right"/>
    </xf>
    <xf numFmtId="0" fontId="7" fillId="0" borderId="0" xfId="0" applyFont="1" applyFill="1" applyAlignment="1"/>
    <xf numFmtId="0" fontId="0" fillId="0" borderId="0" xfId="0" quotePrefix="1" applyFill="1" applyAlignment="1">
      <alignment horizontal="right"/>
    </xf>
    <xf numFmtId="39" fontId="0" fillId="0" borderId="0" xfId="0" applyNumberFormat="1" applyFill="1" applyBorder="1" applyProtection="1"/>
    <xf numFmtId="9" fontId="0" fillId="0" borderId="0" xfId="0" applyNumberFormat="1" applyFill="1" applyProtection="1"/>
    <xf numFmtId="2" fontId="4" fillId="0" borderId="0" xfId="0" applyNumberFormat="1" applyFont="1" applyFill="1" applyBorder="1"/>
    <xf numFmtId="0" fontId="0" fillId="0" borderId="0" xfId="0" applyFill="1" applyAlignment="1" applyProtection="1">
      <alignment horizontal="right"/>
    </xf>
    <xf numFmtId="171" fontId="0" fillId="0" borderId="0" xfId="0" applyNumberFormat="1" applyFill="1" applyBorder="1" applyProtection="1"/>
    <xf numFmtId="0" fontId="4" fillId="0" borderId="3" xfId="0" applyFont="1" applyFill="1" applyBorder="1"/>
    <xf numFmtId="0" fontId="0" fillId="0" borderId="3" xfId="0" applyFill="1" applyBorder="1" applyAlignment="1">
      <alignment horizontal="right"/>
    </xf>
    <xf numFmtId="0" fontId="4" fillId="0" borderId="0" xfId="0" applyFont="1" applyFill="1" applyBorder="1" applyAlignment="1">
      <alignment horizontal="left"/>
    </xf>
    <xf numFmtId="170" fontId="0" fillId="0" borderId="0" xfId="0" applyNumberFormat="1" applyFill="1" applyBorder="1" applyAlignment="1">
      <alignment horizontal="right"/>
    </xf>
    <xf numFmtId="0" fontId="4" fillId="0" borderId="3" xfId="0" applyFont="1" applyFill="1" applyBorder="1" applyAlignment="1">
      <alignment horizontal="left"/>
    </xf>
    <xf numFmtId="0" fontId="0" fillId="0" borderId="3" xfId="0" applyFill="1" applyBorder="1" applyAlignment="1">
      <alignment horizontal="left"/>
    </xf>
    <xf numFmtId="0" fontId="5" fillId="0" borderId="0" xfId="0" applyFont="1" applyFill="1"/>
    <xf numFmtId="14" fontId="0" fillId="0" borderId="0" xfId="0" applyNumberFormat="1" applyFill="1" applyAlignment="1" applyProtection="1">
      <alignment horizontal="right"/>
    </xf>
    <xf numFmtId="3" fontId="0" fillId="0" borderId="0" xfId="0" applyNumberFormat="1" applyFill="1" applyBorder="1" applyAlignment="1">
      <alignment horizontal="right"/>
    </xf>
    <xf numFmtId="3" fontId="0" fillId="0" borderId="0" xfId="0" applyNumberFormat="1" applyFill="1"/>
    <xf numFmtId="165" fontId="0" fillId="0" borderId="0" xfId="0" applyNumberFormat="1" applyFill="1"/>
    <xf numFmtId="0" fontId="0" fillId="0" borderId="0" xfId="0" applyFill="1" applyBorder="1" applyAlignment="1" applyProtection="1">
      <alignment horizontal="centerContinuous"/>
    </xf>
    <xf numFmtId="171" fontId="4" fillId="0" borderId="0" xfId="0" applyNumberFormat="1" applyFont="1" applyFill="1" applyBorder="1" applyProtection="1"/>
    <xf numFmtId="164" fontId="0" fillId="0" borderId="0" xfId="0" applyNumberFormat="1" applyFill="1" applyBorder="1" applyProtection="1"/>
    <xf numFmtId="1" fontId="0" fillId="0" borderId="0" xfId="0" applyNumberFormat="1" applyFill="1" applyBorder="1" applyAlignment="1">
      <alignment horizontal="right"/>
    </xf>
    <xf numFmtId="1" fontId="0" fillId="0" borderId="0" xfId="0" applyNumberFormat="1" applyFill="1" applyBorder="1"/>
    <xf numFmtId="1" fontId="9" fillId="0" borderId="0" xfId="0" applyNumberFormat="1" applyFont="1" applyFill="1" applyBorder="1" applyAlignment="1">
      <alignment horizontal="left"/>
    </xf>
    <xf numFmtId="0" fontId="3" fillId="0" borderId="0" xfId="0" applyFont="1" applyFill="1" applyProtection="1"/>
    <xf numFmtId="164" fontId="0" fillId="0" borderId="0" xfId="0" applyNumberFormat="1" applyFill="1" applyAlignment="1" applyProtection="1">
      <alignment horizontal="right"/>
    </xf>
    <xf numFmtId="0" fontId="0" fillId="0" borderId="0" xfId="0" applyFill="1" applyAlignment="1" applyProtection="1">
      <alignment horizontal="center"/>
    </xf>
    <xf numFmtId="0" fontId="0" fillId="0" borderId="3" xfId="0" applyFill="1" applyBorder="1" applyProtection="1"/>
    <xf numFmtId="0" fontId="0" fillId="0" borderId="3" xfId="0" applyFill="1" applyBorder="1" applyAlignment="1" applyProtection="1">
      <alignment horizontal="center"/>
    </xf>
    <xf numFmtId="9" fontId="0" fillId="0" borderId="0" xfId="0" applyNumberFormat="1" applyFill="1" applyAlignment="1">
      <alignment horizontal="right"/>
    </xf>
    <xf numFmtId="3" fontId="4" fillId="0" borderId="0" xfId="0" applyNumberFormat="1" applyFont="1" applyFill="1"/>
    <xf numFmtId="3" fontId="4" fillId="0" borderId="0" xfId="0" applyNumberFormat="1" applyFont="1" applyFill="1" applyAlignment="1">
      <alignment horizontal="right"/>
    </xf>
    <xf numFmtId="1" fontId="4" fillId="0" borderId="0" xfId="0" applyNumberFormat="1" applyFont="1" applyFill="1" applyAlignment="1" applyProtection="1">
      <alignment horizontal="right"/>
    </xf>
    <xf numFmtId="171" fontId="4" fillId="0" borderId="0" xfId="0" applyNumberFormat="1" applyFont="1" applyFill="1"/>
    <xf numFmtId="3" fontId="13" fillId="0" borderId="0" xfId="0" applyNumberFormat="1" applyFont="1" applyFill="1"/>
    <xf numFmtId="0" fontId="13" fillId="0" borderId="0" xfId="0" applyFont="1" applyFill="1"/>
    <xf numFmtId="1" fontId="4" fillId="0" borderId="0" xfId="0" applyNumberFormat="1" applyFont="1" applyFill="1" applyBorder="1" applyAlignment="1">
      <alignment horizontal="right"/>
    </xf>
    <xf numFmtId="9" fontId="4" fillId="0" borderId="0" xfId="0" applyNumberFormat="1" applyFont="1" applyFill="1" applyAlignment="1">
      <alignment horizontal="right"/>
    </xf>
    <xf numFmtId="1" fontId="0" fillId="0" borderId="0" xfId="0" quotePrefix="1" applyNumberFormat="1" applyFill="1" applyAlignment="1">
      <alignment horizontal="right"/>
    </xf>
    <xf numFmtId="0" fontId="0" fillId="0" borderId="4" xfId="0" applyFill="1" applyBorder="1" applyProtection="1"/>
    <xf numFmtId="0" fontId="0" fillId="0" borderId="4" xfId="0" applyFill="1" applyBorder="1"/>
    <xf numFmtId="0" fontId="6" fillId="0" borderId="2" xfId="0" applyFont="1" applyFill="1" applyBorder="1"/>
    <xf numFmtId="169" fontId="5" fillId="0" borderId="0" xfId="0" applyNumberFormat="1" applyFont="1" applyFill="1" applyBorder="1" applyAlignment="1" applyProtection="1">
      <alignment horizontal="center"/>
    </xf>
    <xf numFmtId="169" fontId="0" fillId="0" borderId="0" xfId="0" applyNumberFormat="1" applyFill="1" applyAlignment="1">
      <alignment horizontal="center"/>
    </xf>
    <xf numFmtId="0" fontId="0" fillId="0" borderId="2" xfId="0" applyFill="1" applyBorder="1"/>
    <xf numFmtId="5" fontId="5" fillId="0" borderId="0" xfId="0" applyNumberFormat="1" applyFont="1" applyFill="1" applyAlignment="1">
      <alignment horizontal="center"/>
    </xf>
    <xf numFmtId="0" fontId="0" fillId="0" borderId="5" xfId="0" applyFill="1" applyBorder="1"/>
    <xf numFmtId="0" fontId="0" fillId="0" borderId="6" xfId="0" applyFill="1" applyBorder="1"/>
    <xf numFmtId="14" fontId="0" fillId="0" borderId="3" xfId="0" applyNumberFormat="1" applyFill="1" applyBorder="1"/>
    <xf numFmtId="0" fontId="4" fillId="0" borderId="0" xfId="0" applyFont="1" applyFill="1" applyAlignment="1" applyProtection="1">
      <alignment horizontal="left"/>
    </xf>
    <xf numFmtId="0" fontId="8" fillId="0" borderId="0" xfId="4" applyFont="1" applyFill="1" applyBorder="1" applyAlignment="1">
      <alignment horizontal="left"/>
    </xf>
    <xf numFmtId="41" fontId="1" fillId="0" borderId="0" xfId="1" applyFont="1" applyFill="1"/>
    <xf numFmtId="0" fontId="1" fillId="0" borderId="0" xfId="5" applyFont="1" applyFill="1"/>
    <xf numFmtId="0" fontId="1" fillId="0" borderId="0" xfId="4" applyFont="1" applyFill="1" applyAlignment="1">
      <alignment horizontal="right"/>
    </xf>
    <xf numFmtId="0" fontId="1" fillId="0" borderId="0" xfId="4" applyFont="1" applyFill="1"/>
    <xf numFmtId="0" fontId="0" fillId="0" borderId="0" xfId="0" applyFill="1" applyBorder="1" applyAlignment="1">
      <alignment horizontal="center"/>
    </xf>
    <xf numFmtId="0" fontId="5" fillId="0" borderId="7" xfId="0" applyFont="1" applyFill="1" applyBorder="1" applyAlignment="1" applyProtection="1">
      <alignment horizontal="center"/>
    </xf>
    <xf numFmtId="0" fontId="5" fillId="0" borderId="8" xfId="0" applyFont="1" applyFill="1" applyBorder="1" applyAlignment="1" applyProtection="1">
      <alignment horizontal="center"/>
    </xf>
    <xf numFmtId="0" fontId="5" fillId="0" borderId="8" xfId="0" applyFont="1" applyFill="1" applyBorder="1" applyAlignment="1">
      <alignment horizontal="center"/>
    </xf>
    <xf numFmtId="0" fontId="5" fillId="0" borderId="9" xfId="0" applyFont="1" applyFill="1" applyBorder="1" applyAlignment="1">
      <alignment horizontal="center"/>
    </xf>
    <xf numFmtId="0" fontId="4" fillId="0" borderId="0" xfId="0" applyFont="1" applyFill="1" applyBorder="1" applyAlignment="1">
      <alignment horizontal="center"/>
    </xf>
    <xf numFmtId="37" fontId="4" fillId="0" borderId="0" xfId="0" applyNumberFormat="1" applyFont="1" applyFill="1" applyBorder="1" applyAlignment="1" applyProtection="1">
      <alignment horizontal="center"/>
    </xf>
    <xf numFmtId="10" fontId="4" fillId="0" borderId="0" xfId="0" applyNumberFormat="1" applyFont="1" applyFill="1" applyBorder="1" applyAlignment="1" applyProtection="1">
      <alignment horizontal="center"/>
    </xf>
    <xf numFmtId="0" fontId="0" fillId="0" borderId="0" xfId="0" applyFill="1" applyAlignment="1">
      <alignment horizontal="center"/>
    </xf>
    <xf numFmtId="0" fontId="4" fillId="0" borderId="3" xfId="0" applyFont="1" applyFill="1" applyBorder="1" applyAlignment="1">
      <alignment horizontal="center"/>
    </xf>
    <xf numFmtId="0" fontId="0" fillId="0" borderId="3" xfId="0" applyFill="1" applyBorder="1" applyAlignment="1">
      <alignment horizontal="center"/>
    </xf>
    <xf numFmtId="2" fontId="4" fillId="0" borderId="0" xfId="0" applyNumberFormat="1" applyFont="1" applyFill="1" applyBorder="1" applyAlignment="1">
      <alignment horizontal="center"/>
    </xf>
    <xf numFmtId="2" fontId="0" fillId="0" borderId="0" xfId="0" applyNumberFormat="1" applyFill="1" applyBorder="1" applyAlignment="1">
      <alignment horizontal="center"/>
    </xf>
    <xf numFmtId="20" fontId="0" fillId="0" borderId="0" xfId="0" applyNumberFormat="1" applyFill="1"/>
    <xf numFmtId="9" fontId="0" fillId="0" borderId="0" xfId="0" applyNumberFormat="1" applyFill="1" applyBorder="1" applyAlignment="1">
      <alignment horizontal="right"/>
    </xf>
    <xf numFmtId="176" fontId="0" fillId="0" borderId="0" xfId="0" applyNumberFormat="1" applyBorder="1"/>
    <xf numFmtId="166" fontId="4" fillId="0" borderId="0" xfId="0" applyNumberFormat="1" applyFont="1" applyFill="1" applyBorder="1" applyProtection="1"/>
    <xf numFmtId="1" fontId="0" fillId="0" borderId="0" xfId="0" applyNumberFormat="1" applyFill="1"/>
    <xf numFmtId="1" fontId="4" fillId="0" borderId="0" xfId="0" applyNumberFormat="1" applyFont="1" applyFill="1" applyBorder="1" applyAlignment="1">
      <alignment horizontal="left"/>
    </xf>
    <xf numFmtId="3" fontId="0" fillId="0" borderId="0" xfId="0" applyNumberFormat="1" applyFill="1" applyBorder="1" applyAlignment="1">
      <alignment horizontal="center"/>
    </xf>
    <xf numFmtId="0" fontId="0" fillId="0" borderId="0" xfId="0" applyBorder="1" applyProtection="1"/>
    <xf numFmtId="0" fontId="0" fillId="0" borderId="0" xfId="0" applyBorder="1"/>
    <xf numFmtId="171" fontId="0" fillId="0" borderId="0" xfId="0" quotePrefix="1" applyNumberFormat="1" applyFill="1" applyBorder="1" applyAlignment="1">
      <alignment horizontal="right"/>
    </xf>
    <xf numFmtId="3" fontId="1" fillId="0" borderId="0" xfId="0" applyNumberFormat="1" applyFont="1" applyFill="1" applyBorder="1" applyAlignment="1">
      <alignment horizontal="center"/>
    </xf>
    <xf numFmtId="2" fontId="0" fillId="0" borderId="0" xfId="0" applyNumberFormat="1" applyFill="1" applyBorder="1" applyAlignment="1" applyProtection="1">
      <alignment horizontal="right"/>
    </xf>
    <xf numFmtId="2" fontId="0" fillId="0" borderId="0" xfId="0" applyNumberFormat="1" applyFill="1"/>
    <xf numFmtId="37" fontId="0" fillId="0" borderId="0" xfId="0" applyNumberFormat="1" applyFill="1"/>
    <xf numFmtId="165" fontId="0" fillId="0" borderId="0" xfId="0" applyNumberFormat="1" applyFill="1" applyBorder="1"/>
    <xf numFmtId="165" fontId="4" fillId="0" borderId="0" xfId="0" applyNumberFormat="1" applyFont="1" applyFill="1" applyBorder="1" applyProtection="1"/>
    <xf numFmtId="171" fontId="0" fillId="0" borderId="0" xfId="0" quotePrefix="1" applyNumberFormat="1" applyFill="1" applyBorder="1" applyAlignment="1">
      <alignment horizontal="center"/>
    </xf>
    <xf numFmtId="20" fontId="4" fillId="0" borderId="0" xfId="0" applyNumberFormat="1" applyFont="1" applyFill="1" applyAlignment="1" applyProtection="1">
      <alignment horizontal="left"/>
    </xf>
    <xf numFmtId="3" fontId="4" fillId="0" borderId="0" xfId="4" applyNumberFormat="1" applyFont="1" applyFill="1" applyAlignment="1">
      <alignment horizontal="right"/>
    </xf>
    <xf numFmtId="0" fontId="4" fillId="0" borderId="0" xfId="4" applyFont="1" applyFill="1"/>
    <xf numFmtId="3" fontId="4" fillId="0" borderId="0" xfId="0" applyNumberFormat="1" applyFont="1" applyFill="1" applyBorder="1" applyAlignment="1">
      <alignment horizontal="center"/>
    </xf>
    <xf numFmtId="165" fontId="0" fillId="0" borderId="0" xfId="0" applyNumberFormat="1"/>
    <xf numFmtId="7" fontId="7" fillId="0" borderId="0" xfId="0" applyNumberFormat="1" applyFont="1" applyFill="1" applyBorder="1" applyProtection="1"/>
    <xf numFmtId="0" fontId="8" fillId="0" borderId="0" xfId="0" applyFont="1"/>
    <xf numFmtId="37" fontId="0" fillId="0" borderId="0" xfId="0" applyNumberFormat="1" applyFill="1" applyBorder="1"/>
    <xf numFmtId="1" fontId="0" fillId="0" borderId="0" xfId="0" applyNumberFormat="1"/>
    <xf numFmtId="168" fontId="0" fillId="0" borderId="0" xfId="0" applyNumberFormat="1" applyFill="1" applyBorder="1" applyAlignment="1">
      <alignment horizontal="right"/>
    </xf>
    <xf numFmtId="9" fontId="14" fillId="0" borderId="0" xfId="0" applyNumberFormat="1" applyFont="1" applyFill="1" applyAlignment="1">
      <alignment horizontal="right"/>
    </xf>
    <xf numFmtId="0" fontId="4" fillId="0" borderId="0" xfId="0" quotePrefix="1" applyFont="1" applyFill="1"/>
    <xf numFmtId="0" fontId="1" fillId="0" borderId="0" xfId="0" applyFont="1" applyFill="1" applyBorder="1"/>
    <xf numFmtId="0" fontId="1" fillId="0" borderId="0" xfId="0" quotePrefix="1" applyFont="1" applyFill="1" applyBorder="1"/>
    <xf numFmtId="20" fontId="5" fillId="0" borderId="0" xfId="0" applyNumberFormat="1" applyFont="1" applyFill="1" applyBorder="1" applyProtection="1"/>
    <xf numFmtId="1" fontId="1" fillId="0" borderId="0" xfId="0" applyNumberFormat="1" applyFont="1"/>
    <xf numFmtId="0" fontId="1" fillId="0" borderId="0" xfId="0" applyFont="1"/>
    <xf numFmtId="165" fontId="1" fillId="0" borderId="0" xfId="0" applyNumberFormat="1" applyFont="1"/>
    <xf numFmtId="169" fontId="1" fillId="0" borderId="0" xfId="0" applyNumberFormat="1" applyFont="1"/>
    <xf numFmtId="169" fontId="8" fillId="0" borderId="0" xfId="0" applyNumberFormat="1" applyFont="1"/>
    <xf numFmtId="3" fontId="18" fillId="0" borderId="0" xfId="0" applyNumberFormat="1" applyFont="1" applyFill="1" applyBorder="1" applyAlignment="1">
      <alignment horizontal="center"/>
    </xf>
    <xf numFmtId="3" fontId="18" fillId="0" borderId="0" xfId="0" quotePrefix="1" applyNumberFormat="1" applyFont="1" applyFill="1" applyBorder="1" applyAlignment="1">
      <alignment horizontal="center"/>
    </xf>
    <xf numFmtId="171" fontId="18" fillId="0" borderId="0" xfId="0" quotePrefix="1" applyNumberFormat="1" applyFont="1" applyFill="1" applyBorder="1" applyAlignment="1">
      <alignment horizontal="center"/>
    </xf>
    <xf numFmtId="171" fontId="18" fillId="0" borderId="0" xfId="0" applyNumberFormat="1" applyFont="1" applyFill="1" applyBorder="1" applyAlignment="1">
      <alignment horizontal="center"/>
    </xf>
    <xf numFmtId="171" fontId="0" fillId="0" borderId="0" xfId="0" applyNumberFormat="1" applyFill="1" applyBorder="1" applyAlignment="1">
      <alignment horizontal="center"/>
    </xf>
    <xf numFmtId="4" fontId="4" fillId="0" borderId="0" xfId="0" applyNumberFormat="1" applyFont="1" applyFill="1" applyBorder="1" applyProtection="1"/>
    <xf numFmtId="0" fontId="0" fillId="0" borderId="0" xfId="0" applyFill="1" applyBorder="1" applyAlignment="1">
      <alignment wrapText="1"/>
    </xf>
    <xf numFmtId="0" fontId="20" fillId="0" borderId="0" xfId="0" applyFont="1" applyFill="1"/>
    <xf numFmtId="0" fontId="22" fillId="0" borderId="0" xfId="0" applyFont="1"/>
    <xf numFmtId="2" fontId="0" fillId="0" borderId="0" xfId="0" applyNumberFormat="1" applyAlignment="1">
      <alignment horizontal="center"/>
    </xf>
    <xf numFmtId="0" fontId="0" fillId="0" borderId="0" xfId="0" applyAlignment="1">
      <alignment horizontal="right"/>
    </xf>
    <xf numFmtId="0" fontId="21" fillId="0" borderId="0" xfId="3" applyFont="1" applyAlignment="1">
      <alignment horizontal="left"/>
    </xf>
    <xf numFmtId="0" fontId="0" fillId="0" borderId="0" xfId="0" applyAlignment="1">
      <alignment horizontal="left"/>
    </xf>
    <xf numFmtId="0" fontId="23" fillId="0" borderId="0" xfId="0" applyFont="1" applyAlignment="1">
      <alignment horizontal="justify"/>
    </xf>
    <xf numFmtId="168" fontId="19" fillId="0" borderId="0" xfId="6" quotePrefix="1" applyNumberFormat="1" applyFont="1" applyFill="1" applyBorder="1" applyAlignment="1">
      <alignment horizontal="right"/>
    </xf>
    <xf numFmtId="1" fontId="0" fillId="0" borderId="0" xfId="0" quotePrefix="1" applyNumberFormat="1" applyFill="1"/>
    <xf numFmtId="0" fontId="1" fillId="0" borderId="0" xfId="0" quotePrefix="1" applyFont="1" applyFill="1" applyBorder="1" applyAlignment="1">
      <alignment horizontal="right"/>
    </xf>
    <xf numFmtId="0" fontId="1" fillId="0" borderId="0" xfId="0" applyFont="1" applyFill="1" applyBorder="1" applyAlignment="1"/>
    <xf numFmtId="0" fontId="1" fillId="0" borderId="0" xfId="0" applyFont="1" applyFill="1" applyAlignment="1"/>
    <xf numFmtId="0" fontId="1" fillId="0" borderId="0" xfId="0" applyFont="1" applyFill="1"/>
    <xf numFmtId="14" fontId="5" fillId="0" borderId="0" xfId="0" quotePrefix="1" applyNumberFormat="1" applyFont="1" applyFill="1" applyBorder="1" applyAlignment="1" applyProtection="1">
      <alignment horizontal="right"/>
    </xf>
    <xf numFmtId="0" fontId="1" fillId="0" borderId="0" xfId="0" applyFont="1" applyBorder="1" applyAlignment="1">
      <alignment horizontal="center" vertical="top" wrapText="1"/>
    </xf>
    <xf numFmtId="0" fontId="8" fillId="0" borderId="0" xfId="0" applyFont="1" applyBorder="1" applyAlignment="1">
      <alignment horizontal="left" vertical="top" wrapText="1"/>
    </xf>
    <xf numFmtId="0" fontId="24" fillId="0" borderId="0" xfId="0" applyFont="1" applyBorder="1" applyAlignment="1">
      <alignment horizontal="center" vertical="top" wrapText="1"/>
    </xf>
    <xf numFmtId="0" fontId="8" fillId="0" borderId="0" xfId="0" applyFont="1" applyBorder="1"/>
    <xf numFmtId="0" fontId="0" fillId="0" borderId="0" xfId="0" applyFill="1" applyBorder="1" applyAlignment="1">
      <alignment horizontal="left" wrapText="1"/>
    </xf>
    <xf numFmtId="1" fontId="4" fillId="0" borderId="0" xfId="0" applyNumberFormat="1" applyFont="1" applyFill="1" applyBorder="1" applyAlignment="1" applyProtection="1">
      <alignment horizontal="right"/>
    </xf>
    <xf numFmtId="3" fontId="4" fillId="0" borderId="0" xfId="0" applyNumberFormat="1" applyFont="1" applyFill="1" applyBorder="1" applyAlignment="1">
      <alignment horizontal="right"/>
    </xf>
    <xf numFmtId="165" fontId="14" fillId="0" borderId="0" xfId="0" applyNumberFormat="1" applyFont="1" applyFill="1" applyBorder="1" applyAlignment="1">
      <alignment horizontal="right"/>
    </xf>
    <xf numFmtId="20" fontId="0" fillId="0" borderId="0" xfId="0" applyNumberFormat="1" applyFill="1" applyBorder="1"/>
    <xf numFmtId="171" fontId="4" fillId="0" borderId="0" xfId="0" applyNumberFormat="1" applyFont="1" applyFill="1" applyBorder="1"/>
    <xf numFmtId="37" fontId="4" fillId="0" borderId="0" xfId="0" applyNumberFormat="1" applyFont="1" applyFill="1" applyBorder="1" applyAlignment="1" applyProtection="1">
      <alignment horizontal="right"/>
    </xf>
    <xf numFmtId="169" fontId="1" fillId="0" borderId="0" xfId="0" applyNumberFormat="1" applyFont="1" applyFill="1" applyAlignment="1">
      <alignment horizontal="right"/>
    </xf>
    <xf numFmtId="2" fontId="1" fillId="0" borderId="0" xfId="0" applyNumberFormat="1" applyFont="1" applyFill="1" applyBorder="1"/>
    <xf numFmtId="20" fontId="4" fillId="0" borderId="0" xfId="0" applyNumberFormat="1" applyFont="1" applyFill="1" applyBorder="1"/>
    <xf numFmtId="169" fontId="1" fillId="0" borderId="0" xfId="0" applyNumberFormat="1" applyFont="1" applyFill="1"/>
    <xf numFmtId="0" fontId="0" fillId="0" borderId="10" xfId="0" applyFill="1" applyBorder="1" applyProtection="1"/>
    <xf numFmtId="0" fontId="0" fillId="0" borderId="11" xfId="0" applyFill="1" applyBorder="1" applyAlignment="1" applyProtection="1">
      <alignment horizontal="center"/>
    </xf>
    <xf numFmtId="0" fontId="0" fillId="0" borderId="4" xfId="0" applyFill="1" applyBorder="1" applyAlignment="1" applyProtection="1">
      <alignment horizontal="center"/>
    </xf>
    <xf numFmtId="20" fontId="4" fillId="0" borderId="0" xfId="0" applyNumberFormat="1" applyFont="1" applyFill="1" applyBorder="1" applyAlignment="1" applyProtection="1">
      <alignment horizontal="left"/>
    </xf>
    <xf numFmtId="1" fontId="4" fillId="0" borderId="0" xfId="0" quotePrefix="1" applyNumberFormat="1" applyFont="1" applyFill="1" applyBorder="1"/>
    <xf numFmtId="169" fontId="8" fillId="0" borderId="0" xfId="0" applyNumberFormat="1" applyFont="1" applyFill="1"/>
    <xf numFmtId="0" fontId="8" fillId="0" borderId="0" xfId="0" applyFont="1" applyFill="1"/>
    <xf numFmtId="0" fontId="1" fillId="0" borderId="0" xfId="0" applyFont="1" applyFill="1" applyBorder="1" applyAlignment="1">
      <alignment horizontal="center" vertical="top" wrapText="1"/>
    </xf>
    <xf numFmtId="37" fontId="0" fillId="0" borderId="0" xfId="0" applyNumberFormat="1" applyFill="1" applyAlignment="1">
      <alignment horizontal="left"/>
    </xf>
    <xf numFmtId="172" fontId="0" fillId="0" borderId="0" xfId="0" applyNumberFormat="1" applyFill="1"/>
    <xf numFmtId="0" fontId="8" fillId="0" borderId="0" xfId="0" applyFont="1" applyFill="1" applyBorder="1" applyAlignment="1">
      <alignment horizontal="left" vertical="top" wrapText="1"/>
    </xf>
    <xf numFmtId="170" fontId="0" fillId="0" borderId="0" xfId="0" applyNumberFormat="1"/>
    <xf numFmtId="169" fontId="0" fillId="0" borderId="0" xfId="0" applyNumberFormat="1"/>
    <xf numFmtId="0" fontId="9" fillId="0" borderId="0" xfId="0" applyFont="1" applyBorder="1"/>
    <xf numFmtId="0" fontId="5" fillId="0" borderId="0" xfId="0" applyFont="1" applyBorder="1" applyProtection="1"/>
    <xf numFmtId="0" fontId="3" fillId="0" borderId="0" xfId="0" applyFont="1" applyBorder="1" applyProtection="1"/>
    <xf numFmtId="0" fontId="3" fillId="0" borderId="0" xfId="0" applyFont="1" applyProtection="1"/>
    <xf numFmtId="0" fontId="0" fillId="0" borderId="12" xfId="0" applyFill="1" applyBorder="1" applyProtection="1"/>
    <xf numFmtId="0" fontId="1" fillId="0" borderId="0" xfId="0" applyFont="1" applyAlignment="1"/>
    <xf numFmtId="0" fontId="1" fillId="0" borderId="0" xfId="0" applyFont="1" applyBorder="1" applyAlignment="1"/>
    <xf numFmtId="172" fontId="4" fillId="0" borderId="0" xfId="0" applyNumberFormat="1" applyFont="1" applyFill="1" applyBorder="1" applyAlignment="1">
      <alignment horizontal="center"/>
    </xf>
    <xf numFmtId="0" fontId="1" fillId="0" borderId="0" xfId="5" applyFont="1" applyFill="1" applyBorder="1" applyAlignment="1" applyProtection="1">
      <alignment horizontal="right"/>
    </xf>
    <xf numFmtId="1" fontId="0" fillId="0" borderId="0" xfId="0" applyNumberFormat="1" applyFill="1" applyBorder="1" applyAlignment="1" applyProtection="1">
      <alignment horizontal="center"/>
    </xf>
    <xf numFmtId="0" fontId="0" fillId="0" borderId="0" xfId="0" applyAlignment="1" applyProtection="1">
      <alignment horizontal="left"/>
    </xf>
    <xf numFmtId="0" fontId="0" fillId="0" borderId="3" xfId="0" applyBorder="1" applyAlignment="1" applyProtection="1">
      <alignment horizontal="left"/>
    </xf>
    <xf numFmtId="5" fontId="0" fillId="0" borderId="0" xfId="2" applyNumberFormat="1" applyFont="1" applyFill="1" applyAlignment="1">
      <alignment horizontal="left"/>
    </xf>
    <xf numFmtId="5" fontId="0" fillId="0" borderId="0" xfId="0" applyNumberFormat="1" applyFill="1" applyBorder="1" applyAlignment="1">
      <alignment horizontal="left"/>
    </xf>
    <xf numFmtId="178" fontId="0" fillId="0" borderId="0" xfId="0" applyNumberFormat="1" applyFill="1"/>
    <xf numFmtId="7" fontId="7" fillId="0" borderId="0" xfId="0" applyNumberFormat="1" applyFont="1" applyFill="1" applyBorder="1"/>
    <xf numFmtId="171" fontId="0" fillId="0" borderId="0" xfId="0" applyNumberFormat="1"/>
    <xf numFmtId="171" fontId="0" fillId="0" borderId="0" xfId="0" quotePrefix="1" applyNumberFormat="1" applyFill="1"/>
    <xf numFmtId="0" fontId="23" fillId="0" borderId="0" xfId="0" applyFont="1" applyFill="1" applyAlignment="1">
      <alignment horizontal="justify"/>
    </xf>
    <xf numFmtId="0" fontId="1" fillId="0" borderId="0" xfId="0" applyFont="1" applyFill="1" applyAlignment="1">
      <alignment horizontal="center"/>
    </xf>
    <xf numFmtId="0" fontId="1" fillId="0" borderId="0" xfId="0" applyFont="1" applyAlignment="1">
      <alignment horizontal="center"/>
    </xf>
    <xf numFmtId="169" fontId="0" fillId="0" borderId="0" xfId="2" applyNumberFormat="1" applyFont="1" applyAlignment="1">
      <alignment horizontal="center"/>
    </xf>
    <xf numFmtId="0" fontId="1" fillId="0" borderId="0" xfId="0" applyNumberFormat="1" applyFont="1" applyAlignment="1">
      <alignment horizontal="center"/>
    </xf>
    <xf numFmtId="170" fontId="1" fillId="0" borderId="0" xfId="0" applyNumberFormat="1" applyFont="1" applyAlignment="1">
      <alignment horizontal="center"/>
    </xf>
    <xf numFmtId="169" fontId="1" fillId="0" borderId="0" xfId="0" applyNumberFormat="1" applyFont="1" applyAlignment="1">
      <alignment horizontal="center"/>
    </xf>
    <xf numFmtId="2" fontId="1" fillId="0" borderId="0" xfId="0" applyNumberFormat="1" applyFont="1" applyFill="1" applyBorder="1" applyAlignment="1">
      <alignment horizontal="left"/>
    </xf>
    <xf numFmtId="0" fontId="0" fillId="0" borderId="0" xfId="0" applyFill="1" applyBorder="1" applyAlignment="1" applyProtection="1">
      <alignment horizontal="left" wrapText="1"/>
    </xf>
    <xf numFmtId="3" fontId="4" fillId="0" borderId="0" xfId="0" quotePrefix="1" applyNumberFormat="1" applyFont="1" applyFill="1" applyAlignment="1">
      <alignment horizontal="right"/>
    </xf>
    <xf numFmtId="0" fontId="1" fillId="0" borderId="0" xfId="5" applyFont="1" applyFill="1" applyBorder="1"/>
    <xf numFmtId="37" fontId="1" fillId="0" borderId="0" xfId="5" applyNumberFormat="1" applyFont="1" applyFill="1" applyBorder="1" applyProtection="1"/>
    <xf numFmtId="3" fontId="1" fillId="0" borderId="0" xfId="5" applyNumberFormat="1" applyFont="1" applyFill="1" applyBorder="1" applyProtection="1"/>
    <xf numFmtId="5" fontId="1" fillId="0" borderId="0" xfId="5" applyNumberFormat="1" applyFill="1" applyBorder="1" applyProtection="1"/>
    <xf numFmtId="3" fontId="1" fillId="0" borderId="0" xfId="5" applyNumberFormat="1" applyFont="1" applyFill="1" applyBorder="1"/>
    <xf numFmtId="169" fontId="1" fillId="0" borderId="0" xfId="5" applyNumberFormat="1" applyFont="1" applyFill="1" applyBorder="1"/>
    <xf numFmtId="169" fontId="1" fillId="0" borderId="0" xfId="5" applyNumberFormat="1" applyFont="1" applyFill="1" applyBorder="1" applyProtection="1"/>
    <xf numFmtId="169" fontId="1" fillId="0" borderId="0" xfId="5" applyNumberFormat="1" applyFill="1" applyBorder="1"/>
    <xf numFmtId="168" fontId="1" fillId="0" borderId="0" xfId="0" applyNumberFormat="1" applyFont="1" applyFill="1" applyBorder="1" applyAlignment="1">
      <alignment horizontal="center" vertical="top" wrapText="1"/>
    </xf>
    <xf numFmtId="169" fontId="1" fillId="0" borderId="0" xfId="0" applyNumberFormat="1"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1" fillId="0" borderId="0" xfId="0" applyFont="1" applyFill="1" applyBorder="1" applyAlignment="1">
      <alignment horizontal="right"/>
    </xf>
    <xf numFmtId="0" fontId="0" fillId="0" borderId="0" xfId="0" applyFont="1" applyFill="1" applyBorder="1" applyAlignment="1">
      <alignment horizontal="right"/>
    </xf>
    <xf numFmtId="0" fontId="7" fillId="0" borderId="0" xfId="0" applyFont="1" applyFill="1" applyBorder="1" applyAlignment="1">
      <alignment horizontal="right" wrapText="1"/>
    </xf>
    <xf numFmtId="0" fontId="4" fillId="0" borderId="0" xfId="8" applyFont="1" applyFill="1"/>
    <xf numFmtId="20" fontId="0" fillId="0" borderId="0" xfId="0" applyNumberFormat="1" applyFill="1" applyAlignment="1">
      <alignment horizontal="right"/>
    </xf>
    <xf numFmtId="5" fontId="0" fillId="0" borderId="0" xfId="0" applyNumberFormat="1" applyFill="1"/>
    <xf numFmtId="20" fontId="5" fillId="0" borderId="0" xfId="0" applyNumberFormat="1" applyFont="1" applyFill="1" applyBorder="1" applyAlignment="1" applyProtection="1">
      <alignment horizontal="right"/>
    </xf>
    <xf numFmtId="0" fontId="0" fillId="0" borderId="0" xfId="0" applyFont="1" applyFill="1" applyBorder="1" applyAlignment="1">
      <alignment horizontal="left"/>
    </xf>
    <xf numFmtId="1" fontId="5" fillId="0" borderId="0" xfId="0" applyNumberFormat="1" applyFont="1" applyFill="1" applyBorder="1"/>
    <xf numFmtId="170" fontId="0" fillId="0" borderId="0" xfId="0" applyNumberFormat="1" applyFill="1" applyBorder="1" applyProtection="1"/>
    <xf numFmtId="5" fontId="0" fillId="0" borderId="0" xfId="2" applyNumberFormat="1" applyFont="1" applyFill="1" applyBorder="1" applyAlignment="1" applyProtection="1">
      <alignment horizontal="right"/>
    </xf>
    <xf numFmtId="0" fontId="0" fillId="0" borderId="0" xfId="0" applyFont="1" applyFill="1" applyBorder="1" applyProtection="1"/>
    <xf numFmtId="0" fontId="0" fillId="0" borderId="0" xfId="0" applyFill="1" applyBorder="1" applyAlignment="1">
      <alignment horizontal="center"/>
    </xf>
    <xf numFmtId="0" fontId="7" fillId="0" borderId="0" xfId="0" applyFont="1" applyFill="1" applyBorder="1" applyAlignment="1">
      <alignment horizontal="right" wrapText="1"/>
    </xf>
    <xf numFmtId="14" fontId="0" fillId="0" borderId="0" xfId="0" applyNumberFormat="1" applyFill="1" applyBorder="1" applyAlignment="1">
      <alignment horizontal="right"/>
    </xf>
    <xf numFmtId="14" fontId="0" fillId="0" borderId="0" xfId="0" applyNumberFormat="1" applyFill="1" applyBorder="1"/>
    <xf numFmtId="20" fontId="5" fillId="0" borderId="8" xfId="0" applyNumberFormat="1" applyFont="1" applyFill="1" applyBorder="1" applyAlignment="1">
      <alignment horizontal="center"/>
    </xf>
    <xf numFmtId="20" fontId="0" fillId="0" borderId="0" xfId="0" applyNumberFormat="1" applyFont="1" applyFill="1" applyBorder="1" applyAlignment="1" applyProtection="1">
      <alignment horizontal="left"/>
    </xf>
    <xf numFmtId="3" fontId="1" fillId="0" borderId="0" xfId="0" quotePrefix="1" applyNumberFormat="1" applyFont="1" applyFill="1" applyBorder="1" applyAlignment="1">
      <alignment horizontal="center"/>
    </xf>
    <xf numFmtId="3" fontId="1" fillId="0" borderId="0" xfId="0" applyNumberFormat="1" applyFont="1" applyFill="1" applyAlignment="1">
      <alignment horizontal="center"/>
    </xf>
    <xf numFmtId="0" fontId="0" fillId="0" borderId="0" xfId="0" applyFill="1" applyAlignment="1">
      <alignment horizontal="center" vertical="center"/>
    </xf>
    <xf numFmtId="0" fontId="0" fillId="0" borderId="0" xfId="0" applyFill="1" applyBorder="1" applyAlignment="1">
      <alignment horizontal="center" vertical="center"/>
    </xf>
    <xf numFmtId="2"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2" fontId="0" fillId="0" borderId="0" xfId="0" applyNumberFormat="1" applyFill="1" applyBorder="1" applyAlignment="1">
      <alignment horizontal="center" vertical="center"/>
    </xf>
    <xf numFmtId="0" fontId="4" fillId="0" borderId="0" xfId="0" applyFont="1" applyFill="1" applyBorder="1" applyAlignment="1">
      <alignment horizontal="center" vertical="center"/>
    </xf>
    <xf numFmtId="165" fontId="0" fillId="0" borderId="0" xfId="0" applyNumberFormat="1" applyFill="1" applyBorder="1" applyAlignment="1">
      <alignment horizontal="center" vertical="center"/>
    </xf>
    <xf numFmtId="0" fontId="0" fillId="0" borderId="0" xfId="0" quotePrefix="1" applyFill="1" applyBorder="1" applyAlignment="1">
      <alignment horizontal="center" vertical="center"/>
    </xf>
    <xf numFmtId="171" fontId="4" fillId="0" borderId="0" xfId="0" applyNumberFormat="1" applyFont="1" applyFill="1" applyBorder="1" applyAlignment="1">
      <alignment horizontal="center"/>
    </xf>
    <xf numFmtId="3" fontId="0" fillId="0" borderId="0" xfId="0" applyNumberFormat="1" applyFill="1" applyAlignment="1">
      <alignment horizontal="center" vertical="center"/>
    </xf>
    <xf numFmtId="171" fontId="0" fillId="0" borderId="0" xfId="0" applyNumberFormat="1" applyFill="1" applyBorder="1" applyAlignment="1">
      <alignment horizontal="center" vertical="center"/>
    </xf>
    <xf numFmtId="3" fontId="0" fillId="0" borderId="0" xfId="0" applyNumberFormat="1" applyFill="1" applyBorder="1" applyAlignment="1">
      <alignment horizontal="center" vertical="center"/>
    </xf>
    <xf numFmtId="37" fontId="4"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168" fontId="0" fillId="0" borderId="0" xfId="0" applyNumberForma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171" fontId="4" fillId="0" borderId="0" xfId="0" applyNumberFormat="1" applyFont="1" applyFill="1" applyBorder="1" applyAlignment="1">
      <alignment horizontal="center" vertical="center"/>
    </xf>
    <xf numFmtId="165" fontId="4" fillId="0" borderId="0" xfId="0" applyNumberFormat="1"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xf>
    <xf numFmtId="172" fontId="0" fillId="0" borderId="0" xfId="0" applyNumberFormat="1"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175" fontId="0" fillId="0" borderId="0" xfId="0" applyNumberFormat="1" applyFill="1" applyBorder="1" applyAlignment="1">
      <alignment horizontal="center" vertical="center"/>
    </xf>
    <xf numFmtId="3" fontId="4" fillId="0" borderId="0" xfId="0" quotePrefix="1" applyNumberFormat="1" applyFont="1" applyFill="1" applyBorder="1" applyAlignment="1">
      <alignment horizontal="center" vertical="center"/>
    </xf>
    <xf numFmtId="165" fontId="0" fillId="0" borderId="0" xfId="0" quotePrefix="1" applyNumberFormat="1" applyFill="1" applyBorder="1" applyAlignment="1" applyProtection="1">
      <alignment horizontal="center" vertical="center"/>
    </xf>
    <xf numFmtId="168" fontId="0" fillId="0" borderId="0" xfId="0" applyNumberFormat="1" applyFill="1" applyBorder="1" applyAlignment="1">
      <alignment horizontal="center" vertical="center"/>
    </xf>
    <xf numFmtId="0" fontId="25"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19" fillId="0" borderId="0" xfId="0"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1" fontId="0" fillId="0" borderId="0" xfId="0" applyNumberFormat="1" applyFill="1" applyBorder="1" applyAlignment="1">
      <alignment horizontal="center" vertical="center"/>
    </xf>
    <xf numFmtId="168" fontId="19" fillId="0" borderId="0" xfId="6" applyNumberFormat="1" applyFont="1" applyFill="1" applyBorder="1" applyAlignment="1">
      <alignment horizontal="center" vertical="center"/>
    </xf>
    <xf numFmtId="176" fontId="0" fillId="0" borderId="0" xfId="0" applyNumberFormat="1" applyFill="1" applyBorder="1" applyAlignment="1">
      <alignment horizontal="center" vertical="center"/>
    </xf>
    <xf numFmtId="0" fontId="0" fillId="0" borderId="0" xfId="0" quotePrefix="1" applyFill="1" applyAlignment="1">
      <alignment horizontal="center" vertical="center"/>
    </xf>
    <xf numFmtId="168" fontId="19" fillId="0" borderId="0" xfId="6" quotePrefix="1" applyNumberFormat="1" applyFont="1" applyFill="1" applyBorder="1" applyAlignment="1">
      <alignment horizontal="center" vertical="center"/>
    </xf>
    <xf numFmtId="167" fontId="4" fillId="0" borderId="0" xfId="0" applyNumberFormat="1" applyFont="1" applyFill="1" applyBorder="1" applyAlignment="1" applyProtection="1">
      <alignment horizontal="center" vertical="center"/>
    </xf>
    <xf numFmtId="2" fontId="0" fillId="0" borderId="0" xfId="0" quotePrefix="1" applyNumberFormat="1" applyFill="1" applyBorder="1" applyAlignment="1">
      <alignment horizontal="center" vertical="center"/>
    </xf>
    <xf numFmtId="1" fontId="0" fillId="0" borderId="0" xfId="0" applyNumberFormat="1" applyFill="1" applyAlignment="1">
      <alignment horizontal="center" vertical="center"/>
    </xf>
    <xf numFmtId="0" fontId="28" fillId="0" borderId="0" xfId="0" applyFont="1" applyFill="1"/>
    <xf numFmtId="0" fontId="29" fillId="0" borderId="0" xfId="0" applyFont="1"/>
    <xf numFmtId="179" fontId="0" fillId="0" borderId="0" xfId="0" applyNumberFormat="1" applyFill="1" applyBorder="1" applyAlignment="1" applyProtection="1">
      <alignment horizontal="center"/>
    </xf>
    <xf numFmtId="179" fontId="0" fillId="0" borderId="0" xfId="0" applyNumberFormat="1" applyFill="1" applyBorder="1" applyAlignment="1" applyProtection="1">
      <alignment horizontal="right"/>
    </xf>
    <xf numFmtId="0" fontId="0" fillId="0" borderId="0" xfId="0" applyFont="1" applyFill="1" applyBorder="1"/>
    <xf numFmtId="170" fontId="4" fillId="0" borderId="0" xfId="0" applyNumberFormat="1" applyFont="1" applyFill="1" applyBorder="1" applyAlignment="1">
      <alignment horizontal="center"/>
    </xf>
    <xf numFmtId="170" fontId="0" fillId="0" borderId="0" xfId="0" applyNumberFormat="1" applyFill="1" applyBorder="1" applyAlignment="1">
      <alignment horizontal="center"/>
    </xf>
    <xf numFmtId="170" fontId="0" fillId="0" borderId="0" xfId="0" applyNumberFormat="1" applyFill="1" applyBorder="1" applyAlignment="1" applyProtection="1">
      <alignment horizontal="center"/>
    </xf>
    <xf numFmtId="170" fontId="4" fillId="0" borderId="0" xfId="0" applyNumberFormat="1" applyFont="1" applyFill="1" applyBorder="1" applyAlignment="1">
      <alignment horizontal="center" vertical="center"/>
    </xf>
    <xf numFmtId="174" fontId="0" fillId="0" borderId="0" xfId="0" applyNumberFormat="1" applyFill="1" applyBorder="1" applyAlignment="1">
      <alignment horizontal="right"/>
    </xf>
    <xf numFmtId="2" fontId="0" fillId="0" borderId="0" xfId="0" applyNumberFormat="1" applyFill="1" applyBorder="1" applyAlignment="1">
      <alignment horizontal="left"/>
    </xf>
    <xf numFmtId="170" fontId="0" fillId="0" borderId="0" xfId="0" applyNumberFormat="1" applyFill="1" applyBorder="1" applyAlignment="1" applyProtection="1">
      <alignment horizontal="right"/>
    </xf>
    <xf numFmtId="170" fontId="0" fillId="0" borderId="0" xfId="0" applyNumberFormat="1" applyFill="1" applyBorder="1" applyAlignment="1">
      <alignment horizontal="center" vertical="center"/>
    </xf>
    <xf numFmtId="169" fontId="0" fillId="0" borderId="0" xfId="0" applyNumberFormat="1" applyFill="1" applyBorder="1" applyAlignment="1" applyProtection="1">
      <alignment horizontal="center" vertical="center"/>
    </xf>
    <xf numFmtId="5" fontId="5" fillId="0" borderId="0" xfId="0" applyNumberFormat="1" applyFont="1" applyFill="1" applyBorder="1" applyAlignment="1" applyProtection="1">
      <alignment horizontal="center" vertical="center"/>
    </xf>
    <xf numFmtId="0" fontId="0" fillId="0" borderId="0" xfId="0" applyFill="1" applyAlignment="1">
      <alignment vertical="center"/>
    </xf>
    <xf numFmtId="170" fontId="0" fillId="0" borderId="0" xfId="0" applyNumberFormat="1" applyFill="1" applyBorder="1" applyAlignment="1" applyProtection="1">
      <alignment horizontal="center" vertical="center"/>
    </xf>
    <xf numFmtId="3" fontId="0" fillId="0" borderId="0" xfId="0" quotePrefix="1" applyNumberFormat="1" applyFill="1" applyBorder="1" applyAlignment="1">
      <alignment horizontal="center" vertical="center"/>
    </xf>
    <xf numFmtId="3" fontId="4"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0" xfId="0" applyFill="1" applyBorder="1" applyAlignment="1" applyProtection="1">
      <alignment horizontal="left" vertical="center" wrapText="1"/>
    </xf>
    <xf numFmtId="20" fontId="4" fillId="0" borderId="0" xfId="0" applyNumberFormat="1" applyFont="1" applyFill="1" applyBorder="1" applyAlignment="1" applyProtection="1">
      <alignment vertical="center"/>
    </xf>
    <xf numFmtId="9" fontId="7" fillId="0" borderId="0" xfId="0" applyNumberFormat="1" applyFont="1" applyFill="1" applyBorder="1" applyProtection="1"/>
    <xf numFmtId="165" fontId="1" fillId="0" borderId="0" xfId="0" applyNumberFormat="1" applyFont="1" applyFill="1" applyBorder="1" applyProtection="1"/>
    <xf numFmtId="0" fontId="0" fillId="0" borderId="0" xfId="0" applyFill="1" applyBorder="1" applyAlignment="1">
      <alignment horizontal="left" vertical="center"/>
    </xf>
    <xf numFmtId="0" fontId="23" fillId="0" borderId="0" xfId="0" applyFont="1" applyFill="1" applyAlignment="1">
      <alignment horizontal="justify" wrapText="1"/>
    </xf>
    <xf numFmtId="0" fontId="0" fillId="0" borderId="0" xfId="0" applyFill="1" applyAlignment="1">
      <alignment wrapText="1"/>
    </xf>
    <xf numFmtId="0" fontId="20" fillId="0" borderId="0" xfId="0" applyFont="1" applyFill="1" applyBorder="1"/>
    <xf numFmtId="0" fontId="23" fillId="0" borderId="0" xfId="0" applyFont="1" applyFill="1" applyBorder="1" applyProtection="1"/>
    <xf numFmtId="0" fontId="0" fillId="0" borderId="0" xfId="0" applyFill="1" applyBorder="1" applyAlignment="1" applyProtection="1">
      <alignment horizontal="left" vertical="center"/>
    </xf>
    <xf numFmtId="0" fontId="11" fillId="0" borderId="0" xfId="0" applyFont="1" applyProtection="1"/>
    <xf numFmtId="37" fontId="0" fillId="0" borderId="0" xfId="0" applyNumberFormat="1" applyFont="1" applyFill="1" applyBorder="1" applyProtection="1"/>
    <xf numFmtId="1" fontId="0" fillId="0" borderId="0" xfId="0" applyNumberFormat="1" applyFill="1" applyAlignment="1" applyProtection="1">
      <alignment horizontal="left"/>
    </xf>
    <xf numFmtId="0" fontId="0" fillId="0" borderId="0" xfId="0" applyFill="1" applyAlignment="1" applyProtection="1">
      <alignment horizontal="center" vertical="top" wrapText="1"/>
    </xf>
    <xf numFmtId="0" fontId="0" fillId="0" borderId="0" xfId="0" applyFill="1" applyBorder="1" applyAlignment="1">
      <alignment horizontal="center"/>
    </xf>
    <xf numFmtId="0" fontId="7" fillId="0" borderId="0" xfId="0" applyFont="1" applyFill="1" applyBorder="1" applyAlignment="1">
      <alignment horizontal="right" wrapText="1"/>
    </xf>
  </cellXfs>
  <cellStyles count="9">
    <cellStyle name="Comma [0]" xfId="1" builtinId="6"/>
    <cellStyle name="Currency" xfId="2" builtinId="4"/>
    <cellStyle name="Normal" xfId="0" builtinId="0"/>
    <cellStyle name="Normal_Chino_Bond_SantaRitaPit_WorkingDraft_V1-03" xfId="8"/>
    <cellStyle name="Normal_Demo costs bldgs Cobre 121604" xfId="3"/>
    <cellStyle name="Normal_Earthwork" xfId="4"/>
    <cellStyle name="Normal_Trucks" xfId="5"/>
    <cellStyle name="Percent" xfId="6" builtinId="5"/>
    <cellStyle name="標準_OM"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3092" name="Button 20" hidden="1">
              <a:extLst>
                <a:ext uri="{63B3BB69-23CF-44E3-9099-C40C66FF867C}">
                  <a14:compatExt spid="_x0000_s309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1...Describe</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3095" name="Button 23" hidden="1">
              <a:extLst>
                <a:ext uri="{63B3BB69-23CF-44E3-9099-C40C66FF867C}">
                  <a14:compatExt spid="_x0000_s309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3096" name="Button 24" hidden="1">
              <a:extLst>
                <a:ext uri="{63B3BB69-23CF-44E3-9099-C40C66FF867C}">
                  <a14:compatExt spid="_x0000_s309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8...Loader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3097" name="Button 25" hidden="1">
              <a:extLst>
                <a:ext uri="{63B3BB69-23CF-44E3-9099-C40C66FF867C}">
                  <a14:compatExt spid="_x0000_s309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3098" name="Button 26" hidden="1">
              <a:extLst>
                <a:ext uri="{63B3BB69-23CF-44E3-9099-C40C66FF867C}">
                  <a14:compatExt spid="_x0000_s309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9525</xdr:rowOff>
        </xdr:from>
        <xdr:to>
          <xdr:col>0</xdr:col>
          <xdr:colOff>0</xdr:colOff>
          <xdr:row>18</xdr:row>
          <xdr:rowOff>9525</xdr:rowOff>
        </xdr:to>
        <xdr:sp macro="" textlink="">
          <xdr:nvSpPr>
            <xdr:cNvPr id="3099" name="Button 27" hidden="1">
              <a:extLst>
                <a:ext uri="{63B3BB69-23CF-44E3-9099-C40C66FF867C}">
                  <a14:compatExt spid="_x0000_s309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9525</xdr:rowOff>
        </xdr:from>
        <xdr:to>
          <xdr:col>0</xdr:col>
          <xdr:colOff>0</xdr:colOff>
          <xdr:row>18</xdr:row>
          <xdr:rowOff>9525</xdr:rowOff>
        </xdr:to>
        <xdr:sp macro="" textlink="">
          <xdr:nvSpPr>
            <xdr:cNvPr id="3100" name="Button 28" hidden="1">
              <a:extLst>
                <a:ext uri="{63B3BB69-23CF-44E3-9099-C40C66FF867C}">
                  <a14:compatExt spid="_x0000_s310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endParaRPr lang="en-US"/>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4127" name="Button 31" hidden="1">
              <a:extLst>
                <a:ext uri="{63B3BB69-23CF-44E3-9099-C40C66FF867C}">
                  <a14:compatExt spid="_x0000_s412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4128" name="Button 32" hidden="1">
              <a:extLst>
                <a:ext uri="{63B3BB69-23CF-44E3-9099-C40C66FF867C}">
                  <a14:compatExt spid="_x0000_s412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4129" name="Button 33" hidden="1">
              <a:extLst>
                <a:ext uri="{63B3BB69-23CF-44E3-9099-C40C66FF867C}">
                  <a14:compatExt spid="_x0000_s412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4130" name="Button 34" hidden="1">
              <a:extLst>
                <a:ext uri="{63B3BB69-23CF-44E3-9099-C40C66FF867C}">
                  <a14:compatExt spid="_x0000_s413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8...Loader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4131" name="Button 35" hidden="1">
              <a:extLst>
                <a:ext uri="{63B3BB69-23CF-44E3-9099-C40C66FF867C}">
                  <a14:compatExt spid="_x0000_s413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4132" name="Button 36" hidden="1">
              <a:extLst>
                <a:ext uri="{63B3BB69-23CF-44E3-9099-C40C66FF867C}">
                  <a14:compatExt spid="_x0000_s413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4133" name="Button 37" hidden="1">
              <a:extLst>
                <a:ext uri="{63B3BB69-23CF-44E3-9099-C40C66FF867C}">
                  <a14:compatExt spid="_x0000_s413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0</xdr:colOff>
          <xdr:row>8</xdr:row>
          <xdr:rowOff>0</xdr:rowOff>
        </xdr:to>
        <xdr:sp macro="" textlink="">
          <xdr:nvSpPr>
            <xdr:cNvPr id="4134" name="Button 38" hidden="1">
              <a:extLst>
                <a:ext uri="{63B3BB69-23CF-44E3-9099-C40C66FF867C}">
                  <a14:compatExt spid="_x0000_s413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15..Other</a:t>
              </a:r>
              <a:endParaRPr lang="en-US"/>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5161" name="Button 41" hidden="1">
              <a:extLst>
                <a:ext uri="{63B3BB69-23CF-44E3-9099-C40C66FF867C}">
                  <a14:compatExt spid="_x0000_s516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5162" name="Button 42" hidden="1">
              <a:extLst>
                <a:ext uri="{63B3BB69-23CF-44E3-9099-C40C66FF867C}">
                  <a14:compatExt spid="_x0000_s516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5163" name="Button 43" hidden="1">
              <a:extLst>
                <a:ext uri="{63B3BB69-23CF-44E3-9099-C40C66FF867C}">
                  <a14:compatExt spid="_x0000_s516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4...Earthwrk</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5164" name="Button 44" hidden="1">
              <a:extLst>
                <a:ext uri="{63B3BB69-23CF-44E3-9099-C40C66FF867C}">
                  <a14:compatExt spid="_x0000_s516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8...Loader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5165" name="Button 45" hidden="1">
              <a:extLst>
                <a:ext uri="{63B3BB69-23CF-44E3-9099-C40C66FF867C}">
                  <a14:compatExt spid="_x0000_s516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5166" name="Button 46" hidden="1">
              <a:extLst>
                <a:ext uri="{63B3BB69-23CF-44E3-9099-C40C66FF867C}">
                  <a14:compatExt spid="_x0000_s516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0</xdr:colOff>
          <xdr:row>19</xdr:row>
          <xdr:rowOff>0</xdr:rowOff>
        </xdr:to>
        <xdr:sp macro="" textlink="">
          <xdr:nvSpPr>
            <xdr:cNvPr id="7229" name="Button 61" hidden="1">
              <a:extLst>
                <a:ext uri="{63B3BB69-23CF-44E3-9099-C40C66FF867C}">
                  <a14:compatExt spid="_x0000_s722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0</xdr:colOff>
          <xdr:row>19</xdr:row>
          <xdr:rowOff>0</xdr:rowOff>
        </xdr:to>
        <xdr:sp macro="" textlink="">
          <xdr:nvSpPr>
            <xdr:cNvPr id="7230" name="Button 62" hidden="1">
              <a:extLst>
                <a:ext uri="{63B3BB69-23CF-44E3-9099-C40C66FF867C}">
                  <a14:compatExt spid="_x0000_s723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0</xdr:colOff>
          <xdr:row>19</xdr:row>
          <xdr:rowOff>0</xdr:rowOff>
        </xdr:to>
        <xdr:sp macro="" textlink="">
          <xdr:nvSpPr>
            <xdr:cNvPr id="7231" name="Button 63" hidden="1">
              <a:extLst>
                <a:ext uri="{63B3BB69-23CF-44E3-9099-C40C66FF867C}">
                  <a14:compatExt spid="_x0000_s723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4...Earthwrk</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0</xdr:colOff>
          <xdr:row>19</xdr:row>
          <xdr:rowOff>0</xdr:rowOff>
        </xdr:to>
        <xdr:sp macro="" textlink="">
          <xdr:nvSpPr>
            <xdr:cNvPr id="7232" name="Button 64" hidden="1">
              <a:extLst>
                <a:ext uri="{63B3BB69-23CF-44E3-9099-C40C66FF867C}">
                  <a14:compatExt spid="_x0000_s723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0</xdr:colOff>
          <xdr:row>19</xdr:row>
          <xdr:rowOff>0</xdr:rowOff>
        </xdr:to>
        <xdr:sp macro="" textlink="">
          <xdr:nvSpPr>
            <xdr:cNvPr id="7233" name="Button 65" hidden="1">
              <a:extLst>
                <a:ext uri="{63B3BB69-23CF-44E3-9099-C40C66FF867C}">
                  <a14:compatExt spid="_x0000_s723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0</xdr:colOff>
          <xdr:row>19</xdr:row>
          <xdr:rowOff>0</xdr:rowOff>
        </xdr:to>
        <xdr:sp macro="" textlink="">
          <xdr:nvSpPr>
            <xdr:cNvPr id="7234" name="Button 66" hidden="1">
              <a:extLst>
                <a:ext uri="{63B3BB69-23CF-44E3-9099-C40C66FF867C}">
                  <a14:compatExt spid="_x0000_s723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0</xdr:colOff>
          <xdr:row>19</xdr:row>
          <xdr:rowOff>0</xdr:rowOff>
        </xdr:to>
        <xdr:sp macro="" textlink="">
          <xdr:nvSpPr>
            <xdr:cNvPr id="7235" name="Button 67" hidden="1">
              <a:extLst>
                <a:ext uri="{63B3BB69-23CF-44E3-9099-C40C66FF867C}">
                  <a14:compatExt spid="_x0000_s723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0</xdr:colOff>
          <xdr:row>19</xdr:row>
          <xdr:rowOff>0</xdr:rowOff>
        </xdr:to>
        <xdr:sp macro="" textlink="">
          <xdr:nvSpPr>
            <xdr:cNvPr id="7236" name="Button 68" hidden="1">
              <a:extLst>
                <a:ext uri="{63B3BB69-23CF-44E3-9099-C40C66FF867C}">
                  <a14:compatExt spid="_x0000_s723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endParaRPr lang="en-US"/>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62" name="Button 70" hidden="1">
              <a:extLst>
                <a:ext uri="{63B3BB69-23CF-44E3-9099-C40C66FF867C}">
                  <a14:compatExt spid="_x0000_s826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63" name="Button 71" hidden="1">
              <a:extLst>
                <a:ext uri="{63B3BB69-23CF-44E3-9099-C40C66FF867C}">
                  <a14:compatExt spid="_x0000_s826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1...Describe</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64" name="Button 72" hidden="1">
              <a:extLst>
                <a:ext uri="{63B3BB69-23CF-44E3-9099-C40C66FF867C}">
                  <a14:compatExt spid="_x0000_s8264"/>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65" name="Button 73" hidden="1">
              <a:extLst>
                <a:ext uri="{63B3BB69-23CF-44E3-9099-C40C66FF867C}">
                  <a14:compatExt spid="_x0000_s826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4...Earthwrk</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66" name="Button 74" hidden="1">
              <a:extLst>
                <a:ext uri="{63B3BB69-23CF-44E3-9099-C40C66FF867C}">
                  <a14:compatExt spid="_x0000_s826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67" name="Button 75" hidden="1">
              <a:extLst>
                <a:ext uri="{63B3BB69-23CF-44E3-9099-C40C66FF867C}">
                  <a14:compatExt spid="_x0000_s826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9...Trucks</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68" name="Button 76" hidden="1">
              <a:extLst>
                <a:ext uri="{63B3BB69-23CF-44E3-9099-C40C66FF867C}">
                  <a14:compatExt spid="_x0000_s82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69" name="Button 77" hidden="1">
              <a:extLst>
                <a:ext uri="{63B3BB69-23CF-44E3-9099-C40C66FF867C}">
                  <a14:compatExt spid="_x0000_s826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0</xdr:colOff>
          <xdr:row>3</xdr:row>
          <xdr:rowOff>0</xdr:rowOff>
        </xdr:to>
        <xdr:sp macro="" textlink="">
          <xdr:nvSpPr>
            <xdr:cNvPr id="8270" name="Button 78" hidden="1">
              <a:extLst>
                <a:ext uri="{63B3BB69-23CF-44E3-9099-C40C66FF867C}">
                  <a14:compatExt spid="_x0000_s827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endParaRPr lang="en-US"/>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9295" name="Button 79" hidden="1">
              <a:extLst>
                <a:ext uri="{63B3BB69-23CF-44E3-9099-C40C66FF867C}">
                  <a14:compatExt spid="_x0000_s929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9296" name="Button 80" hidden="1">
              <a:extLst>
                <a:ext uri="{63B3BB69-23CF-44E3-9099-C40C66FF867C}">
                  <a14:compatExt spid="_x0000_s929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4...Earthwrk</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9297" name="Button 81" hidden="1">
              <a:extLst>
                <a:ext uri="{63B3BB69-23CF-44E3-9099-C40C66FF867C}">
                  <a14:compatExt spid="_x0000_s929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9298" name="Button 82" hidden="1">
              <a:extLst>
                <a:ext uri="{63B3BB69-23CF-44E3-9099-C40C66FF867C}">
                  <a14:compatExt spid="_x0000_s929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8...Loader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9299" name="Button 83" hidden="1">
              <a:extLst>
                <a:ext uri="{63B3BB69-23CF-44E3-9099-C40C66FF867C}">
                  <a14:compatExt spid="_x0000_s929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9300" name="Button 84" hidden="1">
              <a:extLst>
                <a:ext uri="{63B3BB69-23CF-44E3-9099-C40C66FF867C}">
                  <a14:compatExt spid="_x0000_s930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13..EarthSum</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9301" name="Button 85" hidden="1">
              <a:extLst>
                <a:ext uri="{63B3BB69-23CF-44E3-9099-C40C66FF867C}">
                  <a14:compatExt spid="_x0000_s93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9303" name="Button 87" hidden="1">
              <a:extLst>
                <a:ext uri="{63B3BB69-23CF-44E3-9099-C40C66FF867C}">
                  <a14:compatExt spid="_x0000_s930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3...Material</a:t>
              </a:r>
              <a:endParaRPr lang="en-US"/>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10339" name="Button 99" hidden="1">
              <a:extLst>
                <a:ext uri="{63B3BB69-23CF-44E3-9099-C40C66FF867C}">
                  <a14:compatExt spid="_x0000_s1033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endParaRPr lang="en-US"/>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0</xdr:colOff>
          <xdr:row>4</xdr:row>
          <xdr:rowOff>0</xdr:rowOff>
        </xdr:to>
        <xdr:sp macro="" textlink="">
          <xdr:nvSpPr>
            <xdr:cNvPr id="11366" name="Button 102" hidden="1">
              <a:extLst>
                <a:ext uri="{63B3BB69-23CF-44E3-9099-C40C66FF867C}">
                  <a14:compatExt spid="_x0000_s1136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2...Demo</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19050</xdr:rowOff>
        </xdr:from>
        <xdr:to>
          <xdr:col>0</xdr:col>
          <xdr:colOff>0</xdr:colOff>
          <xdr:row>15</xdr:row>
          <xdr:rowOff>19050</xdr:rowOff>
        </xdr:to>
        <xdr:sp macro="" textlink="">
          <xdr:nvSpPr>
            <xdr:cNvPr id="11371" name="Button 107" hidden="1">
              <a:extLst>
                <a:ext uri="{63B3BB69-23CF-44E3-9099-C40C66FF867C}">
                  <a14:compatExt spid="_x0000_s1137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11...Scraper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28575</xdr:rowOff>
        </xdr:from>
        <xdr:to>
          <xdr:col>0</xdr:col>
          <xdr:colOff>0</xdr:colOff>
          <xdr:row>23</xdr:row>
          <xdr:rowOff>28575</xdr:rowOff>
        </xdr:to>
        <xdr:sp macro="" textlink="">
          <xdr:nvSpPr>
            <xdr:cNvPr id="11372" name="Button 108" hidden="1">
              <a:extLst>
                <a:ext uri="{63B3BB69-23CF-44E3-9099-C40C66FF867C}">
                  <a14:compatExt spid="_x0000_s1137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14...Reveg</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28575</xdr:rowOff>
        </xdr:from>
        <xdr:to>
          <xdr:col>0</xdr:col>
          <xdr:colOff>0</xdr:colOff>
          <xdr:row>23</xdr:row>
          <xdr:rowOff>28575</xdr:rowOff>
        </xdr:to>
        <xdr:sp macro="" textlink="">
          <xdr:nvSpPr>
            <xdr:cNvPr id="11373" name="Button 109" hidden="1">
              <a:extLst>
                <a:ext uri="{63B3BB69-23CF-44E3-9099-C40C66FF867C}">
                  <a14:compatExt spid="_x0000_s1137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16..BondSum</a:t>
              </a:r>
              <a:endParaRPr lang="en-US"/>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0</xdr:colOff>
          <xdr:row>12</xdr:row>
          <xdr:rowOff>0</xdr:rowOff>
        </xdr:to>
        <xdr:sp macro="" textlink="">
          <xdr:nvSpPr>
            <xdr:cNvPr id="13436" name="Button 124" hidden="1">
              <a:extLst>
                <a:ext uri="{63B3BB69-23CF-44E3-9099-C40C66FF867C}">
                  <a14:compatExt spid="_x0000_s1343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4...Earthwrk</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0</xdr:colOff>
          <xdr:row>12</xdr:row>
          <xdr:rowOff>0</xdr:rowOff>
        </xdr:to>
        <xdr:sp macro="" textlink="">
          <xdr:nvSpPr>
            <xdr:cNvPr id="13437" name="Button 125" hidden="1">
              <a:extLst>
                <a:ext uri="{63B3BB69-23CF-44E3-9099-C40C66FF867C}">
                  <a14:compatExt spid="_x0000_s1343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0</xdr:colOff>
          <xdr:row>14</xdr:row>
          <xdr:rowOff>0</xdr:rowOff>
        </xdr:to>
        <xdr:sp macro="" textlink="">
          <xdr:nvSpPr>
            <xdr:cNvPr id="14471" name="Button 135" hidden="1">
              <a:extLst>
                <a:ext uri="{63B3BB69-23CF-44E3-9099-C40C66FF867C}">
                  <a14:compatExt spid="_x0000_s1447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5...Dozer</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0</xdr:colOff>
          <xdr:row>14</xdr:row>
          <xdr:rowOff>0</xdr:rowOff>
        </xdr:to>
        <xdr:sp macro="" textlink="">
          <xdr:nvSpPr>
            <xdr:cNvPr id="14472" name="Button 136" hidden="1">
              <a:extLst>
                <a:ext uri="{63B3BB69-23CF-44E3-9099-C40C66FF867C}">
                  <a14:compatExt spid="_x0000_s1447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6...Grading</a:t>
              </a:r>
              <a:endParaRPr lang="en-US"/>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9.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printerSettings" Target="../printerSettings/printerSettings12.bin"/><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vmlDrawing" Target="../drawings/vmlDrawing2.vml"/><Relationship Id="rId10" Type="http://schemas.openxmlformats.org/officeDocument/2006/relationships/ctrlProp" Target="../ctrlProps/ctrlProp12.xml"/><Relationship Id="rId4" Type="http://schemas.openxmlformats.org/officeDocument/2006/relationships/drawing" Target="../drawings/drawing2.x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printerSettings" Target="../printerSettings/printerSettings15.bin"/><Relationship Id="rId7" Type="http://schemas.openxmlformats.org/officeDocument/2006/relationships/ctrlProp" Target="../ctrlProps/ctrlProp1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vmlDrawing" Target="../drawings/vmlDrawing3.vml"/><Relationship Id="rId10" Type="http://schemas.openxmlformats.org/officeDocument/2006/relationships/ctrlProp" Target="../ctrlProps/ctrlProp20.xml"/><Relationship Id="rId4" Type="http://schemas.openxmlformats.org/officeDocument/2006/relationships/drawing" Target="../drawings/drawing3.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printerSettings" Target="../printerSettings/printerSettings21.bin"/><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vmlDrawing" Target="../drawings/vmlDrawing4.vml"/><Relationship Id="rId10" Type="http://schemas.openxmlformats.org/officeDocument/2006/relationships/ctrlProp" Target="../ctrlProps/ctrlProp26.xml"/><Relationship Id="rId4" Type="http://schemas.openxmlformats.org/officeDocument/2006/relationships/drawing" Target="../drawings/drawing4.xml"/><Relationship Id="rId9"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printerSettings" Target="../printerSettings/printerSettings24.bin"/><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vmlDrawing" Target="../drawings/vmlDrawing5.vml"/><Relationship Id="rId10" Type="http://schemas.openxmlformats.org/officeDocument/2006/relationships/ctrlProp" Target="../ctrlProps/ctrlProp34.xml"/><Relationship Id="rId4" Type="http://schemas.openxmlformats.org/officeDocument/2006/relationships/drawing" Target="../drawings/drawing5.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printerSettings" Target="../printerSettings/printerSettings27.bin"/><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vmlDrawing" Target="../drawings/vmlDrawing6.vml"/><Relationship Id="rId10" Type="http://schemas.openxmlformats.org/officeDocument/2006/relationships/ctrlProp" Target="../ctrlProps/ctrlProp43.xml"/><Relationship Id="rId4" Type="http://schemas.openxmlformats.org/officeDocument/2006/relationships/drawing" Target="../drawings/drawing6.xml"/><Relationship Id="rId9" Type="http://schemas.openxmlformats.org/officeDocument/2006/relationships/ctrlProp" Target="../ctrlProps/ctrlProp42.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4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printerSettings" Target="../printerSettings/printerSettings39.bin"/><Relationship Id="rId7" Type="http://schemas.openxmlformats.org/officeDocument/2006/relationships/ctrlProp" Target="../ctrlProps/ctrlProp4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trlProp" Target="../ctrlProps/ctrlProp48.xml"/><Relationship Id="rId5" Type="http://schemas.openxmlformats.org/officeDocument/2006/relationships/vmlDrawing" Target="../drawings/vmlDrawing8.vml"/><Relationship Id="rId4" Type="http://schemas.openxmlformats.org/officeDocument/2006/relationships/drawing" Target="../drawings/drawing8.xml"/><Relationship Id="rId9"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ctrlProp" Target="../ctrlProps/ctrlProp53.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ctrlProp" Target="../ctrlProps/ctrlProp52.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ctrlProp" Target="../ctrlProps/ctrlProp55.xml"/><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trlProp" Target="../ctrlProps/ctrlProp54.xm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enableFormatConditionsCalculation="0">
    <pageSetUpPr fitToPage="1"/>
  </sheetPr>
  <dimension ref="A1:D22"/>
  <sheetViews>
    <sheetView tabSelected="1" defaultGridColor="0" view="pageBreakPreview" colorId="22" zoomScaleNormal="75" zoomScaleSheetLayoutView="100" workbookViewId="0">
      <selection activeCell="C13" sqref="C13"/>
    </sheetView>
  </sheetViews>
  <sheetFormatPr defaultColWidth="9.77734375" defaultRowHeight="15" x14ac:dyDescent="0.2"/>
  <cols>
    <col min="1" max="1" width="27.5546875" style="35" customWidth="1"/>
    <col min="2" max="2" width="25.77734375" style="35" customWidth="1"/>
    <col min="3" max="3" width="22.6640625" style="35" customWidth="1"/>
    <col min="4" max="16384" width="9.77734375" style="35"/>
  </cols>
  <sheetData>
    <row r="1" spans="1:4" x14ac:dyDescent="0.2">
      <c r="A1" s="62"/>
      <c r="B1" s="62"/>
      <c r="C1" s="19" t="s">
        <v>246</v>
      </c>
      <c r="D1" s="10"/>
    </row>
    <row r="2" spans="1:4" x14ac:dyDescent="0.2">
      <c r="C2" s="318" t="s">
        <v>280</v>
      </c>
      <c r="D2" s="10"/>
    </row>
    <row r="3" spans="1:4" x14ac:dyDescent="0.2">
      <c r="A3" s="135" t="s">
        <v>0</v>
      </c>
      <c r="B3" s="62"/>
      <c r="C3" s="319">
        <v>41955</v>
      </c>
      <c r="D3" s="10"/>
    </row>
    <row r="4" spans="1:4" x14ac:dyDescent="0.2">
      <c r="C4" s="159"/>
      <c r="D4" s="10"/>
    </row>
    <row r="5" spans="1:4" x14ac:dyDescent="0.2">
      <c r="A5" s="25" t="s">
        <v>1</v>
      </c>
      <c r="B5" s="252" t="s">
        <v>255</v>
      </c>
      <c r="C5" s="253"/>
      <c r="D5" s="10"/>
    </row>
    <row r="6" spans="1:4" x14ac:dyDescent="0.2">
      <c r="A6" s="26"/>
      <c r="B6" s="62" t="s">
        <v>256</v>
      </c>
      <c r="C6" s="254"/>
      <c r="D6" s="10"/>
    </row>
    <row r="7" spans="1:4" x14ac:dyDescent="0.2">
      <c r="A7" s="26"/>
      <c r="C7" s="254"/>
      <c r="D7" s="10"/>
    </row>
    <row r="8" spans="1:4" x14ac:dyDescent="0.2">
      <c r="A8" s="26"/>
      <c r="B8" s="62"/>
      <c r="C8" s="150"/>
      <c r="D8" s="10"/>
    </row>
    <row r="9" spans="1:4" x14ac:dyDescent="0.2">
      <c r="A9" s="26"/>
      <c r="B9" s="62"/>
      <c r="C9" s="150"/>
      <c r="D9" s="10"/>
    </row>
    <row r="10" spans="1:4" x14ac:dyDescent="0.2">
      <c r="A10" s="26"/>
      <c r="B10" s="62"/>
      <c r="C10" s="150"/>
      <c r="D10" s="10"/>
    </row>
    <row r="11" spans="1:4" x14ac:dyDescent="0.2">
      <c r="A11" s="26" t="s">
        <v>186</v>
      </c>
      <c r="B11" s="395">
        <f>SUM('14   Reveg'!C11:C12)</f>
        <v>62.47</v>
      </c>
      <c r="C11" s="150"/>
      <c r="D11" s="10"/>
    </row>
    <row r="12" spans="1:4" x14ac:dyDescent="0.2">
      <c r="A12" s="26"/>
      <c r="B12" s="62"/>
      <c r="C12" s="150"/>
      <c r="D12" s="10"/>
    </row>
    <row r="13" spans="1:4" x14ac:dyDescent="0.2">
      <c r="A13" s="26" t="s">
        <v>2</v>
      </c>
      <c r="B13" s="62" t="s">
        <v>61</v>
      </c>
      <c r="C13" s="150"/>
      <c r="D13" s="10"/>
    </row>
    <row r="14" spans="1:4" x14ac:dyDescent="0.2">
      <c r="A14" s="26"/>
      <c r="B14" s="62"/>
      <c r="C14" s="150"/>
      <c r="D14" s="10"/>
    </row>
    <row r="15" spans="1:4" x14ac:dyDescent="0.2">
      <c r="A15" s="26"/>
      <c r="B15" s="16"/>
      <c r="C15" s="151"/>
    </row>
    <row r="16" spans="1:4" ht="16.5" thickBot="1" x14ac:dyDescent="0.3">
      <c r="A16" s="27"/>
      <c r="C16" s="151"/>
    </row>
    <row r="17" spans="1:3" ht="16.5" thickTop="1" x14ac:dyDescent="0.25">
      <c r="A17" s="152" t="s">
        <v>155</v>
      </c>
      <c r="B17" s="153">
        <f>'16   Sum'!D27</f>
        <v>1303120.2979062521</v>
      </c>
      <c r="C17" s="167"/>
    </row>
    <row r="18" spans="1:3" ht="15.75" x14ac:dyDescent="0.25">
      <c r="A18" s="60" t="s">
        <v>154</v>
      </c>
      <c r="B18" s="154"/>
      <c r="C18" s="168"/>
    </row>
    <row r="19" spans="1:3" ht="15.75" x14ac:dyDescent="0.25">
      <c r="A19" s="155"/>
      <c r="B19" s="154"/>
      <c r="C19" s="320"/>
    </row>
    <row r="20" spans="1:3" ht="15.75" x14ac:dyDescent="0.25">
      <c r="A20" s="152" t="s">
        <v>336</v>
      </c>
      <c r="B20" s="156"/>
      <c r="C20" s="169" t="s">
        <v>245</v>
      </c>
    </row>
    <row r="21" spans="1:3" ht="16.5" thickBot="1" x14ac:dyDescent="0.3">
      <c r="A21" s="157"/>
      <c r="B21" s="158"/>
      <c r="C21" s="170"/>
    </row>
    <row r="22" spans="1:3" ht="15.75" thickTop="1" x14ac:dyDescent="0.2"/>
  </sheetData>
  <customSheetViews>
    <customSheetView guid="{022582FA-9605-4A7F-B587-E5659EE41F6B}" scale="75" colorId="22" showPageBreaks="1" printArea="1" showRuler="0">
      <selection activeCell="F26" sqref="F26"/>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selection activeCell="B38" sqref="B38"/>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75" right="0.75" top="1" bottom="1" header="0.5" footer="0.5"/>
  <pageSetup orientation="landscape" horizontalDpi="300" verticalDpi="300" r:id="rId3"/>
  <headerFooter alignWithMargins="0">
    <oddFooter>&amp;C&amp;F
&amp;   Mag Tails Sheet 1
&amp;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7"/>
  <sheetViews>
    <sheetView view="pageBreakPreview" zoomScale="60" zoomScaleNormal="75" zoomScaleSheetLayoutView="100" workbookViewId="0">
      <selection activeCell="C41" sqref="C41"/>
    </sheetView>
  </sheetViews>
  <sheetFormatPr defaultColWidth="8.77734375" defaultRowHeight="15" x14ac:dyDescent="0.2"/>
  <cols>
    <col min="1" max="1" width="37.5546875" style="35" customWidth="1"/>
    <col min="2" max="2" width="11.77734375" style="35" customWidth="1"/>
    <col min="3" max="3" width="5.21875" style="35" customWidth="1"/>
    <col min="4" max="4" width="5.33203125" style="35" customWidth="1"/>
    <col min="5" max="5" width="5" style="35" customWidth="1"/>
    <col min="6" max="6" width="9.88671875" style="35" customWidth="1"/>
    <col min="7" max="7" width="4" style="35" customWidth="1"/>
    <col min="8" max="8" width="7.77734375" style="35" customWidth="1"/>
    <col min="9" max="9" width="9.5546875" style="35" customWidth="1"/>
    <col min="10" max="10" width="15.88671875" style="35" customWidth="1"/>
    <col min="11" max="11" width="9.21875" style="35" customWidth="1"/>
    <col min="12" max="12" width="14.6640625" style="35" customWidth="1"/>
    <col min="13" max="16384" width="8.77734375" style="35"/>
  </cols>
  <sheetData>
    <row r="1" spans="1:10" x14ac:dyDescent="0.2">
      <c r="A1" s="62"/>
      <c r="B1" s="62"/>
      <c r="C1" s="62"/>
      <c r="D1" s="62"/>
      <c r="J1" s="66" t="str">
        <f>'1 General'!C1</f>
        <v>Cobre</v>
      </c>
    </row>
    <row r="2" spans="1:10" x14ac:dyDescent="0.2">
      <c r="A2" s="62"/>
      <c r="B2" s="62"/>
      <c r="C2" s="62"/>
      <c r="D2" s="62"/>
      <c r="J2" s="66" t="s">
        <v>281</v>
      </c>
    </row>
    <row r="3" spans="1:10" x14ac:dyDescent="0.2">
      <c r="A3" s="135" t="s">
        <v>60</v>
      </c>
      <c r="B3" s="62"/>
      <c r="C3" s="62"/>
      <c r="D3" s="62"/>
      <c r="J3" s="125">
        <f>'1 General'!C3</f>
        <v>41955</v>
      </c>
    </row>
    <row r="5" spans="1:10" x14ac:dyDescent="0.2">
      <c r="A5" s="35" t="s">
        <v>187</v>
      </c>
    </row>
    <row r="7" spans="1:10" ht="26.25" x14ac:dyDescent="0.4">
      <c r="A7" s="361" t="s">
        <v>210</v>
      </c>
    </row>
  </sheetData>
  <customSheetViews>
    <customSheetView guid="{022582FA-9605-4A7F-B587-E5659EE41F6B}" scale="75" showPageBreaks="1" printArea="1" showRuler="0">
      <selection activeCell="G3" sqref="G3"/>
      <colBreaks count="1" manualBreakCount="1">
        <brk id="10" max="1048575"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showRuler="0">
      <selection activeCell="G3" sqref="G3"/>
      <colBreaks count="1" manualBreakCount="1">
        <brk id="10" max="1048575"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75" right="0.75" top="1" bottom="1" header="0.5" footer="0.5"/>
  <pageSetup scale="67" orientation="landscape" r:id="rId3"/>
  <headerFooter alignWithMargins="0">
    <oddFooter>&amp;C&amp;F
&amp;   Mag Tails Sheet 2
&amp;
Page &amp;P of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
    <pageSetUpPr fitToPage="1"/>
  </sheetPr>
  <dimension ref="A1:G89"/>
  <sheetViews>
    <sheetView defaultGridColor="0" view="pageBreakPreview" colorId="22" zoomScale="75" zoomScaleNormal="75" zoomScaleSheetLayoutView="75" workbookViewId="0">
      <pane ySplit="8" topLeftCell="A9" activePane="bottomLeft" state="frozen"/>
      <selection activeCell="C41" sqref="C41"/>
      <selection pane="bottomLeft" activeCell="C41" sqref="C41"/>
    </sheetView>
  </sheetViews>
  <sheetFormatPr defaultColWidth="9.77734375" defaultRowHeight="15" x14ac:dyDescent="0.2"/>
  <cols>
    <col min="1" max="1" width="6.109375" style="35" customWidth="1"/>
    <col min="2" max="2" width="25.21875" style="35" customWidth="1"/>
    <col min="3" max="3" width="36.44140625" style="35" customWidth="1"/>
    <col min="4" max="4" width="41.6640625" style="35" customWidth="1"/>
    <col min="5" max="5" width="9.33203125" style="35" customWidth="1"/>
    <col min="6" max="6" width="7.77734375" style="35" customWidth="1"/>
    <col min="7" max="7" width="11.5546875" style="35" customWidth="1"/>
    <col min="8" max="8" width="9.77734375" style="35"/>
    <col min="9" max="9" width="10.33203125" style="35" bestFit="1" customWidth="1"/>
    <col min="10" max="16384" width="9.77734375" style="35"/>
  </cols>
  <sheetData>
    <row r="1" spans="1:7" x14ac:dyDescent="0.2">
      <c r="A1" s="62"/>
      <c r="B1" s="62"/>
      <c r="C1" s="62"/>
      <c r="E1" s="62"/>
      <c r="F1" s="62"/>
      <c r="G1" s="116" t="str">
        <f>'1 General'!C1</f>
        <v>Cobre</v>
      </c>
    </row>
    <row r="2" spans="1:7" ht="18" x14ac:dyDescent="0.25">
      <c r="A2" s="393"/>
      <c r="B2" s="62"/>
      <c r="C2" s="62"/>
      <c r="D2" s="62"/>
      <c r="E2" s="62"/>
      <c r="F2" s="62"/>
      <c r="G2" s="116" t="s">
        <v>282</v>
      </c>
    </row>
    <row r="3" spans="1:7" x14ac:dyDescent="0.2">
      <c r="A3" s="135" t="s">
        <v>15</v>
      </c>
      <c r="B3" s="62"/>
      <c r="C3" s="62"/>
      <c r="D3" s="62"/>
      <c r="E3" s="62"/>
      <c r="F3" s="62"/>
      <c r="G3" s="125">
        <f>'1 General'!$C$3</f>
        <v>41955</v>
      </c>
    </row>
    <row r="4" spans="1:7" x14ac:dyDescent="0.2">
      <c r="A4" s="135"/>
      <c r="B4" s="62"/>
      <c r="C4" s="62"/>
      <c r="D4" s="62"/>
      <c r="E4" s="62"/>
      <c r="F4" s="62"/>
      <c r="G4" s="125"/>
    </row>
    <row r="5" spans="1:7" x14ac:dyDescent="0.2">
      <c r="A5" s="135"/>
      <c r="B5" s="62"/>
      <c r="C5" s="62"/>
      <c r="D5" s="62"/>
      <c r="E5" s="396" t="s">
        <v>199</v>
      </c>
      <c r="F5" s="62"/>
      <c r="G5" s="125"/>
    </row>
    <row r="6" spans="1:7" ht="15" customHeight="1" x14ac:dyDescent="0.2">
      <c r="A6" s="62"/>
      <c r="B6" s="62"/>
      <c r="C6" s="137"/>
      <c r="D6" s="137"/>
      <c r="E6" s="396"/>
      <c r="F6" s="137"/>
      <c r="G6" s="137"/>
    </row>
    <row r="7" spans="1:7" x14ac:dyDescent="0.2">
      <c r="A7" s="62" t="s">
        <v>6</v>
      </c>
      <c r="B7" s="62" t="s">
        <v>8</v>
      </c>
      <c r="C7" s="137" t="s">
        <v>116</v>
      </c>
      <c r="D7" s="137" t="s">
        <v>117</v>
      </c>
      <c r="E7" s="396"/>
      <c r="F7" s="137" t="s">
        <v>19</v>
      </c>
      <c r="G7" s="137" t="s">
        <v>20</v>
      </c>
    </row>
    <row r="8" spans="1:7" x14ac:dyDescent="0.2">
      <c r="A8" s="138"/>
      <c r="B8" s="138"/>
      <c r="C8" s="139"/>
      <c r="D8" s="139"/>
      <c r="E8" s="139" t="s">
        <v>12</v>
      </c>
      <c r="F8" s="139" t="s">
        <v>62</v>
      </c>
      <c r="G8" s="139"/>
    </row>
    <row r="9" spans="1:7" ht="15" customHeight="1" x14ac:dyDescent="0.2">
      <c r="A9" s="61">
        <v>1100</v>
      </c>
      <c r="B9" s="35" t="s">
        <v>200</v>
      </c>
      <c r="C9" s="179" t="s">
        <v>245</v>
      </c>
      <c r="D9" s="35" t="s">
        <v>156</v>
      </c>
      <c r="E9" s="141">
        <f>Earthwork.xls!D13</f>
        <v>250</v>
      </c>
      <c r="F9" s="206" t="s">
        <v>208</v>
      </c>
      <c r="G9" s="66" t="s">
        <v>310</v>
      </c>
    </row>
    <row r="10" spans="1:7" ht="15" customHeight="1" x14ac:dyDescent="0.2">
      <c r="A10" s="61">
        <v>1101</v>
      </c>
      <c r="B10" s="35" t="s">
        <v>201</v>
      </c>
      <c r="C10" s="179" t="s">
        <v>245</v>
      </c>
      <c r="D10" s="35" t="s">
        <v>156</v>
      </c>
      <c r="E10" s="141">
        <f>Earthwork.xls!D14</f>
        <v>300</v>
      </c>
      <c r="F10" s="206" t="s">
        <v>208</v>
      </c>
      <c r="G10" s="66" t="s">
        <v>310</v>
      </c>
    </row>
    <row r="11" spans="1:7" ht="15" customHeight="1" x14ac:dyDescent="0.2">
      <c r="A11" s="61">
        <v>1102</v>
      </c>
      <c r="B11" s="35" t="s">
        <v>257</v>
      </c>
      <c r="C11" s="179" t="str">
        <f>D13</f>
        <v xml:space="preserve">Magnetite Tailings Top </v>
      </c>
      <c r="D11" s="35" t="s">
        <v>156</v>
      </c>
      <c r="E11" s="292" t="s">
        <v>156</v>
      </c>
      <c r="F11" s="206" t="s">
        <v>208</v>
      </c>
      <c r="G11" s="66" t="s">
        <v>310</v>
      </c>
    </row>
    <row r="12" spans="1:7" ht="15" customHeight="1" x14ac:dyDescent="0.2">
      <c r="A12" s="61">
        <v>1103</v>
      </c>
      <c r="B12" s="35" t="s">
        <v>257</v>
      </c>
      <c r="C12" s="179" t="str">
        <f>D14</f>
        <v>Magnetite Tailings Outslopes</v>
      </c>
      <c r="D12" s="35" t="s">
        <v>156</v>
      </c>
      <c r="E12" s="292" t="s">
        <v>156</v>
      </c>
      <c r="F12" s="206" t="s">
        <v>208</v>
      </c>
      <c r="G12" s="66" t="s">
        <v>310</v>
      </c>
    </row>
    <row r="13" spans="1:7" ht="15.75" customHeight="1" x14ac:dyDescent="0.2">
      <c r="A13" s="242">
        <v>1200</v>
      </c>
      <c r="B13" s="54" t="s">
        <v>211</v>
      </c>
      <c r="C13" s="321" t="s">
        <v>342</v>
      </c>
      <c r="D13" s="245" t="str">
        <f>C10&amp;" Top "</f>
        <v xml:space="preserve">Magnetite Tailings Top </v>
      </c>
      <c r="E13" s="63"/>
      <c r="F13" s="64"/>
      <c r="G13" s="66" t="s">
        <v>311</v>
      </c>
    </row>
    <row r="14" spans="1:7" ht="15.75" customHeight="1" x14ac:dyDescent="0.2">
      <c r="A14" s="242">
        <v>1201</v>
      </c>
      <c r="B14" s="54" t="s">
        <v>211</v>
      </c>
      <c r="C14" s="255" t="str">
        <f>$C$13</f>
        <v>North OB Stockpile, OB-5 Stockpile</v>
      </c>
      <c r="D14" s="245" t="str">
        <f>C9&amp; " Outslopes"</f>
        <v>Magnetite Tailings Outslopes</v>
      </c>
      <c r="E14" s="63"/>
      <c r="F14" s="64"/>
      <c r="G14" s="66" t="s">
        <v>311</v>
      </c>
    </row>
    <row r="15" spans="1:7" x14ac:dyDescent="0.2">
      <c r="A15" s="242">
        <v>1202</v>
      </c>
      <c r="B15" s="54" t="s">
        <v>212</v>
      </c>
      <c r="C15" s="255" t="str">
        <f>C13</f>
        <v>North OB Stockpile, OB-5 Stockpile</v>
      </c>
      <c r="D15" s="250" t="str">
        <f>D13</f>
        <v xml:space="preserve">Magnetite Tailings Top </v>
      </c>
      <c r="E15" s="243">
        <f>'9   Trucks'!M13</f>
        <v>6480</v>
      </c>
      <c r="F15" s="244" t="s">
        <v>259</v>
      </c>
      <c r="G15" s="30" t="s">
        <v>258</v>
      </c>
    </row>
    <row r="16" spans="1:7" x14ac:dyDescent="0.2">
      <c r="A16" s="242">
        <v>1203</v>
      </c>
      <c r="B16" s="54" t="s">
        <v>212</v>
      </c>
      <c r="C16" s="255" t="str">
        <f>C13</f>
        <v>North OB Stockpile, OB-5 Stockpile</v>
      </c>
      <c r="D16" s="250" t="str">
        <f>D14</f>
        <v>Magnetite Tailings Outslopes</v>
      </c>
      <c r="E16" s="243">
        <f>'9   Trucks'!M14</f>
        <v>6480</v>
      </c>
      <c r="F16" s="244" t="s">
        <v>259</v>
      </c>
      <c r="G16" s="30" t="s">
        <v>258</v>
      </c>
    </row>
    <row r="17" spans="1:7" x14ac:dyDescent="0.2">
      <c r="A17" s="242">
        <v>1300</v>
      </c>
      <c r="B17" s="42" t="s">
        <v>213</v>
      </c>
      <c r="C17" s="250" t="str">
        <f>D15</f>
        <v xml:space="preserve">Magnetite Tailings Top </v>
      </c>
      <c r="D17" s="207" t="s">
        <v>156</v>
      </c>
      <c r="E17" s="63"/>
      <c r="F17" s="140"/>
      <c r="G17" s="66" t="s">
        <v>310</v>
      </c>
    </row>
    <row r="18" spans="1:7" x14ac:dyDescent="0.2">
      <c r="A18" s="242">
        <v>1301</v>
      </c>
      <c r="B18" s="42" t="s">
        <v>213</v>
      </c>
      <c r="C18" s="250" t="str">
        <f>D16</f>
        <v>Magnetite Tailings Outslopes</v>
      </c>
      <c r="D18" s="207" t="s">
        <v>156</v>
      </c>
      <c r="E18" s="63"/>
      <c r="F18" s="140"/>
      <c r="G18" s="66" t="s">
        <v>310</v>
      </c>
    </row>
    <row r="19" spans="1:7" s="10" customFormat="1" ht="15" customHeight="1" x14ac:dyDescent="0.2">
      <c r="A19" s="143">
        <v>1400</v>
      </c>
      <c r="B19" s="120" t="s">
        <v>320</v>
      </c>
      <c r="C19" s="160"/>
      <c r="D19" s="35"/>
      <c r="E19" s="63"/>
      <c r="F19" s="140"/>
      <c r="G19" s="51" t="s">
        <v>321</v>
      </c>
    </row>
    <row r="20" spans="1:7" x14ac:dyDescent="0.2">
      <c r="A20" s="143">
        <v>1401</v>
      </c>
      <c r="B20" s="54" t="s">
        <v>131</v>
      </c>
      <c r="C20" s="160"/>
      <c r="E20" s="63"/>
      <c r="F20" s="140"/>
      <c r="G20" s="66" t="s">
        <v>322</v>
      </c>
    </row>
    <row r="21" spans="1:7" ht="15" customHeight="1" x14ac:dyDescent="0.2">
      <c r="A21" s="143"/>
      <c r="B21" s="54"/>
      <c r="C21" s="160"/>
      <c r="E21" s="63"/>
      <c r="F21" s="140"/>
      <c r="G21" s="112"/>
    </row>
    <row r="22" spans="1:7" ht="15" customHeight="1" x14ac:dyDescent="0.2">
      <c r="A22" s="143"/>
      <c r="B22" s="54"/>
      <c r="C22" s="160"/>
      <c r="E22" s="63"/>
      <c r="F22" s="140"/>
      <c r="G22" s="66"/>
    </row>
    <row r="23" spans="1:7" ht="15" customHeight="1" x14ac:dyDescent="0.2">
      <c r="A23" s="143"/>
      <c r="B23" s="54"/>
      <c r="C23" s="160"/>
      <c r="E23" s="63"/>
      <c r="F23" s="140"/>
      <c r="G23" s="66"/>
    </row>
    <row r="24" spans="1:7" ht="15" customHeight="1" x14ac:dyDescent="0.2">
      <c r="A24" s="143"/>
      <c r="B24" s="54"/>
      <c r="C24" s="160"/>
      <c r="E24" s="63"/>
      <c r="F24" s="140"/>
      <c r="G24" s="66"/>
    </row>
    <row r="25" spans="1:7" ht="15" customHeight="1" x14ac:dyDescent="0.2">
      <c r="A25" s="147"/>
      <c r="E25" s="63"/>
      <c r="F25" s="65"/>
      <c r="G25" s="66"/>
    </row>
    <row r="26" spans="1:7" ht="15" customHeight="1" x14ac:dyDescent="0.2">
      <c r="A26" s="147"/>
      <c r="E26" s="63"/>
      <c r="F26" s="65"/>
      <c r="G26" s="66"/>
    </row>
    <row r="27" spans="1:7" ht="15" customHeight="1" x14ac:dyDescent="0.2">
      <c r="A27" s="147"/>
      <c r="E27" s="63"/>
      <c r="F27" s="65"/>
      <c r="G27" s="66"/>
    </row>
    <row r="28" spans="1:7" ht="15" customHeight="1" x14ac:dyDescent="0.2">
      <c r="A28" s="147"/>
      <c r="E28" s="63"/>
      <c r="F28" s="65"/>
      <c r="G28" s="66"/>
    </row>
    <row r="29" spans="1:7" ht="15" customHeight="1" x14ac:dyDescent="0.2">
      <c r="A29" s="147"/>
      <c r="E29" s="63"/>
      <c r="F29" s="65"/>
      <c r="G29" s="66"/>
    </row>
    <row r="30" spans="1:7" ht="15" customHeight="1" x14ac:dyDescent="0.2">
      <c r="A30" s="147"/>
      <c r="B30" s="54"/>
      <c r="C30" s="54"/>
      <c r="D30" s="54"/>
      <c r="E30" s="63"/>
      <c r="F30" s="140"/>
      <c r="G30" s="66"/>
    </row>
    <row r="31" spans="1:7" ht="15" customHeight="1" x14ac:dyDescent="0.2">
      <c r="A31" s="147"/>
      <c r="B31" s="54"/>
      <c r="C31" s="54"/>
      <c r="D31" s="54"/>
      <c r="E31" s="63"/>
      <c r="F31" s="148"/>
      <c r="G31" s="66"/>
    </row>
    <row r="32" spans="1:7" ht="15" customHeight="1" x14ac:dyDescent="0.2">
      <c r="A32" s="147"/>
      <c r="B32" s="54"/>
      <c r="C32" s="54"/>
      <c r="D32" s="54"/>
      <c r="E32" s="63"/>
      <c r="F32" s="140"/>
      <c r="G32" s="66"/>
    </row>
    <row r="33" spans="1:7" ht="15" customHeight="1" x14ac:dyDescent="0.2">
      <c r="A33" s="147"/>
      <c r="B33" s="54"/>
      <c r="C33" s="54"/>
      <c r="D33" s="54"/>
      <c r="E33" s="63"/>
      <c r="F33" s="148"/>
      <c r="G33" s="66"/>
    </row>
    <row r="34" spans="1:7" ht="15" customHeight="1" x14ac:dyDescent="0.2">
      <c r="A34" s="147"/>
      <c r="B34" s="54"/>
      <c r="C34" s="54"/>
      <c r="D34" s="54"/>
      <c r="E34" s="63"/>
      <c r="F34" s="148"/>
      <c r="G34" s="66"/>
    </row>
    <row r="35" spans="1:7" ht="15" customHeight="1" x14ac:dyDescent="0.2">
      <c r="A35" s="147"/>
      <c r="E35" s="63"/>
      <c r="F35" s="140"/>
      <c r="G35" s="66"/>
    </row>
    <row r="36" spans="1:7" ht="15" customHeight="1" x14ac:dyDescent="0.2">
      <c r="A36" s="147"/>
      <c r="E36" s="63"/>
      <c r="F36" s="140"/>
      <c r="G36" s="66"/>
    </row>
    <row r="37" spans="1:7" ht="15" customHeight="1" x14ac:dyDescent="0.2">
      <c r="A37" s="147"/>
      <c r="E37" s="63"/>
      <c r="F37" s="140"/>
      <c r="G37" s="66"/>
    </row>
    <row r="38" spans="1:7" ht="15" customHeight="1" x14ac:dyDescent="0.2">
      <c r="A38" s="143"/>
      <c r="E38" s="63"/>
      <c r="F38" s="140"/>
      <c r="G38" s="66"/>
    </row>
    <row r="39" spans="1:7" ht="15" customHeight="1" x14ac:dyDescent="0.2">
      <c r="A39" s="147"/>
      <c r="E39" s="63"/>
      <c r="F39" s="148"/>
      <c r="G39" s="66"/>
    </row>
    <row r="40" spans="1:7" x14ac:dyDescent="0.2">
      <c r="A40" s="147"/>
      <c r="E40" s="63"/>
      <c r="F40" s="64"/>
      <c r="G40" s="66"/>
    </row>
    <row r="41" spans="1:7" x14ac:dyDescent="0.2">
      <c r="A41" s="147"/>
      <c r="E41" s="63"/>
      <c r="F41" s="148"/>
      <c r="G41" s="66"/>
    </row>
    <row r="42" spans="1:7" x14ac:dyDescent="0.2">
      <c r="A42" s="147"/>
      <c r="E42" s="63"/>
      <c r="F42" s="140"/>
      <c r="G42" s="66"/>
    </row>
    <row r="43" spans="1:7" x14ac:dyDescent="0.2">
      <c r="A43" s="147"/>
      <c r="E43" s="63"/>
      <c r="F43" s="64"/>
      <c r="G43" s="66"/>
    </row>
    <row r="44" spans="1:7" x14ac:dyDescent="0.2">
      <c r="A44" s="147"/>
      <c r="E44" s="63"/>
      <c r="F44" s="64"/>
      <c r="G44" s="66"/>
    </row>
    <row r="45" spans="1:7" x14ac:dyDescent="0.2">
      <c r="A45" s="147"/>
      <c r="E45" s="63"/>
      <c r="F45" s="140"/>
      <c r="G45" s="66"/>
    </row>
    <row r="46" spans="1:7" x14ac:dyDescent="0.2">
      <c r="A46" s="147"/>
      <c r="E46" s="63"/>
      <c r="F46" s="148"/>
      <c r="G46" s="66"/>
    </row>
    <row r="47" spans="1:7" x14ac:dyDescent="0.2">
      <c r="A47" s="147"/>
      <c r="E47" s="63"/>
      <c r="F47" s="64"/>
      <c r="G47" s="66"/>
    </row>
    <row r="48" spans="1:7" x14ac:dyDescent="0.2">
      <c r="A48" s="147"/>
      <c r="E48" s="63"/>
      <c r="F48" s="148"/>
      <c r="G48" s="66"/>
    </row>
    <row r="49" spans="1:7" x14ac:dyDescent="0.2">
      <c r="A49" s="147"/>
      <c r="E49" s="63"/>
      <c r="F49" s="64"/>
      <c r="G49" s="66"/>
    </row>
    <row r="50" spans="1:7" x14ac:dyDescent="0.2">
      <c r="A50" s="147"/>
      <c r="E50" s="63"/>
      <c r="F50" s="64"/>
      <c r="G50" s="66"/>
    </row>
    <row r="51" spans="1:7" x14ac:dyDescent="0.2">
      <c r="A51" s="147"/>
      <c r="E51" s="63"/>
      <c r="F51" s="64"/>
      <c r="G51" s="66"/>
    </row>
    <row r="52" spans="1:7" ht="18.75" x14ac:dyDescent="0.3">
      <c r="A52" s="134"/>
    </row>
    <row r="53" spans="1:7" x14ac:dyDescent="0.2">
      <c r="A53" s="64"/>
    </row>
    <row r="54" spans="1:7" ht="18.75" x14ac:dyDescent="0.3">
      <c r="A54" s="134"/>
    </row>
    <row r="55" spans="1:7" x14ac:dyDescent="0.2">
      <c r="A55" s="64"/>
    </row>
    <row r="56" spans="1:7" x14ac:dyDescent="0.2">
      <c r="A56" s="64"/>
    </row>
    <row r="57" spans="1:7" x14ac:dyDescent="0.2">
      <c r="A57" s="149"/>
    </row>
    <row r="58" spans="1:7" x14ac:dyDescent="0.2">
      <c r="A58" s="64"/>
    </row>
    <row r="59" spans="1:7" x14ac:dyDescent="0.2">
      <c r="A59" s="64"/>
    </row>
    <row r="60" spans="1:7" x14ac:dyDescent="0.2">
      <c r="A60" s="64"/>
    </row>
    <row r="61" spans="1:7" x14ac:dyDescent="0.2">
      <c r="A61" s="64"/>
    </row>
    <row r="62" spans="1:7" x14ac:dyDescent="0.2">
      <c r="A62" s="64"/>
    </row>
    <row r="63" spans="1:7" x14ac:dyDescent="0.2">
      <c r="A63" s="64"/>
    </row>
    <row r="64" spans="1:7" x14ac:dyDescent="0.2">
      <c r="A64" s="64"/>
    </row>
    <row r="65" spans="1:1" x14ac:dyDescent="0.2">
      <c r="A65" s="64"/>
    </row>
    <row r="66" spans="1:1" x14ac:dyDescent="0.2">
      <c r="A66" s="64"/>
    </row>
    <row r="67" spans="1:1" x14ac:dyDescent="0.2">
      <c r="A67" s="66"/>
    </row>
    <row r="68" spans="1:1" x14ac:dyDescent="0.2">
      <c r="A68" s="66"/>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6"/>
    </row>
    <row r="76" spans="1:1" x14ac:dyDescent="0.2">
      <c r="A76" s="66"/>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sheetData>
  <customSheetViews>
    <customSheetView guid="{022582FA-9605-4A7F-B587-E5659EE41F6B}" scale="75" colorId="22" showPageBreaks="1" printArea="1" showRuler="0">
      <pane ySplit="1" topLeftCell="A47" activePane="bottomLeft" state="frozen"/>
      <selection pane="bottomLeft" activeCell="A78" sqref="A78"/>
      <rowBreaks count="4" manualBreakCount="4">
        <brk id="41" max="6" man="1"/>
        <brk id="42" max="6" man="1"/>
        <brk id="72" max="16383" man="1"/>
        <brk id="105" max="6" man="1"/>
      </row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pane ySplit="1" topLeftCell="A95" activePane="bottomLeft" state="frozen"/>
      <selection pane="bottomLeft" activeCell="G82" sqref="G82"/>
      <rowBreaks count="2" manualBreakCount="2">
        <brk id="71" max="6" man="1"/>
        <brk id="101" max="16383" man="1"/>
      </rowBreaks>
      <pageMargins left="0.75" right="0.75" top="1" bottom="1" header="0.5" footer="0.5"/>
      <printOptions horizontalCentered="1"/>
      <pageSetup scale="75" orientation="landscape" r:id="rId2"/>
      <headerFooter alignWithMargins="0">
        <oddFooter>&amp;C&amp;F&amp;A (Page &amp;P of &amp;N)</oddFooter>
      </headerFooter>
    </customSheetView>
  </customSheetViews>
  <mergeCells count="1">
    <mergeCell ref="E5:E7"/>
  </mergeCells>
  <phoneticPr fontId="0" type="noConversion"/>
  <printOptions horizontalCentered="1"/>
  <pageMargins left="0.3" right="0.25" top="0.5" bottom="0.82" header="0.5" footer="0.5"/>
  <pageSetup scale="80" orientation="landscape" r:id="rId3"/>
  <headerFooter alignWithMargins="0">
    <oddFooter>&amp;C&amp;F
&amp;   Mag Tails Sheet 3
&amp;
Page &amp;P of &amp;N</oddFooter>
  </headerFooter>
  <rowBreaks count="1" manualBreakCount="1">
    <brk id="46" max="6" man="1"/>
  </rowBreaks>
  <drawing r:id="rId4"/>
  <legacyDrawing r:id="rId5"/>
  <mc:AlternateContent xmlns:mc="http://schemas.openxmlformats.org/markup-compatibility/2006">
    <mc:Choice Requires="x14">
      <controls>
        <mc:AlternateContent xmlns:mc="http://schemas.openxmlformats.org/markup-compatibility/2006">
          <mc:Choice Requires="x14">
            <control shapeId="3092" r:id="rId6" name="Button 20">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3095" r:id="rId7" name="Button 23">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3096" r:id="rId8" name="Button 24">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3097" r:id="rId9" name="Button 25">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3098" r:id="rId10" name="Button 26">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3099" r:id="rId11" name="Button 27">
              <controlPr locked="0" defaultSize="0" autoFill="0" autoLine="0" autoPict="0">
                <anchor moveWithCells="1" sizeWithCells="1">
                  <from>
                    <xdr:col>0</xdr:col>
                    <xdr:colOff>0</xdr:colOff>
                    <xdr:row>18</xdr:row>
                    <xdr:rowOff>9525</xdr:rowOff>
                  </from>
                  <to>
                    <xdr:col>0</xdr:col>
                    <xdr:colOff>0</xdr:colOff>
                    <xdr:row>18</xdr:row>
                    <xdr:rowOff>9525</xdr:rowOff>
                  </to>
                </anchor>
              </controlPr>
            </control>
          </mc:Choice>
        </mc:AlternateContent>
        <mc:AlternateContent xmlns:mc="http://schemas.openxmlformats.org/markup-compatibility/2006">
          <mc:Choice Requires="x14">
            <control shapeId="3100" r:id="rId12" name="Button 28">
              <controlPr locked="0" defaultSize="0" autoFill="0" autoLine="0" autoPict="0">
                <anchor moveWithCells="1" sizeWithCells="1">
                  <from>
                    <xdr:col>0</xdr:col>
                    <xdr:colOff>0</xdr:colOff>
                    <xdr:row>18</xdr:row>
                    <xdr:rowOff>9525</xdr:rowOff>
                  </from>
                  <to>
                    <xdr:col>0</xdr:col>
                    <xdr:colOff>0</xdr:colOff>
                    <xdr:row>18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5">
    <pageSetUpPr fitToPage="1"/>
  </sheetPr>
  <dimension ref="A1:U38"/>
  <sheetViews>
    <sheetView defaultGridColor="0" view="pageBreakPreview" colorId="22" zoomScale="75" zoomScaleNormal="70" zoomScaleSheetLayoutView="75" workbookViewId="0">
      <pane xSplit="4" ySplit="8" topLeftCell="F9" activePane="bottomRight" state="frozen"/>
      <selection activeCell="C41" sqref="C41"/>
      <selection pane="topRight" activeCell="C41" sqref="C41"/>
      <selection pane="bottomLeft" activeCell="C41" sqref="C41"/>
      <selection pane="bottomRight" activeCell="C41" sqref="C41"/>
    </sheetView>
  </sheetViews>
  <sheetFormatPr defaultColWidth="9.77734375" defaultRowHeight="15" x14ac:dyDescent="0.2"/>
  <cols>
    <col min="1" max="1" width="7.109375" style="35" customWidth="1"/>
    <col min="2" max="2" width="23.77734375" style="35" customWidth="1"/>
    <col min="3" max="3" width="31.33203125" style="35" customWidth="1"/>
    <col min="4" max="4" width="26.109375" style="35" customWidth="1"/>
    <col min="5" max="5" width="7.6640625" style="35" customWidth="1"/>
    <col min="6" max="6" width="8.88671875" style="35" customWidth="1"/>
    <col min="7" max="7" width="14.33203125" style="35" customWidth="1"/>
    <col min="8" max="8" width="6.33203125" style="35" customWidth="1"/>
    <col min="9" max="9" width="14.33203125" style="35" customWidth="1"/>
    <col min="10" max="10" width="10.77734375" style="35" customWidth="1"/>
    <col min="11" max="11" width="9.77734375" style="35"/>
    <col min="12" max="12" width="10.88671875" style="35" bestFit="1" customWidth="1"/>
    <col min="13" max="13" width="10.5546875" style="35" bestFit="1" customWidth="1"/>
    <col min="14" max="16384" width="9.77734375" style="35"/>
  </cols>
  <sheetData>
    <row r="1" spans="1:21" x14ac:dyDescent="0.2">
      <c r="I1" s="66" t="str">
        <f>'1 General'!C1</f>
        <v>Cobre</v>
      </c>
    </row>
    <row r="2" spans="1:21" ht="18" x14ac:dyDescent="0.25">
      <c r="A2" s="393"/>
      <c r="I2" s="66" t="s">
        <v>284</v>
      </c>
    </row>
    <row r="3" spans="1:21" x14ac:dyDescent="0.2">
      <c r="A3" s="135" t="s">
        <v>21</v>
      </c>
      <c r="B3" s="135"/>
      <c r="C3" s="62"/>
      <c r="D3" s="62"/>
      <c r="E3" s="62"/>
      <c r="I3" s="136">
        <f>'1 General'!$C$3</f>
        <v>41955</v>
      </c>
      <c r="J3" s="54"/>
      <c r="K3" s="54"/>
      <c r="L3" s="54"/>
      <c r="M3" s="54"/>
      <c r="N3" s="54"/>
      <c r="O3" s="54"/>
      <c r="P3" s="54"/>
      <c r="Q3" s="54"/>
      <c r="R3" s="54"/>
      <c r="S3" s="54"/>
      <c r="T3" s="54"/>
      <c r="U3" s="54"/>
    </row>
    <row r="4" spans="1:21" x14ac:dyDescent="0.2">
      <c r="H4" s="66"/>
      <c r="J4" s="54"/>
      <c r="K4" s="54"/>
      <c r="L4" s="54"/>
      <c r="M4" s="54"/>
      <c r="N4" s="54"/>
      <c r="O4" s="54"/>
      <c r="P4" s="54"/>
      <c r="Q4" s="54"/>
      <c r="R4" s="54"/>
      <c r="S4" s="54"/>
      <c r="T4" s="54"/>
      <c r="U4" s="54"/>
    </row>
    <row r="5" spans="1:21" x14ac:dyDescent="0.2">
      <c r="E5" s="66"/>
      <c r="F5" s="324" t="s">
        <v>22</v>
      </c>
      <c r="G5" s="174" t="s">
        <v>265</v>
      </c>
      <c r="H5" s="174" t="s">
        <v>23</v>
      </c>
      <c r="I5" s="174" t="s">
        <v>266</v>
      </c>
      <c r="J5" s="54"/>
      <c r="K5" s="54"/>
      <c r="L5" s="54"/>
      <c r="M5" s="54"/>
      <c r="N5" s="54"/>
      <c r="O5" s="54"/>
      <c r="P5" s="54"/>
      <c r="Q5" s="54"/>
      <c r="R5" s="54"/>
      <c r="S5" s="54"/>
      <c r="T5" s="54"/>
      <c r="U5" s="54"/>
    </row>
    <row r="6" spans="1:21" x14ac:dyDescent="0.2">
      <c r="A6" s="16" t="s">
        <v>6</v>
      </c>
      <c r="B6" s="16" t="s">
        <v>8</v>
      </c>
      <c r="C6" s="137" t="s">
        <v>116</v>
      </c>
      <c r="D6" s="137" t="s">
        <v>117</v>
      </c>
      <c r="E6" s="66" t="s">
        <v>7</v>
      </c>
      <c r="F6" s="324" t="s">
        <v>24</v>
      </c>
      <c r="G6" s="174" t="s">
        <v>17</v>
      </c>
      <c r="H6" s="174" t="s">
        <v>25</v>
      </c>
      <c r="I6" s="174" t="s">
        <v>17</v>
      </c>
      <c r="J6" s="54"/>
      <c r="K6" s="54"/>
      <c r="L6" s="54"/>
      <c r="M6" s="54"/>
      <c r="N6" s="54"/>
      <c r="O6" s="54"/>
      <c r="P6" s="54"/>
      <c r="Q6" s="54"/>
      <c r="R6" s="54"/>
      <c r="S6" s="54"/>
      <c r="T6" s="54"/>
      <c r="U6" s="54"/>
    </row>
    <row r="7" spans="1:21" x14ac:dyDescent="0.2">
      <c r="C7" s="36"/>
      <c r="E7" s="30" t="s">
        <v>26</v>
      </c>
      <c r="F7" s="325" t="s">
        <v>71</v>
      </c>
      <c r="G7" s="316" t="s">
        <v>73</v>
      </c>
      <c r="H7" s="316" t="s">
        <v>62</v>
      </c>
      <c r="I7" s="316" t="s">
        <v>72</v>
      </c>
      <c r="J7" s="54"/>
      <c r="K7" s="54"/>
      <c r="L7" s="54"/>
      <c r="M7" s="54"/>
      <c r="N7" s="54"/>
      <c r="O7" s="54"/>
      <c r="P7" s="54"/>
      <c r="Q7" s="54"/>
      <c r="R7" s="54"/>
      <c r="S7" s="54"/>
      <c r="T7" s="54"/>
      <c r="U7" s="54"/>
    </row>
    <row r="8" spans="1:21" x14ac:dyDescent="0.2">
      <c r="A8" s="138"/>
      <c r="B8" s="138"/>
      <c r="C8" s="139"/>
      <c r="D8" s="139"/>
      <c r="E8" s="119"/>
      <c r="F8" s="119"/>
      <c r="G8" s="119"/>
      <c r="H8" s="119"/>
      <c r="I8" s="119"/>
      <c r="J8" s="54"/>
      <c r="K8" s="54"/>
      <c r="L8" s="54"/>
      <c r="M8" s="54"/>
      <c r="N8" s="54"/>
      <c r="O8" s="54"/>
      <c r="P8" s="54"/>
      <c r="Q8" s="54"/>
      <c r="R8" s="54"/>
      <c r="S8" s="54"/>
      <c r="T8" s="54"/>
      <c r="U8" s="54"/>
    </row>
    <row r="9" spans="1:21" x14ac:dyDescent="0.2">
      <c r="A9" s="61">
        <f>'3   Material'!A9</f>
        <v>1100</v>
      </c>
      <c r="B9" s="35" t="str">
        <f>'3   Material'!B9</f>
        <v>Regrade Outslopes</v>
      </c>
      <c r="C9" s="179" t="str">
        <f>'3   Material'!C9</f>
        <v>Magnetite Tailings</v>
      </c>
      <c r="D9" s="35" t="s">
        <v>203</v>
      </c>
      <c r="E9" s="127"/>
      <c r="F9" s="63"/>
      <c r="G9" s="63">
        <f>Earthwork.xls!E13</f>
        <v>69996</v>
      </c>
      <c r="H9" s="140">
        <v>0</v>
      </c>
      <c r="I9" s="63">
        <f t="shared" ref="I9:I18" si="0">G9*(1+H9)</f>
        <v>69996</v>
      </c>
      <c r="J9" s="54"/>
      <c r="K9" s="54"/>
      <c r="L9" s="54"/>
      <c r="M9" s="54"/>
      <c r="N9" s="54"/>
      <c r="O9" s="54"/>
      <c r="P9" s="54"/>
      <c r="Q9" s="54"/>
      <c r="R9" s="54"/>
      <c r="S9" s="54"/>
      <c r="T9" s="54"/>
      <c r="U9" s="54"/>
    </row>
    <row r="10" spans="1:21" x14ac:dyDescent="0.2">
      <c r="A10" s="61">
        <f>'3   Material'!A10</f>
        <v>1101</v>
      </c>
      <c r="B10" s="35" t="str">
        <f>'3   Material'!B10</f>
        <v>Regrade Top</v>
      </c>
      <c r="C10" s="179" t="str">
        <f>'3   Material'!C10</f>
        <v>Magnetite Tailings</v>
      </c>
      <c r="D10" s="35" t="s">
        <v>204</v>
      </c>
      <c r="E10" s="127"/>
      <c r="F10" s="63"/>
      <c r="G10" s="63">
        <f>Earthwork.xls!E14</f>
        <v>73481.5</v>
      </c>
      <c r="H10" s="140">
        <v>0</v>
      </c>
      <c r="I10" s="63">
        <f t="shared" si="0"/>
        <v>73481.5</v>
      </c>
      <c r="J10" s="54"/>
      <c r="K10" s="54"/>
      <c r="L10" s="54"/>
      <c r="M10" s="54"/>
      <c r="N10" s="54"/>
      <c r="O10" s="54"/>
      <c r="P10" s="54"/>
      <c r="Q10" s="54"/>
      <c r="R10" s="54"/>
      <c r="S10" s="54"/>
      <c r="T10" s="54"/>
      <c r="U10" s="54"/>
    </row>
    <row r="11" spans="1:21" x14ac:dyDescent="0.2">
      <c r="A11" s="61">
        <f>'3   Material'!A11</f>
        <v>1102</v>
      </c>
      <c r="B11" s="35" t="str">
        <f>'3   Material'!B11</f>
        <v>Dozer Assist</v>
      </c>
      <c r="C11" s="179" t="str">
        <f>'3   Material'!C11</f>
        <v xml:space="preserve">Magnetite Tailings Top </v>
      </c>
      <c r="D11" s="35" t="s">
        <v>204</v>
      </c>
      <c r="E11" s="127"/>
      <c r="F11" s="63"/>
      <c r="G11" s="63">
        <f>G13</f>
        <v>276615.67999999999</v>
      </c>
      <c r="H11" s="140">
        <v>0</v>
      </c>
      <c r="I11" s="63">
        <f>G11*(1+H11)</f>
        <v>276615.67999999999</v>
      </c>
      <c r="J11" s="54"/>
      <c r="K11" s="54"/>
      <c r="L11" s="54"/>
      <c r="M11" s="54"/>
      <c r="N11" s="54"/>
      <c r="O11" s="54"/>
      <c r="P11" s="54"/>
      <c r="Q11" s="54"/>
      <c r="R11" s="54"/>
      <c r="S11" s="54"/>
      <c r="T11" s="54"/>
      <c r="U11" s="54"/>
    </row>
    <row r="12" spans="1:21" x14ac:dyDescent="0.2">
      <c r="A12" s="61">
        <f>'3   Material'!A12</f>
        <v>1103</v>
      </c>
      <c r="B12" s="35" t="str">
        <f>'3   Material'!B12</f>
        <v>Dozer Assist</v>
      </c>
      <c r="C12" s="179" t="str">
        <f>'3   Material'!C12</f>
        <v>Magnetite Tailings Outslopes</v>
      </c>
      <c r="D12" s="35" t="s">
        <v>203</v>
      </c>
      <c r="E12" s="127"/>
      <c r="F12" s="63"/>
      <c r="G12" s="63">
        <f>G14</f>
        <v>25739.119999999999</v>
      </c>
      <c r="H12" s="140">
        <v>0</v>
      </c>
      <c r="I12" s="63">
        <f>G12*(1+H12)</f>
        <v>25739.119999999999</v>
      </c>
      <c r="J12" s="54"/>
      <c r="K12" s="54"/>
      <c r="L12" s="54"/>
      <c r="M12" s="54"/>
      <c r="N12" s="54"/>
      <c r="O12" s="54"/>
      <c r="P12" s="54"/>
      <c r="Q12" s="54"/>
      <c r="R12" s="54"/>
      <c r="S12" s="54"/>
      <c r="T12" s="54"/>
      <c r="U12" s="54"/>
    </row>
    <row r="13" spans="1:21" x14ac:dyDescent="0.2">
      <c r="A13" s="61">
        <f>'3   Material'!A13</f>
        <v>1200</v>
      </c>
      <c r="B13" s="35" t="str">
        <f>'3   Material'!B13</f>
        <v>Load cover soil</v>
      </c>
      <c r="C13" s="35" t="str">
        <f>'3   Material'!C13</f>
        <v>North OB Stockpile, OB-5 Stockpile</v>
      </c>
      <c r="D13" s="10" t="str">
        <f>'3   Material'!D13</f>
        <v xml:space="preserve">Magnetite Tailings Top </v>
      </c>
      <c r="E13" s="246">
        <f>'14   Reveg'!C11</f>
        <v>57.152000000000001</v>
      </c>
      <c r="F13" s="142">
        <v>36</v>
      </c>
      <c r="G13" s="63">
        <f>E13*F13/12*43560/27</f>
        <v>276615.67999999999</v>
      </c>
      <c r="H13" s="140">
        <v>0</v>
      </c>
      <c r="I13" s="63">
        <f t="shared" si="0"/>
        <v>276615.67999999999</v>
      </c>
      <c r="J13" s="141"/>
      <c r="K13" s="141"/>
      <c r="L13" s="54"/>
      <c r="M13" s="54"/>
      <c r="N13" s="141"/>
      <c r="O13" s="54"/>
      <c r="P13" s="54"/>
      <c r="Q13" s="54"/>
      <c r="R13" s="54"/>
      <c r="S13" s="54"/>
      <c r="T13" s="54"/>
      <c r="U13" s="54"/>
    </row>
    <row r="14" spans="1:21" x14ac:dyDescent="0.2">
      <c r="A14" s="61">
        <f>'3   Material'!A14</f>
        <v>1201</v>
      </c>
      <c r="B14" s="35" t="str">
        <f>'3   Material'!B14</f>
        <v>Load cover soil</v>
      </c>
      <c r="C14" s="35" t="str">
        <f>'3   Material'!C14</f>
        <v>North OB Stockpile, OB-5 Stockpile</v>
      </c>
      <c r="D14" s="10" t="str">
        <f>'3   Material'!D14</f>
        <v>Magnetite Tailings Outslopes</v>
      </c>
      <c r="E14" s="246">
        <f>'14   Reveg'!C12</f>
        <v>5.3179999999999996</v>
      </c>
      <c r="F14" s="142">
        <v>36</v>
      </c>
      <c r="G14" s="63">
        <f>E14*F14/12*43560/27</f>
        <v>25739.119999999999</v>
      </c>
      <c r="H14" s="140">
        <v>0</v>
      </c>
      <c r="I14" s="63">
        <f t="shared" si="0"/>
        <v>25739.119999999999</v>
      </c>
      <c r="J14" s="141"/>
      <c r="K14" s="141"/>
      <c r="L14" s="54"/>
      <c r="M14" s="54"/>
      <c r="N14" s="141"/>
      <c r="O14" s="54"/>
      <c r="P14" s="54"/>
      <c r="Q14" s="54"/>
      <c r="R14" s="54"/>
      <c r="S14" s="54"/>
      <c r="T14" s="54"/>
      <c r="U14" s="54"/>
    </row>
    <row r="15" spans="1:21" x14ac:dyDescent="0.2">
      <c r="A15" s="61">
        <f>'3   Material'!A15</f>
        <v>1202</v>
      </c>
      <c r="B15" s="35" t="str">
        <f>'3   Material'!B15</f>
        <v>Haul cover soil</v>
      </c>
      <c r="C15" s="35" t="str">
        <f>'3   Material'!C15</f>
        <v>North OB Stockpile, OB-5 Stockpile</v>
      </c>
      <c r="D15" s="10" t="str">
        <f>D13</f>
        <v xml:space="preserve">Magnetite Tailings Top </v>
      </c>
      <c r="E15" s="68"/>
      <c r="F15" s="63"/>
      <c r="G15" s="126">
        <f>G13</f>
        <v>276615.67999999999</v>
      </c>
      <c r="H15" s="140">
        <v>0</v>
      </c>
      <c r="I15" s="126">
        <f t="shared" si="0"/>
        <v>276615.67999999999</v>
      </c>
      <c r="J15" s="145"/>
      <c r="K15" s="145"/>
    </row>
    <row r="16" spans="1:21" x14ac:dyDescent="0.2">
      <c r="A16" s="61">
        <f>'3   Material'!A16</f>
        <v>1203</v>
      </c>
      <c r="B16" s="35" t="str">
        <f>'3   Material'!B16</f>
        <v>Haul cover soil</v>
      </c>
      <c r="C16" s="35" t="str">
        <f>'3   Material'!C16</f>
        <v>North OB Stockpile, OB-5 Stockpile</v>
      </c>
      <c r="D16" s="10" t="str">
        <f>D14</f>
        <v>Magnetite Tailings Outslopes</v>
      </c>
      <c r="E16" s="68"/>
      <c r="F16" s="63"/>
      <c r="G16" s="126">
        <f>G14</f>
        <v>25739.119999999999</v>
      </c>
      <c r="H16" s="140">
        <v>0</v>
      </c>
      <c r="I16" s="126">
        <f t="shared" si="0"/>
        <v>25739.119999999999</v>
      </c>
      <c r="J16" s="145"/>
      <c r="K16" s="145"/>
    </row>
    <row r="17" spans="1:11" x14ac:dyDescent="0.2">
      <c r="A17" s="61">
        <f>'3   Material'!A17</f>
        <v>1300</v>
      </c>
      <c r="B17" s="35" t="str">
        <f>'3   Material'!B17</f>
        <v>Grade cover soil</v>
      </c>
      <c r="C17" s="10" t="str">
        <f>'3   Material'!C17</f>
        <v xml:space="preserve">Magnetite Tailings Top </v>
      </c>
      <c r="D17" s="35" t="str">
        <f>'3   Material'!D17</f>
        <v>-</v>
      </c>
      <c r="E17" s="43">
        <f>E13</f>
        <v>57.152000000000001</v>
      </c>
      <c r="F17" s="34"/>
      <c r="G17" s="126">
        <f>G13</f>
        <v>276615.67999999999</v>
      </c>
      <c r="H17" s="140">
        <v>0</v>
      </c>
      <c r="I17" s="63">
        <f t="shared" si="0"/>
        <v>276615.67999999999</v>
      </c>
    </row>
    <row r="18" spans="1:11" x14ac:dyDescent="0.2">
      <c r="A18" s="61">
        <f>'3   Material'!A18</f>
        <v>1301</v>
      </c>
      <c r="B18" s="35" t="str">
        <f>'3   Material'!B18</f>
        <v>Grade cover soil</v>
      </c>
      <c r="C18" s="10" t="str">
        <f>'3   Material'!C18</f>
        <v>Magnetite Tailings Outslopes</v>
      </c>
      <c r="D18" s="35" t="str">
        <f>'3   Material'!D18</f>
        <v>-</v>
      </c>
      <c r="E18" s="43">
        <f>E14</f>
        <v>5.3179999999999996</v>
      </c>
      <c r="F18" s="34"/>
      <c r="G18" s="126">
        <f>G14</f>
        <v>25739.119999999999</v>
      </c>
      <c r="H18" s="140">
        <v>0</v>
      </c>
      <c r="I18" s="63">
        <f t="shared" si="0"/>
        <v>25739.119999999999</v>
      </c>
    </row>
    <row r="19" spans="1:11" s="10" customFormat="1" x14ac:dyDescent="0.2">
      <c r="A19" s="143">
        <v>1801</v>
      </c>
      <c r="B19" s="120" t="s">
        <v>320</v>
      </c>
      <c r="C19" s="160"/>
      <c r="D19" s="35"/>
      <c r="E19" s="63"/>
      <c r="F19" s="140"/>
      <c r="G19" s="51"/>
      <c r="H19" s="180"/>
      <c r="I19" s="126"/>
      <c r="J19" s="44"/>
      <c r="K19" s="44"/>
    </row>
    <row r="20" spans="1:11" x14ac:dyDescent="0.2">
      <c r="A20" s="143">
        <v>1802</v>
      </c>
      <c r="B20" s="54" t="s">
        <v>131</v>
      </c>
      <c r="C20" s="160"/>
      <c r="E20" s="63"/>
      <c r="F20" s="140"/>
      <c r="G20" s="66"/>
      <c r="H20" s="140"/>
      <c r="I20" s="63"/>
      <c r="J20" s="141"/>
      <c r="K20" s="141"/>
    </row>
    <row r="21" spans="1:11" x14ac:dyDescent="0.2">
      <c r="A21" s="147"/>
      <c r="B21" s="147"/>
      <c r="C21" s="184"/>
      <c r="D21" s="147"/>
      <c r="E21" s="282"/>
      <c r="F21" s="63"/>
      <c r="G21" s="63"/>
      <c r="H21" s="140"/>
      <c r="I21" s="63"/>
      <c r="J21" s="141"/>
      <c r="K21" s="141"/>
    </row>
    <row r="22" spans="1:11" x14ac:dyDescent="0.2">
      <c r="A22" s="147"/>
      <c r="B22" s="147"/>
      <c r="C22" s="184"/>
      <c r="D22" s="147"/>
      <c r="E22" s="68"/>
      <c r="F22" s="63"/>
      <c r="G22" s="63"/>
      <c r="H22" s="140"/>
      <c r="I22" s="63"/>
      <c r="J22" s="141"/>
      <c r="K22" s="141"/>
    </row>
    <row r="23" spans="1:11" x14ac:dyDescent="0.2">
      <c r="A23" s="147"/>
      <c r="B23" s="147"/>
      <c r="C23" s="184"/>
      <c r="D23" s="147"/>
      <c r="E23" s="68"/>
      <c r="F23" s="63"/>
      <c r="G23" s="63"/>
      <c r="H23" s="140"/>
      <c r="I23" s="63"/>
      <c r="J23" s="141"/>
      <c r="K23" s="141"/>
    </row>
    <row r="24" spans="1:11" x14ac:dyDescent="0.2">
      <c r="A24" s="147"/>
      <c r="B24" s="147"/>
      <c r="C24" s="184"/>
      <c r="D24" s="147"/>
      <c r="E24" s="68"/>
      <c r="F24" s="63"/>
      <c r="G24" s="63"/>
      <c r="H24" s="140"/>
      <c r="I24" s="63"/>
      <c r="J24" s="141"/>
      <c r="K24" s="141"/>
    </row>
    <row r="25" spans="1:11" x14ac:dyDescent="0.2">
      <c r="A25" s="147"/>
      <c r="B25" s="184"/>
      <c r="C25" s="147"/>
      <c r="E25" s="68"/>
      <c r="F25" s="63"/>
      <c r="G25" s="63"/>
      <c r="H25" s="140"/>
      <c r="I25" s="63"/>
      <c r="J25" s="141"/>
      <c r="K25" s="141"/>
    </row>
    <row r="26" spans="1:11" x14ac:dyDescent="0.2">
      <c r="A26" s="147"/>
      <c r="E26" s="68"/>
      <c r="F26" s="63"/>
      <c r="G26" s="63"/>
      <c r="H26" s="140"/>
      <c r="I26" s="63"/>
      <c r="J26" s="146"/>
      <c r="K26" s="146"/>
    </row>
    <row r="27" spans="1:11" x14ac:dyDescent="0.2">
      <c r="A27" s="147"/>
      <c r="E27" s="68"/>
      <c r="F27" s="63"/>
      <c r="G27" s="63"/>
      <c r="H27" s="140"/>
      <c r="I27" s="63"/>
      <c r="J27" s="146"/>
      <c r="K27" s="146"/>
    </row>
    <row r="28" spans="1:11" x14ac:dyDescent="0.2">
      <c r="A28" s="147"/>
      <c r="E28" s="68"/>
      <c r="F28" s="63"/>
      <c r="G28" s="63"/>
      <c r="H28" s="140"/>
      <c r="I28" s="63"/>
      <c r="J28" s="146"/>
      <c r="K28" s="146"/>
    </row>
    <row r="29" spans="1:11" x14ac:dyDescent="0.2">
      <c r="A29" s="147"/>
      <c r="E29" s="68"/>
      <c r="F29" s="63"/>
      <c r="G29" s="63"/>
      <c r="H29" s="140"/>
      <c r="I29" s="63"/>
      <c r="J29" s="146"/>
      <c r="K29" s="146"/>
    </row>
    <row r="30" spans="1:11" x14ac:dyDescent="0.2">
      <c r="A30" s="147"/>
      <c r="E30" s="68"/>
      <c r="F30" s="63"/>
      <c r="G30" s="63"/>
      <c r="H30" s="140"/>
      <c r="I30" s="63"/>
      <c r="J30" s="146"/>
      <c r="K30" s="146"/>
    </row>
    <row r="31" spans="1:11" x14ac:dyDescent="0.2">
      <c r="A31" s="147"/>
      <c r="E31" s="68"/>
      <c r="F31" s="63"/>
      <c r="G31" s="63"/>
      <c r="H31" s="140"/>
      <c r="I31" s="63"/>
      <c r="J31" s="146"/>
      <c r="K31" s="146"/>
    </row>
    <row r="32" spans="1:11" x14ac:dyDescent="0.2">
      <c r="A32" s="147"/>
      <c r="E32" s="68"/>
      <c r="F32" s="63"/>
      <c r="G32" s="63"/>
      <c r="H32" s="140"/>
      <c r="I32" s="63"/>
      <c r="J32" s="146"/>
      <c r="K32" s="146"/>
    </row>
    <row r="33" spans="1:11" x14ac:dyDescent="0.2">
      <c r="A33" s="147"/>
      <c r="E33" s="68"/>
      <c r="F33" s="63"/>
      <c r="G33" s="63"/>
      <c r="H33" s="140"/>
      <c r="I33" s="63"/>
      <c r="J33" s="146"/>
      <c r="K33" s="146"/>
    </row>
    <row r="34" spans="1:11" x14ac:dyDescent="0.2">
      <c r="A34" s="147"/>
      <c r="E34" s="68"/>
      <c r="F34" s="63"/>
      <c r="G34" s="63"/>
      <c r="H34" s="140"/>
      <c r="I34" s="63"/>
      <c r="J34" s="146"/>
      <c r="K34" s="146"/>
    </row>
    <row r="35" spans="1:11" x14ac:dyDescent="0.2">
      <c r="A35" s="147"/>
      <c r="E35" s="68"/>
      <c r="F35" s="63"/>
      <c r="G35" s="63"/>
      <c r="H35" s="140"/>
      <c r="I35" s="63"/>
      <c r="J35" s="146"/>
      <c r="K35" s="146"/>
    </row>
    <row r="36" spans="1:11" x14ac:dyDescent="0.2">
      <c r="A36" s="147"/>
      <c r="E36" s="68"/>
      <c r="J36" s="146"/>
      <c r="K36" s="146"/>
    </row>
    <row r="37" spans="1:11" x14ac:dyDescent="0.2">
      <c r="A37" s="147"/>
      <c r="E37" s="68"/>
      <c r="J37" s="146"/>
      <c r="K37" s="146"/>
    </row>
    <row r="38" spans="1:11" x14ac:dyDescent="0.2">
      <c r="A38" s="147"/>
      <c r="E38" s="68"/>
    </row>
  </sheetData>
  <customSheetViews>
    <customSheetView guid="{022582FA-9605-4A7F-B587-E5659EE41F6B}" scale="75" colorId="22" showPageBreaks="1" printArea="1" showRuler="0" topLeftCell="A37">
      <selection activeCell="B49" sqref="B49"/>
      <rowBreaks count="3" manualBreakCount="3">
        <brk id="40" max="9" man="1"/>
        <brk id="42" max="20" man="1"/>
        <brk id="68" max="20" man="1"/>
      </row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topLeftCell="A70">
      <selection activeCell="G13" sqref="G13"/>
      <rowBreaks count="2" manualBreakCount="2">
        <brk id="71" max="20" man="1"/>
        <brk id="102" max="20" man="1"/>
      </row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2" right="0.2" top="0.5" bottom="0.44" header="0.5" footer="0.2"/>
  <pageSetup scale="81" orientation="landscape" r:id="rId3"/>
  <headerFooter alignWithMargins="0">
    <oddFooter>&amp;C&amp;F
&amp;   Mag Tails Sheet 4
&amp;
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4127" r:id="rId6" name="Button 31">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4128" r:id="rId7" name="Button 32">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4129" r:id="rId8" name="Button 33">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4130" r:id="rId9" name="Button 34">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4131" r:id="rId10" name="Button 35">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4132" r:id="rId11" name="Button 36">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4133" r:id="rId12" name="Button 37">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mc:AlternateContent xmlns:mc="http://schemas.openxmlformats.org/markup-compatibility/2006">
          <mc:Choice Requires="x14">
            <control shapeId="4134" r:id="rId13" name="Button 38">
              <controlPr locked="0" defaultSize="0" autoFill="0" autoLine="0" autoPict="0">
                <anchor moveWithCells="1" sizeWithCells="1">
                  <from>
                    <xdr:col>0</xdr:col>
                    <xdr:colOff>0</xdr:colOff>
                    <xdr:row>8</xdr:row>
                    <xdr:rowOff>0</xdr:rowOff>
                  </from>
                  <to>
                    <xdr:col>0</xdr:col>
                    <xdr:colOff>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dimension ref="A1:S26"/>
  <sheetViews>
    <sheetView defaultGridColor="0" view="pageBreakPreview" colorId="22" zoomScale="75" zoomScaleNormal="75" zoomScaleSheetLayoutView="100" workbookViewId="0">
      <pane xSplit="3" topLeftCell="D1" activePane="topRight" state="frozen"/>
      <selection activeCell="C41" sqref="C41"/>
      <selection pane="topRight" activeCell="C41" sqref="C41"/>
    </sheetView>
  </sheetViews>
  <sheetFormatPr defaultColWidth="9.77734375" defaultRowHeight="15" x14ac:dyDescent="0.2"/>
  <cols>
    <col min="1" max="1" width="17.109375" style="35" customWidth="1"/>
    <col min="2" max="2" width="26.6640625" style="35" customWidth="1"/>
    <col min="3" max="3" width="14" style="35" customWidth="1"/>
    <col min="4" max="4" width="10.21875" style="35" customWidth="1"/>
    <col min="5" max="5" width="12.21875" style="35" customWidth="1"/>
    <col min="6" max="6" width="10.5546875" style="35" customWidth="1"/>
    <col min="7" max="7" width="6.88671875" style="35" bestFit="1" customWidth="1"/>
    <col min="8" max="8" width="8" style="35" customWidth="1"/>
    <col min="9" max="9" width="6.5546875" style="35" customWidth="1"/>
    <col min="10" max="11" width="9.77734375" style="35" customWidth="1"/>
    <col min="12" max="12" width="10.77734375" style="35" customWidth="1"/>
    <col min="13" max="13" width="9.77734375" style="35" customWidth="1"/>
    <col min="14" max="14" width="7.88671875" style="35" customWidth="1"/>
    <col min="15" max="15" width="7.21875" style="35" customWidth="1"/>
    <col min="16" max="16" width="7" style="35" customWidth="1"/>
    <col min="17" max="17" width="8.88671875" style="35" customWidth="1"/>
    <col min="18" max="18" width="5.77734375" style="35" customWidth="1"/>
    <col min="19" max="19" width="12.77734375" style="35" customWidth="1"/>
    <col min="20" max="16384" width="9.77734375" style="35"/>
  </cols>
  <sheetData>
    <row r="1" spans="1:19" x14ac:dyDescent="0.2">
      <c r="A1" s="16"/>
      <c r="B1" s="16"/>
      <c r="C1" s="16"/>
      <c r="D1" s="16"/>
      <c r="F1" s="16"/>
      <c r="H1" s="10"/>
      <c r="I1" s="10"/>
      <c r="J1" s="10"/>
      <c r="K1" s="10"/>
      <c r="L1" s="10"/>
      <c r="M1" s="10"/>
      <c r="N1" s="10"/>
      <c r="O1" s="10"/>
      <c r="P1" s="10"/>
      <c r="Q1" s="10"/>
      <c r="R1" s="10"/>
      <c r="S1" s="19" t="str">
        <f>'1 General'!C1</f>
        <v>Cobre</v>
      </c>
    </row>
    <row r="2" spans="1:19" ht="18" x14ac:dyDescent="0.25">
      <c r="A2" s="393"/>
      <c r="B2" s="16"/>
      <c r="C2" s="16"/>
      <c r="D2" s="16"/>
      <c r="E2" s="16"/>
      <c r="F2" s="16"/>
      <c r="H2" s="10"/>
      <c r="I2" s="10"/>
      <c r="J2" s="10"/>
      <c r="K2" s="10"/>
      <c r="L2" s="10"/>
      <c r="M2" s="10"/>
      <c r="N2" s="10"/>
      <c r="O2" s="10"/>
      <c r="P2" s="10"/>
      <c r="Q2" s="10"/>
      <c r="R2" s="10"/>
      <c r="S2" s="19" t="s">
        <v>285</v>
      </c>
    </row>
    <row r="3" spans="1:19" x14ac:dyDescent="0.2">
      <c r="A3" s="15" t="s">
        <v>27</v>
      </c>
      <c r="B3" s="16"/>
      <c r="C3" s="16"/>
      <c r="D3" s="16"/>
      <c r="F3" s="16"/>
      <c r="H3" s="10"/>
      <c r="I3" s="10"/>
      <c r="J3" s="10"/>
      <c r="K3" s="10"/>
      <c r="L3" s="10"/>
      <c r="M3" s="10"/>
      <c r="N3" s="10"/>
      <c r="O3" s="10"/>
      <c r="P3" s="10"/>
      <c r="Q3" s="10"/>
      <c r="R3" s="10"/>
      <c r="S3" s="70">
        <f>'1 General'!$C$3</f>
        <v>41955</v>
      </c>
    </row>
    <row r="4" spans="1:19" x14ac:dyDescent="0.2">
      <c r="A4" s="15"/>
      <c r="B4" s="16"/>
      <c r="C4" s="16"/>
      <c r="D4" s="16"/>
      <c r="E4" s="16"/>
      <c r="F4" s="16"/>
      <c r="G4" s="19"/>
      <c r="H4" s="10"/>
      <c r="I4" s="10"/>
      <c r="J4" s="10"/>
      <c r="K4" s="10"/>
      <c r="L4" s="10"/>
      <c r="M4" s="10"/>
      <c r="N4" s="10"/>
      <c r="O4" s="10"/>
      <c r="P4" s="10"/>
      <c r="Q4" s="10"/>
      <c r="R4" s="10"/>
    </row>
    <row r="5" spans="1:19" x14ac:dyDescent="0.2">
      <c r="A5" s="15"/>
      <c r="B5" s="16"/>
      <c r="C5" s="16"/>
      <c r="D5" s="16"/>
      <c r="E5" s="16"/>
      <c r="F5" s="16"/>
      <c r="G5" s="19"/>
      <c r="H5" s="10"/>
      <c r="I5" s="10"/>
      <c r="J5" s="10"/>
      <c r="K5" s="10"/>
      <c r="L5" s="10"/>
      <c r="M5" s="10"/>
      <c r="N5" s="10"/>
      <c r="O5" s="10"/>
      <c r="P5" s="10"/>
      <c r="Q5" s="10"/>
      <c r="R5" s="10"/>
    </row>
    <row r="6" spans="1:19" x14ac:dyDescent="0.2">
      <c r="A6" s="16"/>
      <c r="B6" s="17"/>
      <c r="C6" s="17"/>
      <c r="D6" s="16"/>
      <c r="E6" s="18"/>
      <c r="F6" s="10"/>
      <c r="G6" s="10"/>
      <c r="H6" s="10" t="s">
        <v>32</v>
      </c>
      <c r="I6" s="10"/>
      <c r="J6" s="10"/>
      <c r="K6" s="10"/>
      <c r="L6" s="10"/>
      <c r="M6" s="10"/>
      <c r="N6" s="10"/>
      <c r="O6" s="10"/>
      <c r="P6" s="10"/>
      <c r="Q6" s="10"/>
      <c r="R6" s="10"/>
    </row>
    <row r="7" spans="1:19" x14ac:dyDescent="0.2">
      <c r="A7" s="327"/>
      <c r="B7" s="325"/>
      <c r="C7" s="325"/>
      <c r="D7" s="326"/>
      <c r="E7" s="327"/>
      <c r="F7" s="325"/>
      <c r="G7" s="325" t="s">
        <v>43</v>
      </c>
      <c r="H7" s="325"/>
      <c r="I7" s="325"/>
      <c r="J7" s="325"/>
      <c r="K7" s="325" t="s">
        <v>47</v>
      </c>
      <c r="L7" s="325" t="s">
        <v>152</v>
      </c>
      <c r="M7" s="325"/>
      <c r="N7" s="325"/>
      <c r="O7" s="325"/>
      <c r="P7" s="325"/>
      <c r="Q7" s="325"/>
      <c r="R7" s="325" t="s">
        <v>70</v>
      </c>
      <c r="S7" s="351"/>
    </row>
    <row r="8" spans="1:19" x14ac:dyDescent="0.2">
      <c r="A8" s="325"/>
      <c r="B8" s="325"/>
      <c r="C8" s="325"/>
      <c r="D8" s="325"/>
      <c r="E8" s="324" t="s">
        <v>69</v>
      </c>
      <c r="F8" s="324"/>
      <c r="G8" s="325" t="s">
        <v>92</v>
      </c>
      <c r="H8" s="325" t="s">
        <v>9</v>
      </c>
      <c r="I8" s="325" t="s">
        <v>19</v>
      </c>
      <c r="J8" s="325" t="s">
        <v>101</v>
      </c>
      <c r="K8" s="325" t="s">
        <v>105</v>
      </c>
      <c r="L8" s="325" t="s">
        <v>126</v>
      </c>
      <c r="M8" s="325" t="s">
        <v>106</v>
      </c>
      <c r="N8" s="325" t="s">
        <v>107</v>
      </c>
      <c r="O8" s="325" t="s">
        <v>88</v>
      </c>
      <c r="P8" s="325" t="s">
        <v>108</v>
      </c>
      <c r="Q8" s="325" t="s">
        <v>109</v>
      </c>
      <c r="R8" s="325" t="s">
        <v>110</v>
      </c>
      <c r="S8" s="351" t="s">
        <v>19</v>
      </c>
    </row>
    <row r="9" spans="1:19" x14ac:dyDescent="0.2">
      <c r="A9" s="325" t="s">
        <v>91</v>
      </c>
      <c r="B9" s="325" t="s">
        <v>116</v>
      </c>
      <c r="C9" s="325" t="s">
        <v>117</v>
      </c>
      <c r="D9" s="325" t="s">
        <v>20</v>
      </c>
      <c r="E9" s="324" t="s">
        <v>17</v>
      </c>
      <c r="F9" s="325" t="s">
        <v>31</v>
      </c>
      <c r="G9" s="325" t="s">
        <v>30</v>
      </c>
      <c r="H9" s="325" t="s">
        <v>25</v>
      </c>
      <c r="I9" s="325" t="s">
        <v>25</v>
      </c>
      <c r="J9" s="325" t="s">
        <v>102</v>
      </c>
      <c r="K9" s="325" t="s">
        <v>104</v>
      </c>
      <c r="L9" s="325" t="s">
        <v>18</v>
      </c>
      <c r="M9" s="325" t="s">
        <v>47</v>
      </c>
      <c r="N9" s="325" t="s">
        <v>25</v>
      </c>
      <c r="O9" s="325" t="s">
        <v>89</v>
      </c>
      <c r="P9" s="325" t="s">
        <v>25</v>
      </c>
      <c r="Q9" s="325" t="s">
        <v>25</v>
      </c>
      <c r="R9" s="325" t="s">
        <v>111</v>
      </c>
      <c r="S9" s="351"/>
    </row>
    <row r="10" spans="1:19" x14ac:dyDescent="0.2">
      <c r="A10" s="10"/>
      <c r="B10" s="10"/>
      <c r="C10" s="10"/>
      <c r="D10" s="10"/>
      <c r="E10" s="30" t="s">
        <v>77</v>
      </c>
      <c r="F10" s="325" t="s">
        <v>76</v>
      </c>
      <c r="G10" s="325" t="s">
        <v>93</v>
      </c>
      <c r="H10" s="30"/>
      <c r="I10" s="30"/>
      <c r="J10" s="325" t="s">
        <v>103</v>
      </c>
      <c r="K10" s="325"/>
      <c r="L10" s="325" t="s">
        <v>100</v>
      </c>
      <c r="M10" s="325" t="s">
        <v>76</v>
      </c>
      <c r="N10" s="325"/>
      <c r="O10" s="325" t="s">
        <v>90</v>
      </c>
      <c r="P10" s="325"/>
      <c r="Q10" s="325"/>
      <c r="R10" s="325" t="s">
        <v>25</v>
      </c>
      <c r="S10" s="352" t="s">
        <v>62</v>
      </c>
    </row>
    <row r="11" spans="1:19" x14ac:dyDescent="0.2">
      <c r="A11" s="16" t="str">
        <f>'3   Material'!B9</f>
        <v>Regrade Outslopes</v>
      </c>
      <c r="B11" s="10" t="str">
        <f>'4   Earthwork'!C9</f>
        <v>Magnetite Tailings</v>
      </c>
      <c r="C11" s="10" t="str">
        <f>'4   Earthwork'!D9</f>
        <v>Outslopes</v>
      </c>
      <c r="D11" s="16" t="str">
        <f>'3   Material'!G9</f>
        <v>D11R CD</v>
      </c>
      <c r="E11" s="20">
        <f>'4   Earthwork'!I9</f>
        <v>69996</v>
      </c>
      <c r="F11" s="336">
        <f>M11*N11*H11*O11/60*I11*2300/J11*K11*P11*Q11*R11</f>
        <v>1122.4945232928674</v>
      </c>
      <c r="G11" s="336">
        <f>IF(F11=0,0,E11/F11)</f>
        <v>62.357542551445938</v>
      </c>
      <c r="H11" s="338">
        <v>1.2</v>
      </c>
      <c r="I11" s="326">
        <f>-0.02*S11+1</f>
        <v>1.6659999999999999</v>
      </c>
      <c r="J11" s="337">
        <v>4185</v>
      </c>
      <c r="K11" s="328">
        <v>1.2</v>
      </c>
      <c r="L11" s="353">
        <f>'3   Material'!E9</f>
        <v>250</v>
      </c>
      <c r="M11" s="355">
        <f>IF(L11=0,0,159372.008958*L11^-0.862481)</f>
        <v>1362.1795326770277</v>
      </c>
      <c r="N11" s="326">
        <v>0.75</v>
      </c>
      <c r="O11" s="344">
        <v>50</v>
      </c>
      <c r="P11" s="344">
        <v>1</v>
      </c>
      <c r="Q11" s="344">
        <v>1</v>
      </c>
      <c r="R11" s="353">
        <v>1</v>
      </c>
      <c r="S11" s="356">
        <v>-33.299999999999997</v>
      </c>
    </row>
    <row r="12" spans="1:19" x14ac:dyDescent="0.2">
      <c r="A12" s="16" t="str">
        <f>'3   Material'!B10</f>
        <v>Regrade Top</v>
      </c>
      <c r="B12" s="10" t="str">
        <f>'4   Earthwork'!C10</f>
        <v>Magnetite Tailings</v>
      </c>
      <c r="C12" s="10" t="str">
        <f>'4   Earthwork'!D10</f>
        <v>Top</v>
      </c>
      <c r="D12" s="16" t="str">
        <f>'3   Material'!G10</f>
        <v>D11R CD</v>
      </c>
      <c r="E12" s="20">
        <f>'4   Earthwork'!I10</f>
        <v>73481.5</v>
      </c>
      <c r="F12" s="336">
        <f>M12*N12*H12*O12/60*I12*2300/J12*K12*P12*Q12*R12</f>
        <v>616.48892052672636</v>
      </c>
      <c r="G12" s="336">
        <f>IF(F12=0,0,E12/F12)</f>
        <v>119.193545177126</v>
      </c>
      <c r="H12" s="338">
        <v>1.2</v>
      </c>
      <c r="I12" s="326">
        <f>-0.02*S12+1</f>
        <v>1.0708</v>
      </c>
      <c r="J12" s="337">
        <v>4185</v>
      </c>
      <c r="K12" s="328">
        <v>1.2</v>
      </c>
      <c r="L12" s="353">
        <f>'3   Material'!E10</f>
        <v>300</v>
      </c>
      <c r="M12" s="355">
        <f>IF(L12=0,0,159372.008958*L12^-0.862481)</f>
        <v>1163.9706519503002</v>
      </c>
      <c r="N12" s="326">
        <v>0.75</v>
      </c>
      <c r="O12" s="344">
        <v>50</v>
      </c>
      <c r="P12" s="344">
        <v>1</v>
      </c>
      <c r="Q12" s="344">
        <v>1</v>
      </c>
      <c r="R12" s="353">
        <v>1</v>
      </c>
      <c r="S12" s="357">
        <v>-3.54</v>
      </c>
    </row>
    <row r="13" spans="1:19" x14ac:dyDescent="0.2">
      <c r="A13" s="16" t="str">
        <f>'3   Material'!B11</f>
        <v>Dozer Assist</v>
      </c>
      <c r="B13" s="10" t="str">
        <f>'4   Earthwork'!C11</f>
        <v xml:space="preserve">Magnetite Tailings Top </v>
      </c>
      <c r="C13" s="10" t="str">
        <f>'4   Earthwork'!D11</f>
        <v>Top</v>
      </c>
      <c r="D13" s="16" t="str">
        <f>'3   Material'!G11</f>
        <v>D11R CD</v>
      </c>
      <c r="E13" s="247" t="s">
        <v>206</v>
      </c>
      <c r="F13" s="336" t="s">
        <v>206</v>
      </c>
      <c r="G13" s="336">
        <f>'10   Loader'!I10</f>
        <v>256.85741714285712</v>
      </c>
      <c r="H13" s="338" t="s">
        <v>206</v>
      </c>
      <c r="I13" s="326" t="s">
        <v>206</v>
      </c>
      <c r="J13" s="338" t="s">
        <v>206</v>
      </c>
      <c r="K13" s="338" t="s">
        <v>206</v>
      </c>
      <c r="L13" s="338" t="s">
        <v>206</v>
      </c>
      <c r="M13" s="338" t="s">
        <v>206</v>
      </c>
      <c r="N13" s="338" t="s">
        <v>206</v>
      </c>
      <c r="O13" s="338" t="s">
        <v>206</v>
      </c>
      <c r="P13" s="338" t="s">
        <v>206</v>
      </c>
      <c r="Q13" s="338" t="s">
        <v>206</v>
      </c>
      <c r="R13" s="338" t="s">
        <v>206</v>
      </c>
      <c r="S13" s="354" t="s">
        <v>206</v>
      </c>
    </row>
    <row r="14" spans="1:19" x14ac:dyDescent="0.2">
      <c r="A14" s="16" t="str">
        <f>'3   Material'!B12</f>
        <v>Dozer Assist</v>
      </c>
      <c r="B14" s="10" t="str">
        <f>'4   Earthwork'!C12</f>
        <v>Magnetite Tailings Outslopes</v>
      </c>
      <c r="C14" s="10" t="str">
        <f>'4   Earthwork'!D12</f>
        <v>Outslopes</v>
      </c>
      <c r="D14" s="16" t="str">
        <f>'3   Material'!G12</f>
        <v>D11R CD</v>
      </c>
      <c r="E14" s="247" t="s">
        <v>206</v>
      </c>
      <c r="F14" s="336" t="s">
        <v>206</v>
      </c>
      <c r="G14" s="336">
        <f>'10   Loader'!I11</f>
        <v>23.900611428571427</v>
      </c>
      <c r="H14" s="338" t="s">
        <v>206</v>
      </c>
      <c r="I14" s="326" t="s">
        <v>206</v>
      </c>
      <c r="J14" s="338" t="s">
        <v>206</v>
      </c>
      <c r="K14" s="338" t="s">
        <v>206</v>
      </c>
      <c r="L14" s="338" t="s">
        <v>206</v>
      </c>
      <c r="M14" s="338" t="s">
        <v>206</v>
      </c>
      <c r="N14" s="338" t="s">
        <v>206</v>
      </c>
      <c r="O14" s="338" t="s">
        <v>206</v>
      </c>
      <c r="P14" s="338" t="s">
        <v>206</v>
      </c>
      <c r="Q14" s="338" t="s">
        <v>206</v>
      </c>
      <c r="R14" s="338" t="s">
        <v>206</v>
      </c>
      <c r="S14" s="354" t="s">
        <v>206</v>
      </c>
    </row>
    <row r="15" spans="1:19" x14ac:dyDescent="0.2">
      <c r="A15" s="16"/>
      <c r="B15" s="10"/>
      <c r="C15" s="10"/>
      <c r="D15" s="16"/>
      <c r="E15" s="247"/>
      <c r="F15" s="247"/>
      <c r="G15" s="20"/>
      <c r="H15" s="66"/>
      <c r="J15" s="221"/>
      <c r="K15" s="18"/>
      <c r="L15" s="133"/>
      <c r="M15" s="181"/>
      <c r="N15" s="17"/>
      <c r="O15" s="24"/>
      <c r="P15" s="17"/>
      <c r="Q15" s="17"/>
      <c r="R15" s="18"/>
    </row>
    <row r="16" spans="1:19" x14ac:dyDescent="0.2">
      <c r="A16" s="16"/>
      <c r="B16" s="10"/>
      <c r="C16" s="10"/>
      <c r="D16" s="16"/>
      <c r="E16" s="20"/>
      <c r="F16" s="20"/>
      <c r="G16" s="20"/>
      <c r="J16" s="221"/>
      <c r="K16" s="18"/>
      <c r="L16" s="133"/>
      <c r="M16" s="181"/>
      <c r="N16" s="17"/>
      <c r="O16" s="24"/>
      <c r="P16" s="17"/>
      <c r="Q16" s="17"/>
      <c r="R16" s="18"/>
    </row>
    <row r="17" spans="1:18" x14ac:dyDescent="0.2">
      <c r="A17" s="16"/>
      <c r="B17" s="10"/>
      <c r="C17" s="10"/>
      <c r="D17" s="16"/>
      <c r="E17" s="20"/>
      <c r="F17" s="20"/>
      <c r="G17" s="20"/>
      <c r="J17" s="221"/>
      <c r="K17" s="18"/>
      <c r="L17" s="133"/>
      <c r="M17" s="181"/>
      <c r="N17" s="17"/>
      <c r="O17" s="24"/>
      <c r="P17" s="17"/>
      <c r="Q17" s="17"/>
      <c r="R17" s="18"/>
    </row>
    <row r="18" spans="1:18" x14ac:dyDescent="0.2">
      <c r="A18" s="16"/>
      <c r="B18" s="10"/>
      <c r="C18" s="10"/>
      <c r="D18" s="16"/>
      <c r="E18" s="20"/>
      <c r="F18" s="20"/>
      <c r="G18" s="20"/>
      <c r="J18" s="221"/>
      <c r="K18" s="18"/>
      <c r="L18" s="133"/>
      <c r="M18" s="181"/>
      <c r="N18" s="17"/>
      <c r="O18" s="24"/>
      <c r="P18" s="17"/>
      <c r="Q18" s="17"/>
      <c r="R18" s="18"/>
    </row>
    <row r="19" spans="1:18" x14ac:dyDescent="0.2">
      <c r="A19" s="16"/>
      <c r="B19" s="10"/>
      <c r="C19" s="10"/>
      <c r="D19" s="16"/>
      <c r="E19" s="20"/>
      <c r="F19" s="20"/>
      <c r="G19" s="20"/>
      <c r="J19" s="221"/>
      <c r="K19" s="18"/>
      <c r="L19" s="133"/>
      <c r="M19" s="181"/>
      <c r="N19" s="17"/>
      <c r="O19" s="24"/>
      <c r="P19" s="17"/>
      <c r="Q19" s="17"/>
      <c r="R19" s="18"/>
    </row>
    <row r="20" spans="1:18" x14ac:dyDescent="0.2">
      <c r="A20" s="16"/>
      <c r="B20" s="10"/>
      <c r="C20" s="10"/>
      <c r="D20" s="16"/>
      <c r="E20" s="20"/>
      <c r="F20" s="20"/>
      <c r="G20" s="20"/>
      <c r="J20" s="221"/>
      <c r="K20" s="18"/>
      <c r="L20" s="133"/>
      <c r="M20" s="181"/>
      <c r="N20" s="17"/>
      <c r="O20" s="24"/>
      <c r="P20" s="17"/>
      <c r="Q20" s="17"/>
      <c r="R20" s="18"/>
    </row>
    <row r="21" spans="1:18" x14ac:dyDescent="0.2">
      <c r="A21" s="16"/>
      <c r="B21" s="10"/>
      <c r="C21" s="10"/>
      <c r="D21" s="16"/>
      <c r="E21" s="20"/>
      <c r="F21" s="20"/>
      <c r="G21" s="20"/>
      <c r="J21" s="221"/>
      <c r="K21" s="18"/>
      <c r="L21" s="133"/>
      <c r="M21" s="181"/>
      <c r="N21" s="17"/>
      <c r="O21" s="24"/>
      <c r="P21" s="17"/>
      <c r="Q21" s="17"/>
      <c r="R21" s="18"/>
    </row>
    <row r="22" spans="1:18" x14ac:dyDescent="0.2">
      <c r="A22" s="16"/>
      <c r="B22" s="10"/>
      <c r="C22" s="10"/>
      <c r="D22" s="16"/>
      <c r="E22" s="20"/>
      <c r="F22" s="20"/>
      <c r="G22" s="20"/>
      <c r="H22" s="21"/>
      <c r="I22" s="17"/>
      <c r="J22" s="22"/>
      <c r="K22" s="18"/>
      <c r="L22" s="133"/>
      <c r="M22" s="181"/>
      <c r="N22" s="17"/>
      <c r="O22" s="24"/>
      <c r="P22" s="17"/>
      <c r="Q22" s="17"/>
      <c r="R22" s="18"/>
    </row>
    <row r="23" spans="1:18" x14ac:dyDescent="0.2">
      <c r="A23" s="16"/>
      <c r="B23" s="10" t="s">
        <v>228</v>
      </c>
      <c r="C23" s="10"/>
      <c r="D23" s="16"/>
      <c r="E23" s="20"/>
      <c r="F23" s="20"/>
      <c r="G23" s="20"/>
      <c r="H23" s="21"/>
      <c r="I23" s="17"/>
      <c r="J23" s="22"/>
      <c r="K23" s="18"/>
      <c r="L23" s="133"/>
      <c r="M23" s="181"/>
      <c r="N23" s="17"/>
      <c r="O23" s="24"/>
      <c r="P23" s="17"/>
      <c r="Q23" s="17"/>
      <c r="R23" s="18"/>
    </row>
    <row r="24" spans="1:18" x14ac:dyDescent="0.2">
      <c r="A24" s="16"/>
      <c r="B24" s="10"/>
      <c r="C24" s="10"/>
      <c r="D24" s="16"/>
      <c r="E24" s="20"/>
      <c r="F24" s="20"/>
      <c r="G24" s="20"/>
      <c r="H24" s="21"/>
      <c r="I24" s="17"/>
      <c r="J24" s="22"/>
      <c r="K24" s="18"/>
      <c r="L24" s="133"/>
      <c r="M24" s="181"/>
      <c r="N24" s="17"/>
      <c r="O24" s="24"/>
      <c r="P24" s="17"/>
      <c r="Q24" s="17"/>
      <c r="R24" s="18"/>
    </row>
    <row r="25" spans="1:18" x14ac:dyDescent="0.2">
      <c r="A25" s="16"/>
      <c r="B25" s="10"/>
      <c r="C25" s="10"/>
      <c r="D25" s="16"/>
      <c r="E25" s="20"/>
      <c r="F25" s="20"/>
      <c r="G25" s="20"/>
      <c r="H25" s="21"/>
      <c r="I25" s="17"/>
      <c r="J25" s="22"/>
      <c r="K25" s="18"/>
      <c r="L25" s="133"/>
      <c r="M25" s="181"/>
      <c r="N25" s="17"/>
      <c r="O25" s="24"/>
      <c r="P25" s="17"/>
      <c r="Q25" s="17"/>
      <c r="R25" s="18"/>
    </row>
    <row r="26" spans="1:18" x14ac:dyDescent="0.2">
      <c r="A26" s="16"/>
      <c r="B26" s="10"/>
      <c r="C26" s="10"/>
      <c r="D26" s="16"/>
      <c r="E26" s="20"/>
      <c r="F26" s="20"/>
      <c r="G26" s="20"/>
      <c r="H26" s="21"/>
      <c r="I26" s="17"/>
      <c r="J26" s="22"/>
      <c r="K26" s="18"/>
      <c r="L26" s="133"/>
      <c r="M26" s="181"/>
      <c r="N26" s="17"/>
      <c r="O26" s="24"/>
      <c r="P26" s="17"/>
      <c r="Q26" s="17"/>
      <c r="R26" s="18"/>
    </row>
  </sheetData>
  <customSheetViews>
    <customSheetView guid="{022582FA-9605-4A7F-B587-E5659EE41F6B}" scale="75" colorId="22" showPageBreaks="1" printArea="1" showRuler="0" topLeftCell="A6">
      <selection activeCell="E24" sqref="E24"/>
      <colBreaks count="2" manualBreakCount="2">
        <brk id="7" max="118" man="1"/>
        <brk id="13" max="20"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topLeftCell="A7">
      <selection activeCell="H20" sqref="H20"/>
      <colBreaks count="1" manualBreakCount="1">
        <brk id="7" max="118"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25" right="0.25" top="0.75" bottom="0.75" header="0.3" footer="0.3"/>
  <pageSetup scale="55" pageOrder="overThenDown" orientation="landscape" r:id="rId3"/>
  <headerFooter alignWithMargins="0">
    <oddFooter>&amp;C&amp;F
&amp;   Mag Tails Sheet 5
&amp;
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5161" r:id="rId6" name="Button 41">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5162" r:id="rId7" name="Button 42">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5163" r:id="rId8" name="Button 43">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5164" r:id="rId9" name="Button 44">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5165" r:id="rId10" name="Button 45">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5166" r:id="rId11" name="Button 46">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W49"/>
  <sheetViews>
    <sheetView defaultGridColor="0" view="pageBreakPreview" colorId="22" zoomScale="75" zoomScaleNormal="75" zoomScaleSheetLayoutView="75" workbookViewId="0">
      <pane xSplit="2" topLeftCell="C1" activePane="topRight" state="frozen"/>
      <selection activeCell="C41" sqref="C41"/>
      <selection pane="topRight" activeCell="C41" sqref="C41"/>
    </sheetView>
  </sheetViews>
  <sheetFormatPr defaultColWidth="9.77734375" defaultRowHeight="15" x14ac:dyDescent="0.2"/>
  <cols>
    <col min="1" max="1" width="17.5546875" style="35" customWidth="1"/>
    <col min="2" max="2" width="24.6640625" style="35" customWidth="1"/>
    <col min="3" max="3" width="9.5546875" style="35" customWidth="1"/>
    <col min="4" max="4" width="10.77734375" style="35" customWidth="1"/>
    <col min="5" max="5" width="9.77734375" style="35" customWidth="1"/>
    <col min="6" max="6" width="7.109375" style="35" customWidth="1"/>
    <col min="7" max="7" width="10" style="35" customWidth="1"/>
    <col min="8" max="8" width="12.33203125" style="35" customWidth="1"/>
    <col min="9" max="9" width="7.6640625" style="35" customWidth="1"/>
    <col min="10" max="10" width="7.109375" style="35" customWidth="1"/>
    <col min="11" max="11" width="6.77734375" style="35" customWidth="1"/>
    <col min="12" max="12" width="6.6640625" style="35" bestFit="1" customWidth="1"/>
    <col min="13" max="13" width="9.77734375" style="35" bestFit="1" customWidth="1"/>
    <col min="14" max="14" width="7.6640625" style="35" bestFit="1" customWidth="1"/>
    <col min="15" max="15" width="8.88671875" style="35" bestFit="1" customWidth="1"/>
    <col min="16" max="16" width="7.33203125" style="35" bestFit="1" customWidth="1"/>
    <col min="17" max="17" width="7.5546875" style="35" bestFit="1" customWidth="1"/>
    <col min="18" max="18" width="8.44140625" style="35" bestFit="1" customWidth="1"/>
    <col min="19" max="19" width="6.21875" style="35" bestFit="1" customWidth="1"/>
    <col min="20" max="20" width="6" style="35" bestFit="1" customWidth="1"/>
    <col min="21" max="21" width="8.109375" style="35" bestFit="1" customWidth="1"/>
    <col min="22" max="22" width="8.88671875" style="183" bestFit="1" customWidth="1"/>
    <col min="23" max="16384" width="9.77734375" style="35"/>
  </cols>
  <sheetData>
    <row r="1" spans="1:23" x14ac:dyDescent="0.2">
      <c r="A1" s="62"/>
      <c r="B1" s="16"/>
      <c r="C1" s="16"/>
      <c r="E1" s="16"/>
      <c r="F1" s="16"/>
      <c r="G1" s="16"/>
      <c r="H1" s="16"/>
      <c r="J1" s="10"/>
      <c r="K1" s="10"/>
      <c r="L1" s="10"/>
      <c r="M1" s="10"/>
      <c r="N1" s="10"/>
      <c r="O1" s="10"/>
      <c r="P1" s="10"/>
      <c r="Q1" s="10"/>
      <c r="R1" s="10"/>
      <c r="S1" s="10"/>
      <c r="T1" s="10"/>
      <c r="W1" s="19" t="str">
        <f>'1 General'!C1</f>
        <v>Cobre</v>
      </c>
    </row>
    <row r="2" spans="1:23" ht="18" x14ac:dyDescent="0.25">
      <c r="A2" s="393"/>
      <c r="B2" s="16"/>
      <c r="C2" s="16"/>
      <c r="D2" s="16"/>
      <c r="E2" s="16"/>
      <c r="F2" s="16"/>
      <c r="G2" s="16"/>
      <c r="H2" s="16"/>
      <c r="J2" s="10"/>
      <c r="K2" s="10"/>
      <c r="L2" s="10"/>
      <c r="M2" s="10"/>
      <c r="N2" s="10"/>
      <c r="O2" s="10"/>
      <c r="P2" s="10"/>
      <c r="Q2" s="10"/>
      <c r="R2" s="10"/>
      <c r="S2" s="10"/>
      <c r="T2" s="10"/>
      <c r="W2" s="19" t="s">
        <v>286</v>
      </c>
    </row>
    <row r="3" spans="1:23" x14ac:dyDescent="0.2">
      <c r="A3" s="15" t="s">
        <v>33</v>
      </c>
      <c r="B3" s="16"/>
      <c r="C3" s="16"/>
      <c r="D3" s="16"/>
      <c r="E3" s="16"/>
      <c r="F3" s="16"/>
      <c r="G3" s="16"/>
      <c r="H3" s="16"/>
      <c r="J3" s="10"/>
      <c r="K3" s="10"/>
      <c r="L3" s="10"/>
      <c r="M3" s="10"/>
      <c r="N3" s="10"/>
      <c r="O3" s="21"/>
      <c r="P3" s="10"/>
      <c r="Q3" s="10"/>
      <c r="R3" s="10"/>
      <c r="S3" s="10"/>
      <c r="T3" s="10"/>
      <c r="W3" s="70">
        <f>'1 General'!$C$3</f>
        <v>41955</v>
      </c>
    </row>
    <row r="4" spans="1:23" x14ac:dyDescent="0.2">
      <c r="A4" s="15"/>
      <c r="B4" s="16"/>
      <c r="C4" s="16"/>
      <c r="D4" s="16"/>
      <c r="E4" s="16"/>
      <c r="F4" s="16"/>
      <c r="G4" s="16"/>
      <c r="H4" s="16"/>
      <c r="I4" s="19"/>
      <c r="J4" s="131"/>
      <c r="K4" s="131"/>
      <c r="L4" s="10"/>
      <c r="M4" s="10"/>
      <c r="N4" s="10"/>
      <c r="O4" s="10"/>
      <c r="P4" s="10"/>
      <c r="Q4" s="10"/>
      <c r="R4" s="10"/>
      <c r="S4" s="10"/>
      <c r="T4" s="10"/>
    </row>
    <row r="5" spans="1:23" x14ac:dyDescent="0.2">
      <c r="A5" s="15"/>
      <c r="B5" s="16"/>
      <c r="C5" s="16"/>
      <c r="D5" s="16"/>
      <c r="E5" s="16"/>
      <c r="F5" s="16"/>
      <c r="G5" s="16"/>
      <c r="H5" s="16"/>
      <c r="I5" s="19"/>
      <c r="J5" s="131"/>
      <c r="K5" s="131"/>
      <c r="L5" s="131"/>
      <c r="M5" s="131"/>
      <c r="N5" s="131"/>
      <c r="O5" s="131"/>
      <c r="P5" s="131"/>
      <c r="Q5" s="10"/>
      <c r="R5" s="10"/>
      <c r="S5" s="10"/>
      <c r="T5" s="10"/>
    </row>
    <row r="6" spans="1:23" x14ac:dyDescent="0.2">
      <c r="A6" s="16"/>
      <c r="B6" s="17"/>
      <c r="C6" s="17"/>
      <c r="D6" s="16"/>
      <c r="E6" s="18"/>
      <c r="F6" s="18"/>
      <c r="G6" s="10"/>
      <c r="H6" s="10"/>
      <c r="I6" s="10"/>
      <c r="J6" s="10" t="s">
        <v>32</v>
      </c>
      <c r="K6" s="10"/>
      <c r="L6" s="10"/>
      <c r="M6" s="10"/>
      <c r="O6" s="183"/>
      <c r="V6" s="35"/>
    </row>
    <row r="7" spans="1:23" x14ac:dyDescent="0.2">
      <c r="A7" s="327"/>
      <c r="B7" s="325"/>
      <c r="C7" s="325"/>
      <c r="D7" s="326"/>
      <c r="E7" s="324"/>
      <c r="F7" s="327"/>
      <c r="G7" s="325"/>
      <c r="H7" s="325"/>
      <c r="I7" s="325"/>
      <c r="J7" s="325"/>
      <c r="K7" s="325"/>
      <c r="L7" s="325"/>
      <c r="M7" s="325" t="s">
        <v>47</v>
      </c>
      <c r="N7" s="328" t="s">
        <v>112</v>
      </c>
      <c r="O7" s="328"/>
      <c r="P7" s="325"/>
      <c r="Q7" s="325"/>
      <c r="R7" s="325"/>
      <c r="S7" s="325" t="s">
        <v>70</v>
      </c>
      <c r="T7" s="325"/>
      <c r="U7" s="324"/>
      <c r="V7" s="353" t="s">
        <v>152</v>
      </c>
      <c r="W7" s="325"/>
    </row>
    <row r="8" spans="1:23" x14ac:dyDescent="0.2">
      <c r="A8" s="325"/>
      <c r="B8" s="325"/>
      <c r="C8" s="325"/>
      <c r="D8" s="325"/>
      <c r="E8" s="325"/>
      <c r="F8" s="325"/>
      <c r="G8" s="325"/>
      <c r="H8" s="325"/>
      <c r="I8" s="325" t="s">
        <v>92</v>
      </c>
      <c r="J8" s="325"/>
      <c r="K8" s="325"/>
      <c r="L8" s="325" t="s">
        <v>101</v>
      </c>
      <c r="M8" s="325" t="s">
        <v>105</v>
      </c>
      <c r="N8" s="328" t="s">
        <v>104</v>
      </c>
      <c r="O8" s="328"/>
      <c r="P8" s="325" t="s">
        <v>88</v>
      </c>
      <c r="Q8" s="325"/>
      <c r="R8" s="325"/>
      <c r="S8" s="325" t="s">
        <v>110</v>
      </c>
      <c r="T8" s="325"/>
      <c r="U8" s="324"/>
      <c r="V8" s="353" t="s">
        <v>126</v>
      </c>
      <c r="W8" s="325" t="s">
        <v>106</v>
      </c>
    </row>
    <row r="9" spans="1:23" x14ac:dyDescent="0.2">
      <c r="A9" s="325" t="s">
        <v>91</v>
      </c>
      <c r="B9" s="325" t="s">
        <v>116</v>
      </c>
      <c r="C9" s="325" t="s">
        <v>117</v>
      </c>
      <c r="D9" s="325" t="s">
        <v>20</v>
      </c>
      <c r="E9" s="327" t="s">
        <v>17</v>
      </c>
      <c r="F9" s="325" t="s">
        <v>7</v>
      </c>
      <c r="G9" s="325" t="s">
        <v>31</v>
      </c>
      <c r="H9" s="325" t="s">
        <v>31</v>
      </c>
      <c r="I9" s="325" t="s">
        <v>30</v>
      </c>
      <c r="J9" s="325" t="s">
        <v>9</v>
      </c>
      <c r="K9" s="325" t="s">
        <v>19</v>
      </c>
      <c r="L9" s="325" t="s">
        <v>102</v>
      </c>
      <c r="M9" s="325" t="s">
        <v>104</v>
      </c>
      <c r="N9" s="328" t="s">
        <v>113</v>
      </c>
      <c r="O9" s="328" t="s">
        <v>114</v>
      </c>
      <c r="P9" s="325" t="s">
        <v>89</v>
      </c>
      <c r="Q9" s="325" t="s">
        <v>108</v>
      </c>
      <c r="R9" s="325" t="s">
        <v>109</v>
      </c>
      <c r="S9" s="325" t="s">
        <v>111</v>
      </c>
      <c r="T9" s="325" t="s">
        <v>19</v>
      </c>
      <c r="U9" s="325" t="s">
        <v>107</v>
      </c>
      <c r="V9" s="353" t="s">
        <v>18</v>
      </c>
      <c r="W9" s="325" t="s">
        <v>47</v>
      </c>
    </row>
    <row r="10" spans="1:23" x14ac:dyDescent="0.2">
      <c r="A10" s="325"/>
      <c r="B10" s="325"/>
      <c r="C10" s="325"/>
      <c r="D10" s="325"/>
      <c r="E10" s="325" t="s">
        <v>77</v>
      </c>
      <c r="F10" s="325" t="s">
        <v>53</v>
      </c>
      <c r="G10" s="325" t="s">
        <v>214</v>
      </c>
      <c r="H10" s="325" t="s">
        <v>76</v>
      </c>
      <c r="I10" s="325" t="s">
        <v>93</v>
      </c>
      <c r="J10" s="325" t="s">
        <v>25</v>
      </c>
      <c r="K10" s="325" t="s">
        <v>25</v>
      </c>
      <c r="L10" s="325" t="s">
        <v>103</v>
      </c>
      <c r="M10" s="325" t="s">
        <v>25</v>
      </c>
      <c r="N10" s="328" t="s">
        <v>100</v>
      </c>
      <c r="O10" s="328" t="s">
        <v>115</v>
      </c>
      <c r="P10" s="325" t="s">
        <v>90</v>
      </c>
      <c r="Q10" s="325" t="s">
        <v>25</v>
      </c>
      <c r="R10" s="325" t="s">
        <v>25</v>
      </c>
      <c r="S10" s="325" t="s">
        <v>25</v>
      </c>
      <c r="T10" s="325" t="s">
        <v>62</v>
      </c>
      <c r="U10" s="325" t="s">
        <v>25</v>
      </c>
      <c r="V10" s="353" t="s">
        <v>100</v>
      </c>
      <c r="W10" s="325" t="s">
        <v>76</v>
      </c>
    </row>
    <row r="11" spans="1:23" ht="17.25" customHeight="1" x14ac:dyDescent="0.2">
      <c r="A11" s="10" t="str">
        <f>'4   Earthwork'!B17</f>
        <v>Grade cover soil</v>
      </c>
      <c r="B11" s="10" t="str">
        <f>'4   Earthwork'!C17</f>
        <v xml:space="preserve">Magnetite Tailings Top </v>
      </c>
      <c r="C11" s="325" t="str">
        <f>'4   Earthwork'!D17</f>
        <v>-</v>
      </c>
      <c r="D11" s="327" t="str">
        <f>'3   Material'!G17</f>
        <v>D11R CD</v>
      </c>
      <c r="E11" s="336">
        <f>'4   Earthwork'!I17</f>
        <v>276615.67999999999</v>
      </c>
      <c r="F11" s="336"/>
      <c r="G11" s="356" t="s">
        <v>156</v>
      </c>
      <c r="H11" s="336">
        <f>(P11/60)*J11*2300/L11*M11*Q11*R11*S11*U11*K11*W11</f>
        <v>2016.5770264690136</v>
      </c>
      <c r="I11" s="358">
        <f>IF(H11=0,0,E11/H11)</f>
        <v>137.17089720314257</v>
      </c>
      <c r="J11" s="338">
        <v>1.2</v>
      </c>
      <c r="K11" s="338">
        <f>-0.02*T11+1</f>
        <v>1.0708</v>
      </c>
      <c r="L11" s="337">
        <v>3300</v>
      </c>
      <c r="M11" s="328">
        <v>1.2</v>
      </c>
      <c r="N11" s="359" t="s">
        <v>156</v>
      </c>
      <c r="O11" s="359" t="s">
        <v>156</v>
      </c>
      <c r="P11" s="344">
        <v>50</v>
      </c>
      <c r="Q11" s="326">
        <v>1</v>
      </c>
      <c r="R11" s="326">
        <v>1</v>
      </c>
      <c r="S11" s="328">
        <v>1</v>
      </c>
      <c r="T11" s="357">
        <v>-3.54</v>
      </c>
      <c r="U11" s="328">
        <v>0.75</v>
      </c>
      <c r="V11" s="353">
        <v>100</v>
      </c>
      <c r="W11" s="360">
        <f>IF(V11=0,0,159372.008958*V11^-0.862481)</f>
        <v>3002.2720776500773</v>
      </c>
    </row>
    <row r="12" spans="1:23" ht="17.25" customHeight="1" x14ac:dyDescent="0.2">
      <c r="A12" s="10" t="str">
        <f>'4   Earthwork'!B18</f>
        <v>Grade cover soil</v>
      </c>
      <c r="B12" s="10" t="str">
        <f>'4   Earthwork'!C18</f>
        <v>Magnetite Tailings Outslopes</v>
      </c>
      <c r="C12" s="325" t="str">
        <f>'4   Earthwork'!D18</f>
        <v>-</v>
      </c>
      <c r="D12" s="327" t="str">
        <f>'3   Material'!G18</f>
        <v>D11R CD</v>
      </c>
      <c r="E12" s="336">
        <f>'4   Earthwork'!I18</f>
        <v>25739.119999999999</v>
      </c>
      <c r="F12" s="336"/>
      <c r="G12" s="356" t="s">
        <v>156</v>
      </c>
      <c r="H12" s="336">
        <f>(P12/60)*J12*2300/L12*M12*Q12*R12*S12*U12*K12*W12</f>
        <v>3126.1840343094536</v>
      </c>
      <c r="I12" s="358">
        <f>IF(H12=0,0,E12/H12)</f>
        <v>8.2333988394530149</v>
      </c>
      <c r="J12" s="338">
        <v>1.2</v>
      </c>
      <c r="K12" s="338">
        <f>-0.02*T12+1</f>
        <v>1.6600000000000001</v>
      </c>
      <c r="L12" s="337">
        <v>3300</v>
      </c>
      <c r="M12" s="328">
        <v>1.2</v>
      </c>
      <c r="N12" s="359" t="s">
        <v>156</v>
      </c>
      <c r="O12" s="359" t="s">
        <v>156</v>
      </c>
      <c r="P12" s="344">
        <v>50</v>
      </c>
      <c r="Q12" s="326">
        <v>1</v>
      </c>
      <c r="R12" s="326">
        <v>1</v>
      </c>
      <c r="S12" s="328">
        <v>1</v>
      </c>
      <c r="T12" s="357">
        <v>-33</v>
      </c>
      <c r="U12" s="328">
        <v>0.75</v>
      </c>
      <c r="V12" s="353">
        <v>100</v>
      </c>
      <c r="W12" s="360">
        <f>IF(V12=0,0,159372.008958*V12^-0.862481)</f>
        <v>3002.2720776500773</v>
      </c>
    </row>
    <row r="13" spans="1:23" x14ac:dyDescent="0.2">
      <c r="A13" s="183"/>
      <c r="B13" s="183"/>
      <c r="C13" s="183"/>
      <c r="E13" s="231"/>
      <c r="F13" s="183"/>
      <c r="G13" s="53"/>
      <c r="H13" s="53"/>
      <c r="I13" s="53"/>
      <c r="J13" s="21"/>
      <c r="K13" s="21"/>
      <c r="L13" s="22"/>
      <c r="M13" s="18"/>
      <c r="N13" s="17"/>
      <c r="O13" s="17"/>
      <c r="P13" s="24"/>
      <c r="Q13" s="17"/>
      <c r="R13" s="17"/>
      <c r="S13" s="18"/>
      <c r="T13" s="230"/>
      <c r="U13" s="18"/>
      <c r="V13" s="256"/>
    </row>
    <row r="14" spans="1:23" x14ac:dyDescent="0.2">
      <c r="A14" s="183"/>
      <c r="B14" s="183"/>
      <c r="C14" s="183"/>
      <c r="E14" s="183"/>
      <c r="F14" s="183"/>
      <c r="G14" s="53"/>
      <c r="H14" s="53"/>
      <c r="I14" s="53"/>
      <c r="J14" s="21"/>
      <c r="K14" s="21"/>
      <c r="L14" s="22"/>
      <c r="M14" s="18"/>
      <c r="N14" s="18"/>
      <c r="O14" s="18"/>
      <c r="P14" s="24"/>
      <c r="Q14" s="17"/>
      <c r="R14" s="17"/>
      <c r="S14" s="18"/>
      <c r="T14" s="18"/>
    </row>
    <row r="15" spans="1:23" x14ac:dyDescent="0.2">
      <c r="A15" s="183"/>
      <c r="B15" s="183"/>
      <c r="C15" s="183"/>
      <c r="E15" s="183"/>
      <c r="F15" s="183"/>
      <c r="G15" s="53"/>
      <c r="H15" s="53"/>
      <c r="I15" s="53"/>
      <c r="J15" s="21"/>
      <c r="K15" s="21"/>
      <c r="L15" s="22"/>
      <c r="M15" s="18"/>
      <c r="N15" s="18"/>
      <c r="O15" s="18"/>
      <c r="P15" s="24"/>
      <c r="Q15" s="17"/>
      <c r="R15" s="17"/>
      <c r="S15" s="18"/>
      <c r="T15" s="18"/>
    </row>
    <row r="16" spans="1:23" x14ac:dyDescent="0.2">
      <c r="A16" s="183"/>
      <c r="B16" s="183"/>
      <c r="C16" s="183"/>
      <c r="E16" s="183"/>
      <c r="F16" s="183"/>
      <c r="G16" s="53"/>
      <c r="H16" s="53"/>
      <c r="I16" s="53"/>
      <c r="J16" s="21"/>
      <c r="K16" s="21"/>
      <c r="L16" s="22"/>
      <c r="M16" s="18"/>
      <c r="N16" s="18"/>
      <c r="O16" s="18"/>
      <c r="P16" s="24"/>
      <c r="Q16" s="17"/>
      <c r="R16" s="17"/>
      <c r="S16" s="18"/>
      <c r="T16" s="18"/>
    </row>
    <row r="17" spans="1:20" x14ac:dyDescent="0.2">
      <c r="A17" s="183"/>
      <c r="B17" s="183"/>
      <c r="C17" s="183"/>
      <c r="E17" s="183"/>
      <c r="F17" s="183"/>
      <c r="G17" s="53"/>
      <c r="H17" s="53"/>
      <c r="I17" s="53"/>
      <c r="J17" s="21"/>
      <c r="K17" s="21"/>
      <c r="L17" s="22"/>
      <c r="M17" s="18"/>
      <c r="N17" s="18"/>
      <c r="O17" s="18"/>
      <c r="P17" s="24"/>
      <c r="Q17" s="17"/>
      <c r="R17" s="17"/>
      <c r="S17" s="18"/>
      <c r="T17" s="18"/>
    </row>
    <row r="18" spans="1:20" x14ac:dyDescent="0.2">
      <c r="A18" s="183"/>
      <c r="B18" s="183"/>
      <c r="C18" s="183"/>
      <c r="E18" s="183"/>
      <c r="F18" s="183"/>
      <c r="G18" s="53"/>
      <c r="H18" s="53"/>
      <c r="I18" s="53"/>
      <c r="J18" s="21"/>
      <c r="K18" s="21"/>
      <c r="L18" s="22"/>
      <c r="M18" s="18"/>
      <c r="N18" s="18"/>
      <c r="O18" s="18"/>
      <c r="P18" s="24"/>
      <c r="Q18" s="17"/>
      <c r="R18" s="17"/>
      <c r="S18" s="18"/>
      <c r="T18" s="18"/>
    </row>
    <row r="19" spans="1:20" x14ac:dyDescent="0.2">
      <c r="A19" s="183"/>
      <c r="B19" s="183"/>
      <c r="C19" s="183"/>
      <c r="E19" s="183"/>
      <c r="F19" s="183"/>
      <c r="G19" s="53"/>
      <c r="H19" s="53"/>
      <c r="I19" s="53"/>
      <c r="J19" s="21"/>
      <c r="K19" s="21"/>
      <c r="L19" s="22"/>
      <c r="M19" s="18"/>
      <c r="N19" s="18"/>
      <c r="O19" s="18"/>
      <c r="P19" s="24"/>
      <c r="Q19" s="17"/>
      <c r="R19" s="17"/>
      <c r="S19" s="18"/>
      <c r="T19" s="18"/>
    </row>
    <row r="20" spans="1:20" x14ac:dyDescent="0.2">
      <c r="J20" s="21"/>
      <c r="K20" s="21"/>
      <c r="L20" s="22"/>
      <c r="M20" s="18"/>
      <c r="N20" s="18"/>
      <c r="O20" s="18"/>
    </row>
    <row r="21" spans="1:20" x14ac:dyDescent="0.2">
      <c r="J21" s="21"/>
      <c r="K21" s="21"/>
      <c r="L21" s="22"/>
      <c r="M21" s="18"/>
      <c r="N21" s="18"/>
      <c r="O21" s="18"/>
    </row>
    <row r="22" spans="1:20" x14ac:dyDescent="0.2">
      <c r="J22" s="21"/>
      <c r="K22" s="21"/>
      <c r="L22" s="22"/>
      <c r="M22" s="18"/>
      <c r="N22" s="18"/>
      <c r="O22" s="18"/>
    </row>
    <row r="23" spans="1:20" x14ac:dyDescent="0.2">
      <c r="J23" s="21"/>
      <c r="K23" s="21"/>
      <c r="L23" s="22"/>
      <c r="M23" s="18"/>
      <c r="N23" s="18"/>
      <c r="O23" s="18"/>
    </row>
    <row r="24" spans="1:20" x14ac:dyDescent="0.2">
      <c r="J24" s="21"/>
      <c r="K24" s="21"/>
      <c r="L24" s="22"/>
      <c r="M24" s="18"/>
      <c r="N24" s="18"/>
      <c r="O24" s="18"/>
    </row>
    <row r="25" spans="1:20" x14ac:dyDescent="0.2">
      <c r="J25" s="21"/>
      <c r="K25" s="21"/>
      <c r="L25" s="22"/>
      <c r="M25" s="18"/>
      <c r="N25" s="18"/>
      <c r="O25" s="18"/>
    </row>
    <row r="26" spans="1:20" x14ac:dyDescent="0.2">
      <c r="J26" s="21"/>
      <c r="K26" s="21"/>
      <c r="L26" s="22"/>
      <c r="M26" s="18"/>
      <c r="N26" s="18"/>
      <c r="O26" s="18"/>
    </row>
    <row r="27" spans="1:20" x14ac:dyDescent="0.2">
      <c r="J27" s="21"/>
      <c r="K27" s="21"/>
      <c r="L27" s="22"/>
      <c r="M27" s="18"/>
      <c r="N27" s="18"/>
      <c r="O27" s="18"/>
    </row>
    <row r="28" spans="1:20" x14ac:dyDescent="0.2">
      <c r="J28" s="21"/>
      <c r="K28" s="21"/>
      <c r="L28" s="22"/>
      <c r="M28" s="18"/>
      <c r="N28" s="18"/>
      <c r="O28" s="18"/>
    </row>
    <row r="29" spans="1:20" x14ac:dyDescent="0.2">
      <c r="J29" s="21"/>
      <c r="K29" s="21"/>
      <c r="L29" s="22"/>
      <c r="M29" s="18"/>
      <c r="N29" s="18"/>
      <c r="O29" s="18"/>
    </row>
    <row r="30" spans="1:20" x14ac:dyDescent="0.2">
      <c r="J30" s="21"/>
      <c r="K30" s="21"/>
      <c r="L30" s="22"/>
      <c r="M30" s="18"/>
      <c r="N30" s="18"/>
      <c r="O30" s="18"/>
    </row>
    <row r="31" spans="1:20" x14ac:dyDescent="0.2">
      <c r="J31" s="21"/>
      <c r="K31" s="21"/>
      <c r="L31" s="22"/>
      <c r="M31" s="18"/>
      <c r="N31" s="18"/>
      <c r="O31" s="18"/>
    </row>
    <row r="32" spans="1:20" x14ac:dyDescent="0.2">
      <c r="J32" s="21"/>
      <c r="K32" s="21"/>
      <c r="L32" s="22"/>
      <c r="M32" s="18"/>
      <c r="N32" s="18"/>
      <c r="O32" s="18"/>
    </row>
    <row r="33" spans="10:15" x14ac:dyDescent="0.2">
      <c r="J33" s="21"/>
      <c r="K33" s="21"/>
      <c r="L33" s="22"/>
      <c r="M33" s="18"/>
      <c r="N33" s="18"/>
      <c r="O33" s="18"/>
    </row>
    <row r="34" spans="10:15" x14ac:dyDescent="0.2">
      <c r="J34" s="21"/>
      <c r="K34" s="21"/>
      <c r="L34" s="22"/>
      <c r="M34" s="18"/>
      <c r="N34" s="18"/>
      <c r="O34" s="18"/>
    </row>
    <row r="35" spans="10:15" x14ac:dyDescent="0.2">
      <c r="J35" s="21"/>
      <c r="K35" s="21"/>
      <c r="L35" s="22"/>
      <c r="M35" s="18"/>
      <c r="N35" s="18"/>
      <c r="O35" s="18"/>
    </row>
    <row r="36" spans="10:15" x14ac:dyDescent="0.2">
      <c r="J36" s="21"/>
      <c r="K36" s="21"/>
      <c r="L36" s="22"/>
      <c r="M36" s="18"/>
      <c r="N36" s="18"/>
      <c r="O36" s="18"/>
    </row>
    <row r="37" spans="10:15" x14ac:dyDescent="0.2">
      <c r="J37" s="21"/>
      <c r="K37" s="21"/>
      <c r="L37" s="22"/>
      <c r="M37" s="18"/>
      <c r="N37" s="18"/>
      <c r="O37" s="18"/>
    </row>
    <row r="38" spans="10:15" x14ac:dyDescent="0.2">
      <c r="J38" s="21"/>
      <c r="K38" s="21"/>
      <c r="L38" s="22"/>
      <c r="M38" s="18"/>
      <c r="N38" s="18"/>
      <c r="O38" s="18"/>
    </row>
    <row r="39" spans="10:15" x14ac:dyDescent="0.2">
      <c r="J39" s="21"/>
      <c r="K39" s="21"/>
      <c r="L39" s="22"/>
      <c r="M39" s="18"/>
      <c r="N39" s="18"/>
      <c r="O39" s="18"/>
    </row>
    <row r="40" spans="10:15" x14ac:dyDescent="0.2">
      <c r="J40" s="21"/>
      <c r="K40" s="21"/>
      <c r="L40" s="22"/>
      <c r="M40" s="18"/>
      <c r="N40" s="18"/>
      <c r="O40" s="18"/>
    </row>
    <row r="41" spans="10:15" x14ac:dyDescent="0.2">
      <c r="J41" s="21"/>
      <c r="K41" s="21"/>
      <c r="L41" s="22"/>
      <c r="M41" s="18"/>
      <c r="N41" s="18"/>
      <c r="O41" s="18"/>
    </row>
    <row r="42" spans="10:15" x14ac:dyDescent="0.2">
      <c r="J42" s="21"/>
      <c r="K42" s="21"/>
      <c r="L42" s="22"/>
      <c r="M42" s="18"/>
      <c r="N42" s="18"/>
      <c r="O42" s="18"/>
    </row>
    <row r="43" spans="10:15" x14ac:dyDescent="0.2">
      <c r="J43" s="21"/>
      <c r="K43" s="21"/>
      <c r="L43" s="22"/>
      <c r="M43" s="18"/>
      <c r="N43" s="18"/>
      <c r="O43" s="18"/>
    </row>
    <row r="44" spans="10:15" x14ac:dyDescent="0.2">
      <c r="J44" s="21"/>
      <c r="K44" s="21"/>
      <c r="L44" s="22"/>
      <c r="M44" s="18"/>
      <c r="N44" s="18"/>
      <c r="O44" s="18"/>
    </row>
    <row r="45" spans="10:15" x14ac:dyDescent="0.2">
      <c r="J45" s="21"/>
      <c r="K45" s="21"/>
      <c r="L45" s="22"/>
      <c r="M45" s="18"/>
      <c r="N45" s="18"/>
      <c r="O45" s="18"/>
    </row>
    <row r="46" spans="10:15" x14ac:dyDescent="0.2">
      <c r="J46" s="21"/>
      <c r="K46" s="21"/>
      <c r="L46" s="22"/>
      <c r="M46" s="18"/>
      <c r="N46" s="18"/>
      <c r="O46" s="18"/>
    </row>
    <row r="47" spans="10:15" x14ac:dyDescent="0.2">
      <c r="J47" s="21"/>
      <c r="K47" s="21"/>
      <c r="L47" s="22"/>
      <c r="M47" s="18"/>
      <c r="N47" s="18"/>
      <c r="O47" s="18"/>
    </row>
    <row r="48" spans="10:15" x14ac:dyDescent="0.2">
      <c r="J48" s="21"/>
      <c r="K48" s="21"/>
      <c r="L48" s="22"/>
      <c r="M48" s="18"/>
      <c r="N48" s="18"/>
      <c r="O48" s="18"/>
    </row>
    <row r="49" spans="10:15" x14ac:dyDescent="0.2">
      <c r="J49" s="21"/>
      <c r="K49" s="21"/>
      <c r="L49" s="22"/>
      <c r="M49" s="18"/>
      <c r="N49" s="18"/>
      <c r="O49" s="18"/>
    </row>
  </sheetData>
  <customSheetViews>
    <customSheetView guid="{022582FA-9605-4A7F-B587-E5659EE41F6B}" scale="75" colorId="22" showPageBreaks="1" printArea="1" showRuler="0">
      <selection activeCell="R29" sqref="R29"/>
      <colBreaks count="2" manualBreakCount="2">
        <brk id="7" max="115" man="1"/>
        <brk id="14" max="30"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topLeftCell="B1">
      <selection activeCell="B31" sqref="B31"/>
      <colBreaks count="1" manualBreakCount="1">
        <brk id="7" max="115"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25" right="0.31" top="0.49" bottom="1" header="0.5" footer="0.7"/>
  <pageSetup scale="50" pageOrder="overThenDown" orientation="landscape" r:id="rId3"/>
  <headerFooter alignWithMargins="0">
    <oddFooter>&amp;C&amp;F
&amp;   Mag Tails Sheet 6
&amp;
Page &amp;P of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pageSetUpPr fitToPage="1"/>
  </sheetPr>
  <dimension ref="A1:Q44"/>
  <sheetViews>
    <sheetView defaultGridColor="0" view="pageBreakPreview" colorId="22" zoomScale="75" zoomScaleNormal="75" zoomScaleSheetLayoutView="75" workbookViewId="0">
      <selection activeCell="C41" sqref="C41"/>
    </sheetView>
  </sheetViews>
  <sheetFormatPr defaultColWidth="9.77734375" defaultRowHeight="15" x14ac:dyDescent="0.2"/>
  <cols>
    <col min="1" max="1" width="20.5546875" style="35" customWidth="1"/>
    <col min="2" max="2" width="19.5546875" style="35" customWidth="1"/>
    <col min="3" max="3" width="11.109375" style="35" customWidth="1"/>
    <col min="4" max="4" width="11.77734375" style="35" customWidth="1"/>
    <col min="5" max="5" width="6.77734375" style="35" customWidth="1"/>
    <col min="6" max="6" width="10.33203125" style="35" customWidth="1"/>
    <col min="7" max="7" width="10.21875" style="35" customWidth="1"/>
    <col min="8" max="8" width="10.33203125" style="35" customWidth="1"/>
    <col min="9" max="9" width="7.88671875" style="35" customWidth="1"/>
    <col min="10" max="10" width="10.6640625" style="35" customWidth="1"/>
    <col min="11" max="11" width="7.5546875" style="35" customWidth="1"/>
    <col min="12" max="12" width="8.33203125" style="35" customWidth="1"/>
    <col min="13" max="13" width="9.77734375" style="35"/>
    <col min="14" max="14" width="7.21875" style="35" customWidth="1"/>
    <col min="15" max="16" width="9.77734375" style="35"/>
    <col min="17" max="17" width="9.77734375" style="67"/>
    <col min="18" max="16384" width="9.77734375" style="35"/>
  </cols>
  <sheetData>
    <row r="1" spans="1:17" x14ac:dyDescent="0.2">
      <c r="A1" s="62"/>
      <c r="B1" s="16"/>
      <c r="C1" s="16"/>
      <c r="D1" s="16"/>
      <c r="E1" s="16"/>
      <c r="F1" s="16"/>
      <c r="H1" s="19" t="str">
        <f>'1 General'!C1</f>
        <v>Cobre</v>
      </c>
      <c r="I1" s="10"/>
      <c r="J1" s="10"/>
      <c r="K1" s="10"/>
      <c r="L1" s="10"/>
      <c r="M1" s="10"/>
      <c r="N1" s="10"/>
    </row>
    <row r="2" spans="1:17" ht="18" x14ac:dyDescent="0.25">
      <c r="A2" s="393"/>
      <c r="B2" s="16"/>
      <c r="C2" s="16"/>
      <c r="D2" s="16"/>
      <c r="E2" s="16"/>
      <c r="F2" s="16"/>
      <c r="H2" s="19" t="s">
        <v>283</v>
      </c>
      <c r="I2" s="10"/>
      <c r="J2" s="10"/>
      <c r="K2" s="10"/>
      <c r="L2" s="10"/>
      <c r="M2" s="10"/>
      <c r="N2" s="10"/>
    </row>
    <row r="3" spans="1:17" x14ac:dyDescent="0.2">
      <c r="A3" s="15" t="s">
        <v>34</v>
      </c>
      <c r="B3" s="16"/>
      <c r="C3" s="16"/>
      <c r="D3" s="16"/>
      <c r="E3" s="16"/>
      <c r="F3" s="16"/>
      <c r="H3" s="70">
        <f>'1 General'!$C$3</f>
        <v>41955</v>
      </c>
      <c r="I3" s="131"/>
      <c r="J3" s="10"/>
      <c r="K3" s="10"/>
      <c r="L3" s="10"/>
      <c r="M3" s="10"/>
      <c r="N3" s="10"/>
    </row>
    <row r="4" spans="1:17" x14ac:dyDescent="0.2">
      <c r="A4" s="15" t="s">
        <v>35</v>
      </c>
      <c r="B4" s="16"/>
      <c r="C4" s="16"/>
      <c r="D4" s="16"/>
      <c r="E4" s="16"/>
      <c r="F4" s="16"/>
      <c r="G4" s="129"/>
      <c r="H4" s="10"/>
      <c r="J4" s="10"/>
      <c r="K4" s="10"/>
      <c r="L4" s="10"/>
      <c r="M4" s="10"/>
      <c r="N4" s="10"/>
    </row>
    <row r="5" spans="1:17" x14ac:dyDescent="0.2">
      <c r="B5" s="16"/>
      <c r="C5" s="16"/>
      <c r="D5" s="16"/>
      <c r="E5" s="16"/>
      <c r="F5" s="16"/>
      <c r="G5" s="129"/>
      <c r="H5" s="10"/>
      <c r="I5" s="10"/>
      <c r="J5" s="10"/>
      <c r="K5" s="10"/>
      <c r="L5" s="10"/>
      <c r="M5" s="10"/>
      <c r="N5" s="10"/>
    </row>
    <row r="6" spans="1:17" ht="26.25" x14ac:dyDescent="0.4">
      <c r="A6" s="361" t="s">
        <v>210</v>
      </c>
      <c r="B6" s="16"/>
      <c r="C6" s="16"/>
      <c r="D6" s="16"/>
      <c r="E6" s="16"/>
      <c r="F6" s="16"/>
      <c r="G6" s="129"/>
      <c r="H6" s="10"/>
      <c r="I6" s="10"/>
      <c r="J6" s="10"/>
      <c r="K6" s="10"/>
      <c r="L6" s="10"/>
      <c r="M6" s="10"/>
      <c r="N6" s="10"/>
    </row>
    <row r="7" spans="1:17" ht="20.25" x14ac:dyDescent="0.3">
      <c r="A7" s="362" t="s">
        <v>215</v>
      </c>
      <c r="B7" s="16"/>
      <c r="C7" s="16"/>
      <c r="D7" s="16"/>
      <c r="E7" s="16"/>
      <c r="F7" s="16"/>
      <c r="G7" s="129"/>
      <c r="H7" s="10"/>
      <c r="I7" s="10"/>
      <c r="J7" s="10"/>
      <c r="K7" s="10"/>
      <c r="L7" s="10"/>
      <c r="M7" s="10"/>
      <c r="N7" s="10"/>
    </row>
    <row r="8" spans="1:17" x14ac:dyDescent="0.2">
      <c r="A8" s="10"/>
      <c r="B8" s="10"/>
      <c r="C8" s="10"/>
      <c r="D8" s="10"/>
      <c r="E8" s="30"/>
      <c r="F8" s="30"/>
      <c r="G8" s="30"/>
      <c r="H8" s="30"/>
      <c r="I8" s="30"/>
      <c r="J8" s="30"/>
      <c r="K8" s="30"/>
      <c r="L8" s="30"/>
      <c r="M8" s="30"/>
      <c r="N8" s="30"/>
      <c r="O8" s="30"/>
      <c r="P8" s="30"/>
      <c r="Q8" s="205"/>
    </row>
    <row r="9" spans="1:17" x14ac:dyDescent="0.2">
      <c r="A9" s="10"/>
      <c r="B9" s="10"/>
      <c r="C9" s="10"/>
      <c r="D9" s="10"/>
      <c r="E9" s="30"/>
      <c r="F9" s="30"/>
      <c r="G9" s="30"/>
      <c r="H9" s="30"/>
      <c r="I9" s="30"/>
      <c r="J9" s="30"/>
      <c r="K9" s="30"/>
      <c r="L9" s="30"/>
      <c r="M9" s="30"/>
      <c r="N9" s="30"/>
      <c r="P9" s="30"/>
      <c r="Q9" s="205"/>
    </row>
    <row r="10" spans="1:17" ht="18.75" x14ac:dyDescent="0.3">
      <c r="A10" s="33"/>
      <c r="B10" s="10"/>
      <c r="C10" s="10"/>
      <c r="D10" s="10"/>
      <c r="E10" s="30"/>
      <c r="F10" s="30"/>
      <c r="G10" s="30"/>
      <c r="H10" s="30"/>
      <c r="I10" s="30"/>
      <c r="J10" s="30"/>
      <c r="K10" s="30"/>
      <c r="L10" s="30"/>
      <c r="M10" s="30"/>
      <c r="N10" s="30"/>
      <c r="O10" s="30"/>
      <c r="Q10" s="205"/>
    </row>
    <row r="11" spans="1:17" ht="15.75" x14ac:dyDescent="0.25">
      <c r="A11" s="224"/>
      <c r="B11" s="10"/>
      <c r="C11" s="10"/>
      <c r="D11" s="10"/>
      <c r="E11" s="30"/>
      <c r="F11" s="30"/>
      <c r="G11" s="30"/>
      <c r="H11" s="30"/>
      <c r="I11" s="30"/>
      <c r="J11" s="30"/>
      <c r="K11" s="30"/>
      <c r="L11" s="30"/>
      <c r="M11" s="30"/>
      <c r="N11" s="30"/>
    </row>
    <row r="12" spans="1:17" ht="18.75" x14ac:dyDescent="0.3">
      <c r="A12" s="33"/>
      <c r="B12" s="10"/>
      <c r="C12" s="10"/>
      <c r="D12" s="10"/>
      <c r="E12" s="30"/>
      <c r="F12" s="30"/>
      <c r="G12" s="30"/>
      <c r="H12" s="30"/>
      <c r="I12" s="30"/>
      <c r="J12" s="30"/>
      <c r="K12" s="30"/>
      <c r="L12" s="30"/>
      <c r="M12" s="30"/>
      <c r="N12" s="30"/>
    </row>
    <row r="13" spans="1:17" ht="18.75" x14ac:dyDescent="0.3">
      <c r="A13" s="33"/>
      <c r="B13" s="10"/>
      <c r="C13" s="10"/>
      <c r="D13" s="10"/>
      <c r="E13" s="30"/>
      <c r="F13" s="30"/>
      <c r="G13" s="30"/>
      <c r="H13" s="30"/>
      <c r="I13" s="30"/>
      <c r="J13" s="30"/>
      <c r="K13" s="30"/>
      <c r="L13" s="30"/>
      <c r="M13" s="30"/>
      <c r="N13" s="30"/>
    </row>
    <row r="14" spans="1:17" ht="18.75" x14ac:dyDescent="0.3">
      <c r="A14" s="33"/>
      <c r="B14" s="10"/>
      <c r="C14" s="10"/>
      <c r="D14" s="10"/>
      <c r="E14" s="30"/>
      <c r="F14" s="30"/>
      <c r="G14" s="30"/>
      <c r="H14" s="30"/>
      <c r="I14" s="30"/>
      <c r="J14" s="30"/>
      <c r="K14" s="30"/>
      <c r="L14" s="30"/>
      <c r="M14" s="30"/>
      <c r="N14" s="30"/>
    </row>
    <row r="15" spans="1:17" ht="18.75" x14ac:dyDescent="0.3">
      <c r="A15" s="33"/>
      <c r="B15" s="10"/>
      <c r="C15" s="10"/>
      <c r="D15" s="10"/>
      <c r="E15" s="30"/>
      <c r="F15" s="30"/>
      <c r="G15" s="30"/>
      <c r="H15" s="30"/>
      <c r="I15" s="30"/>
      <c r="J15" s="30"/>
      <c r="K15" s="30"/>
      <c r="L15" s="30"/>
      <c r="M15" s="30"/>
      <c r="N15" s="30"/>
    </row>
    <row r="16" spans="1:17" x14ac:dyDescent="0.2">
      <c r="A16" s="10"/>
      <c r="B16" s="10"/>
      <c r="C16" s="10"/>
      <c r="D16" s="16"/>
      <c r="E16" s="20"/>
      <c r="F16" s="20"/>
      <c r="G16" s="182"/>
      <c r="H16" s="20"/>
      <c r="I16" s="23"/>
      <c r="J16" s="117"/>
      <c r="K16" s="130"/>
      <c r="L16" s="34"/>
      <c r="M16" s="113"/>
      <c r="N16" s="24"/>
    </row>
    <row r="17" spans="1:14" x14ac:dyDescent="0.2">
      <c r="A17" s="10"/>
      <c r="B17" s="10"/>
      <c r="C17" s="10"/>
      <c r="D17" s="16"/>
      <c r="E17" s="20"/>
      <c r="F17" s="20"/>
      <c r="G17" s="182"/>
      <c r="H17" s="20"/>
      <c r="I17" s="23"/>
      <c r="J17" s="117"/>
      <c r="K17" s="130"/>
      <c r="L17" s="34"/>
      <c r="M17" s="113"/>
      <c r="N17" s="24"/>
    </row>
    <row r="18" spans="1:14" x14ac:dyDescent="0.2">
      <c r="A18" s="10"/>
      <c r="B18" s="10"/>
      <c r="C18" s="10"/>
      <c r="D18" s="16"/>
      <c r="E18" s="20"/>
      <c r="F18" s="20"/>
      <c r="G18" s="182"/>
      <c r="H18" s="20"/>
      <c r="I18" s="23"/>
      <c r="J18" s="117"/>
      <c r="K18" s="130"/>
      <c r="L18" s="34"/>
      <c r="M18" s="113"/>
      <c r="N18" s="24"/>
    </row>
    <row r="19" spans="1:14" x14ac:dyDescent="0.2">
      <c r="A19" s="10"/>
      <c r="B19" s="10"/>
      <c r="C19" s="10"/>
      <c r="D19" s="16"/>
      <c r="E19" s="20"/>
      <c r="F19" s="20"/>
      <c r="G19" s="182"/>
      <c r="H19" s="20"/>
      <c r="I19" s="23"/>
      <c r="J19" s="117"/>
      <c r="K19" s="130"/>
      <c r="L19" s="34"/>
      <c r="M19" s="113"/>
      <c r="N19" s="24"/>
    </row>
    <row r="20" spans="1:14" x14ac:dyDescent="0.2">
      <c r="A20" s="10"/>
      <c r="B20" s="10"/>
      <c r="C20" s="10"/>
      <c r="D20" s="16"/>
      <c r="E20" s="20"/>
      <c r="F20" s="20"/>
      <c r="G20" s="182"/>
      <c r="H20" s="20"/>
      <c r="I20" s="23"/>
      <c r="J20" s="117"/>
      <c r="K20" s="130"/>
      <c r="L20" s="34"/>
      <c r="M20" s="113"/>
      <c r="N20" s="24"/>
    </row>
    <row r="21" spans="1:14" x14ac:dyDescent="0.2">
      <c r="A21" s="10"/>
      <c r="B21" s="10"/>
      <c r="C21" s="10"/>
      <c r="D21" s="16"/>
      <c r="E21" s="20"/>
      <c r="F21" s="20"/>
      <c r="G21" s="182"/>
      <c r="H21" s="20"/>
      <c r="I21" s="23"/>
      <c r="J21" s="117"/>
      <c r="K21" s="130"/>
      <c r="L21" s="34"/>
      <c r="M21" s="113"/>
      <c r="N21" s="24"/>
    </row>
    <row r="22" spans="1:14" x14ac:dyDescent="0.2">
      <c r="A22" s="10"/>
      <c r="B22" s="10"/>
      <c r="C22" s="10"/>
      <c r="D22" s="16"/>
      <c r="E22" s="20"/>
      <c r="F22" s="20"/>
      <c r="G22" s="182"/>
      <c r="H22" s="20"/>
      <c r="I22" s="23"/>
      <c r="J22" s="117"/>
      <c r="K22" s="130"/>
      <c r="L22" s="34"/>
      <c r="M22" s="113"/>
      <c r="N22" s="24"/>
    </row>
    <row r="23" spans="1:14" x14ac:dyDescent="0.2">
      <c r="A23" s="10"/>
      <c r="B23" s="10"/>
      <c r="C23" s="10"/>
      <c r="D23" s="16"/>
      <c r="E23" s="20"/>
      <c r="F23" s="20"/>
      <c r="G23" s="182"/>
      <c r="H23" s="20"/>
      <c r="I23" s="23"/>
      <c r="J23" s="117"/>
      <c r="K23" s="130"/>
      <c r="L23" s="34"/>
      <c r="M23" s="113"/>
      <c r="N23" s="24"/>
    </row>
    <row r="24" spans="1:14" x14ac:dyDescent="0.2">
      <c r="A24" s="10"/>
      <c r="B24" s="10"/>
      <c r="C24" s="10"/>
      <c r="D24" s="16"/>
      <c r="E24" s="20"/>
      <c r="F24" s="20"/>
      <c r="G24" s="182"/>
      <c r="H24" s="20"/>
      <c r="I24" s="23"/>
      <c r="J24" s="117"/>
      <c r="K24" s="130"/>
      <c r="L24" s="34"/>
      <c r="M24" s="113"/>
      <c r="N24" s="24"/>
    </row>
    <row r="25" spans="1:14" x14ac:dyDescent="0.2">
      <c r="A25" s="10"/>
      <c r="B25" s="10"/>
      <c r="C25" s="10"/>
      <c r="D25" s="16"/>
      <c r="E25" s="20"/>
      <c r="F25" s="20"/>
      <c r="G25" s="182"/>
      <c r="H25" s="20"/>
      <c r="I25" s="23"/>
      <c r="J25" s="117"/>
      <c r="K25" s="130"/>
      <c r="L25" s="34"/>
      <c r="M25" s="113"/>
      <c r="N25" s="24"/>
    </row>
    <row r="26" spans="1:14" x14ac:dyDescent="0.2">
      <c r="A26" s="10"/>
      <c r="B26" s="10"/>
      <c r="C26" s="10"/>
      <c r="D26" s="16"/>
      <c r="E26" s="20"/>
      <c r="F26" s="20"/>
      <c r="G26" s="182"/>
      <c r="H26" s="20"/>
      <c r="I26" s="23"/>
      <c r="J26" s="117"/>
      <c r="K26" s="130"/>
      <c r="L26" s="34"/>
      <c r="M26" s="113"/>
      <c r="N26" s="24"/>
    </row>
    <row r="27" spans="1:14" x14ac:dyDescent="0.2">
      <c r="A27" s="10"/>
      <c r="B27" s="10"/>
      <c r="C27" s="10"/>
      <c r="D27" s="16"/>
      <c r="E27" s="20"/>
      <c r="F27" s="20"/>
      <c r="G27" s="182"/>
      <c r="H27" s="20"/>
      <c r="I27" s="23"/>
      <c r="J27" s="117"/>
      <c r="K27" s="130"/>
      <c r="L27" s="34"/>
      <c r="M27" s="113"/>
      <c r="N27" s="24"/>
    </row>
    <row r="28" spans="1:14" x14ac:dyDescent="0.2">
      <c r="A28" s="10"/>
      <c r="B28" s="10"/>
      <c r="C28" s="10"/>
      <c r="D28" s="16"/>
      <c r="E28" s="20"/>
      <c r="F28" s="20"/>
      <c r="G28" s="182"/>
      <c r="H28" s="20"/>
      <c r="I28" s="23"/>
      <c r="J28" s="117"/>
      <c r="K28" s="130"/>
      <c r="L28" s="34"/>
      <c r="M28" s="113"/>
      <c r="N28" s="24"/>
    </row>
    <row r="29" spans="1:14" x14ac:dyDescent="0.2">
      <c r="A29" s="10"/>
      <c r="B29" s="10"/>
      <c r="C29" s="10"/>
      <c r="D29" s="16"/>
      <c r="E29" s="20"/>
      <c r="F29" s="20"/>
      <c r="G29" s="182"/>
      <c r="H29" s="20"/>
      <c r="I29" s="23"/>
      <c r="J29" s="117"/>
      <c r="K29" s="130"/>
      <c r="L29" s="34"/>
      <c r="M29" s="113"/>
      <c r="N29" s="24"/>
    </row>
    <row r="30" spans="1:14" x14ac:dyDescent="0.2">
      <c r="A30" s="10"/>
      <c r="B30" s="10"/>
      <c r="C30" s="10"/>
      <c r="D30" s="16"/>
      <c r="E30" s="20"/>
      <c r="F30" s="20"/>
      <c r="G30" s="182"/>
      <c r="H30" s="20"/>
      <c r="I30" s="23"/>
      <c r="J30" s="117"/>
      <c r="K30" s="130"/>
      <c r="L30" s="34"/>
      <c r="M30" s="113"/>
      <c r="N30" s="24"/>
    </row>
    <row r="31" spans="1:14" x14ac:dyDescent="0.2">
      <c r="A31" s="10"/>
      <c r="B31" s="10"/>
      <c r="C31" s="10"/>
      <c r="D31" s="16"/>
      <c r="E31" s="20"/>
      <c r="F31" s="20"/>
      <c r="G31" s="182"/>
      <c r="H31" s="20"/>
      <c r="I31" s="23"/>
      <c r="J31" s="117"/>
      <c r="K31" s="130"/>
      <c r="L31" s="34"/>
      <c r="M31" s="113"/>
      <c r="N31" s="24"/>
    </row>
    <row r="32" spans="1:14" x14ac:dyDescent="0.2">
      <c r="A32" s="10"/>
      <c r="B32" s="10"/>
      <c r="C32" s="10"/>
      <c r="D32" s="16"/>
      <c r="E32" s="20"/>
      <c r="F32" s="20"/>
      <c r="G32" s="182"/>
      <c r="H32" s="20"/>
      <c r="I32" s="23"/>
      <c r="J32" s="117"/>
      <c r="K32" s="130"/>
      <c r="L32" s="34"/>
      <c r="M32" s="113"/>
      <c r="N32" s="24"/>
    </row>
    <row r="33" spans="1:14" x14ac:dyDescent="0.2">
      <c r="A33" s="10"/>
      <c r="B33" s="10"/>
      <c r="C33" s="10"/>
      <c r="D33" s="16"/>
      <c r="E33" s="20"/>
      <c r="F33" s="20"/>
      <c r="G33" s="182"/>
      <c r="H33" s="20"/>
      <c r="I33" s="23"/>
      <c r="J33" s="117"/>
      <c r="K33" s="130"/>
      <c r="L33" s="34"/>
      <c r="M33" s="113"/>
      <c r="N33" s="24"/>
    </row>
    <row r="34" spans="1:14" x14ac:dyDescent="0.2">
      <c r="A34" s="10"/>
      <c r="B34" s="10"/>
      <c r="C34" s="10"/>
      <c r="D34" s="16"/>
      <c r="E34" s="20"/>
      <c r="F34" s="20"/>
      <c r="G34" s="182"/>
      <c r="H34" s="20"/>
      <c r="I34" s="23"/>
      <c r="J34" s="117"/>
      <c r="K34" s="130"/>
      <c r="L34" s="34"/>
      <c r="M34" s="113"/>
      <c r="N34" s="24"/>
    </row>
    <row r="35" spans="1:14" x14ac:dyDescent="0.2">
      <c r="A35" s="10"/>
      <c r="B35" s="10"/>
      <c r="C35" s="10"/>
      <c r="D35" s="16"/>
      <c r="E35" s="20"/>
      <c r="F35" s="20"/>
      <c r="G35" s="182"/>
      <c r="H35" s="20"/>
      <c r="I35" s="23"/>
      <c r="J35" s="117"/>
      <c r="K35" s="130"/>
      <c r="L35" s="34"/>
      <c r="M35" s="113"/>
      <c r="N35" s="24"/>
    </row>
    <row r="36" spans="1:14" x14ac:dyDescent="0.2">
      <c r="A36" s="10"/>
      <c r="B36" s="10"/>
      <c r="C36" s="10"/>
      <c r="D36" s="16"/>
      <c r="E36" s="20"/>
      <c r="F36" s="20"/>
      <c r="G36" s="182"/>
      <c r="H36" s="20"/>
      <c r="I36" s="23"/>
      <c r="J36" s="117"/>
      <c r="K36" s="130"/>
      <c r="L36" s="34"/>
      <c r="M36" s="113"/>
      <c r="N36" s="24"/>
    </row>
    <row r="37" spans="1:14" x14ac:dyDescent="0.2">
      <c r="A37" s="10"/>
      <c r="B37" s="10"/>
      <c r="C37" s="10"/>
      <c r="D37" s="16"/>
      <c r="E37" s="20"/>
      <c r="F37" s="20"/>
      <c r="G37" s="182"/>
      <c r="H37" s="20"/>
      <c r="I37" s="23"/>
      <c r="J37" s="117"/>
      <c r="K37" s="130"/>
      <c r="L37" s="34"/>
      <c r="M37" s="113"/>
      <c r="N37" s="24"/>
    </row>
    <row r="38" spans="1:14" x14ac:dyDescent="0.2">
      <c r="A38" s="10"/>
      <c r="B38" s="10"/>
      <c r="C38" s="10"/>
      <c r="D38" s="16"/>
      <c r="E38" s="20"/>
      <c r="F38" s="20"/>
      <c r="G38" s="182"/>
      <c r="H38" s="20"/>
      <c r="I38" s="23"/>
      <c r="J38" s="117"/>
      <c r="K38" s="130"/>
      <c r="L38" s="34"/>
      <c r="M38" s="113"/>
      <c r="N38" s="24"/>
    </row>
    <row r="39" spans="1:14" x14ac:dyDescent="0.2">
      <c r="A39" s="10"/>
      <c r="B39" s="10"/>
      <c r="C39" s="10"/>
      <c r="D39" s="16"/>
      <c r="E39" s="20"/>
      <c r="F39" s="20"/>
      <c r="G39" s="182"/>
      <c r="H39" s="20"/>
      <c r="I39" s="23"/>
      <c r="J39" s="117"/>
      <c r="K39" s="130"/>
      <c r="L39" s="34"/>
      <c r="M39" s="113"/>
      <c r="N39" s="24"/>
    </row>
    <row r="40" spans="1:14" x14ac:dyDescent="0.2">
      <c r="A40" s="10"/>
      <c r="B40" s="10"/>
      <c r="C40" s="10"/>
      <c r="D40" s="16"/>
      <c r="E40" s="20"/>
      <c r="F40" s="20"/>
      <c r="G40" s="182"/>
      <c r="H40" s="20"/>
      <c r="I40" s="23"/>
      <c r="J40" s="117"/>
      <c r="K40" s="130"/>
      <c r="L40" s="34"/>
      <c r="M40" s="113"/>
      <c r="N40" s="24"/>
    </row>
    <row r="41" spans="1:14" x14ac:dyDescent="0.2">
      <c r="A41" s="10"/>
      <c r="B41" s="10"/>
      <c r="C41" s="10"/>
      <c r="D41" s="16"/>
      <c r="E41" s="20"/>
      <c r="F41" s="20"/>
      <c r="G41" s="182"/>
      <c r="H41" s="20"/>
      <c r="I41" s="23"/>
      <c r="J41" s="117"/>
      <c r="K41" s="130"/>
      <c r="L41" s="34"/>
      <c r="M41" s="113"/>
      <c r="N41" s="24"/>
    </row>
    <row r="42" spans="1:14" x14ac:dyDescent="0.2">
      <c r="A42" s="10"/>
      <c r="B42" s="10"/>
      <c r="C42" s="10"/>
      <c r="D42" s="16"/>
      <c r="E42" s="20"/>
      <c r="F42" s="20"/>
      <c r="G42" s="182"/>
      <c r="H42" s="20"/>
      <c r="I42" s="23"/>
      <c r="J42" s="117"/>
      <c r="K42" s="130"/>
      <c r="L42" s="34"/>
      <c r="M42" s="113"/>
      <c r="N42" s="24"/>
    </row>
    <row r="43" spans="1:14" x14ac:dyDescent="0.2">
      <c r="A43" s="10"/>
      <c r="B43" s="10"/>
      <c r="C43" s="10"/>
      <c r="D43" s="16"/>
      <c r="E43" s="20"/>
      <c r="F43" s="20"/>
      <c r="G43" s="182"/>
      <c r="H43" s="20"/>
      <c r="I43" s="23"/>
      <c r="J43" s="117"/>
      <c r="K43" s="130"/>
      <c r="L43" s="34"/>
      <c r="M43" s="113"/>
      <c r="N43" s="24"/>
    </row>
    <row r="44" spans="1:14" x14ac:dyDescent="0.2">
      <c r="A44" s="10"/>
      <c r="B44" s="10"/>
      <c r="C44" s="10"/>
      <c r="D44" s="16"/>
      <c r="E44" s="20"/>
      <c r="F44" s="20"/>
      <c r="G44" s="182"/>
      <c r="H44" s="20"/>
      <c r="I44" s="23"/>
      <c r="J44" s="117"/>
      <c r="K44" s="130"/>
      <c r="L44" s="34"/>
      <c r="M44" s="113"/>
      <c r="N44" s="24"/>
    </row>
  </sheetData>
  <customSheetViews>
    <customSheetView guid="{022582FA-9605-4A7F-B587-E5659EE41F6B}" scale="75" colorId="22" showPageBreaks="1" printArea="1" showRuler="0">
      <selection activeCell="H29" sqref="H29"/>
      <colBreaks count="1" manualBreakCount="1">
        <brk id="8" max="30"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selection activeCell="E13" sqref="E13"/>
      <colBreaks count="1" manualBreakCount="1">
        <brk id="8" max="30"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75" right="0.75" top="1" bottom="1" header="0.5" footer="0.5"/>
  <pageSetup scale="66" orientation="landscape" r:id="rId3"/>
  <headerFooter alignWithMargins="0">
    <oddFooter>&amp;C&amp;F
&amp;   Mag Tails Sheet 7
&amp;
Page &amp;P of &amp;N</oddFooter>
  </headerFooter>
  <colBreaks count="1" manualBreakCount="1">
    <brk id="8" max="7" man="1"/>
  </colBreaks>
  <drawing r:id="rId4"/>
  <legacyDrawing r:id="rId5"/>
  <mc:AlternateContent xmlns:mc="http://schemas.openxmlformats.org/markup-compatibility/2006">
    <mc:Choice Requires="x14">
      <controls>
        <mc:AlternateContent xmlns:mc="http://schemas.openxmlformats.org/markup-compatibility/2006">
          <mc:Choice Requires="x14">
            <control shapeId="7229" r:id="rId6" name="Button 61">
              <controlPr locked="0" defaultSize="0" autoFill="0" autoLine="0" autoPict="0">
                <anchor moveWithCells="1" sizeWithCells="1">
                  <from>
                    <xdr:col>0</xdr:col>
                    <xdr:colOff>0</xdr:colOff>
                    <xdr:row>19</xdr:row>
                    <xdr:rowOff>0</xdr:rowOff>
                  </from>
                  <to>
                    <xdr:col>0</xdr:col>
                    <xdr:colOff>0</xdr:colOff>
                    <xdr:row>19</xdr:row>
                    <xdr:rowOff>0</xdr:rowOff>
                  </to>
                </anchor>
              </controlPr>
            </control>
          </mc:Choice>
        </mc:AlternateContent>
        <mc:AlternateContent xmlns:mc="http://schemas.openxmlformats.org/markup-compatibility/2006">
          <mc:Choice Requires="x14">
            <control shapeId="7230" r:id="rId7" name="Button 62">
              <controlPr locked="0" defaultSize="0" autoFill="0" autoLine="0" autoPict="0">
                <anchor moveWithCells="1" sizeWithCells="1">
                  <from>
                    <xdr:col>0</xdr:col>
                    <xdr:colOff>0</xdr:colOff>
                    <xdr:row>19</xdr:row>
                    <xdr:rowOff>0</xdr:rowOff>
                  </from>
                  <to>
                    <xdr:col>0</xdr:col>
                    <xdr:colOff>0</xdr:colOff>
                    <xdr:row>19</xdr:row>
                    <xdr:rowOff>0</xdr:rowOff>
                  </to>
                </anchor>
              </controlPr>
            </control>
          </mc:Choice>
        </mc:AlternateContent>
        <mc:AlternateContent xmlns:mc="http://schemas.openxmlformats.org/markup-compatibility/2006">
          <mc:Choice Requires="x14">
            <control shapeId="7231" r:id="rId8" name="Button 63">
              <controlPr locked="0" defaultSize="0" autoFill="0" autoLine="0" autoPict="0">
                <anchor moveWithCells="1" sizeWithCells="1">
                  <from>
                    <xdr:col>0</xdr:col>
                    <xdr:colOff>0</xdr:colOff>
                    <xdr:row>19</xdr:row>
                    <xdr:rowOff>0</xdr:rowOff>
                  </from>
                  <to>
                    <xdr:col>0</xdr:col>
                    <xdr:colOff>0</xdr:colOff>
                    <xdr:row>19</xdr:row>
                    <xdr:rowOff>0</xdr:rowOff>
                  </to>
                </anchor>
              </controlPr>
            </control>
          </mc:Choice>
        </mc:AlternateContent>
        <mc:AlternateContent xmlns:mc="http://schemas.openxmlformats.org/markup-compatibility/2006">
          <mc:Choice Requires="x14">
            <control shapeId="7232" r:id="rId9" name="Button 64">
              <controlPr locked="0" defaultSize="0" autoFill="0" autoLine="0" autoPict="0">
                <anchor moveWithCells="1" sizeWithCells="1">
                  <from>
                    <xdr:col>0</xdr:col>
                    <xdr:colOff>0</xdr:colOff>
                    <xdr:row>19</xdr:row>
                    <xdr:rowOff>0</xdr:rowOff>
                  </from>
                  <to>
                    <xdr:col>0</xdr:col>
                    <xdr:colOff>0</xdr:colOff>
                    <xdr:row>19</xdr:row>
                    <xdr:rowOff>0</xdr:rowOff>
                  </to>
                </anchor>
              </controlPr>
            </control>
          </mc:Choice>
        </mc:AlternateContent>
        <mc:AlternateContent xmlns:mc="http://schemas.openxmlformats.org/markup-compatibility/2006">
          <mc:Choice Requires="x14">
            <control shapeId="7233" r:id="rId10" name="Button 65">
              <controlPr locked="0" defaultSize="0" autoFill="0" autoLine="0" autoPict="0">
                <anchor moveWithCells="1" sizeWithCells="1">
                  <from>
                    <xdr:col>0</xdr:col>
                    <xdr:colOff>0</xdr:colOff>
                    <xdr:row>19</xdr:row>
                    <xdr:rowOff>0</xdr:rowOff>
                  </from>
                  <to>
                    <xdr:col>0</xdr:col>
                    <xdr:colOff>0</xdr:colOff>
                    <xdr:row>19</xdr:row>
                    <xdr:rowOff>0</xdr:rowOff>
                  </to>
                </anchor>
              </controlPr>
            </control>
          </mc:Choice>
        </mc:AlternateContent>
        <mc:AlternateContent xmlns:mc="http://schemas.openxmlformats.org/markup-compatibility/2006">
          <mc:Choice Requires="x14">
            <control shapeId="7234" r:id="rId11" name="Button 66">
              <controlPr locked="0" defaultSize="0" autoFill="0" autoLine="0" autoPict="0">
                <anchor moveWithCells="1" sizeWithCells="1">
                  <from>
                    <xdr:col>0</xdr:col>
                    <xdr:colOff>0</xdr:colOff>
                    <xdr:row>19</xdr:row>
                    <xdr:rowOff>0</xdr:rowOff>
                  </from>
                  <to>
                    <xdr:col>0</xdr:col>
                    <xdr:colOff>0</xdr:colOff>
                    <xdr:row>19</xdr:row>
                    <xdr:rowOff>0</xdr:rowOff>
                  </to>
                </anchor>
              </controlPr>
            </control>
          </mc:Choice>
        </mc:AlternateContent>
        <mc:AlternateContent xmlns:mc="http://schemas.openxmlformats.org/markup-compatibility/2006">
          <mc:Choice Requires="x14">
            <control shapeId="7235" r:id="rId12" name="Button 67">
              <controlPr locked="0" defaultSize="0" autoFill="0" autoLine="0" autoPict="0">
                <anchor moveWithCells="1" sizeWithCells="1">
                  <from>
                    <xdr:col>0</xdr:col>
                    <xdr:colOff>0</xdr:colOff>
                    <xdr:row>19</xdr:row>
                    <xdr:rowOff>0</xdr:rowOff>
                  </from>
                  <to>
                    <xdr:col>0</xdr:col>
                    <xdr:colOff>0</xdr:colOff>
                    <xdr:row>19</xdr:row>
                    <xdr:rowOff>0</xdr:rowOff>
                  </to>
                </anchor>
              </controlPr>
            </control>
          </mc:Choice>
        </mc:AlternateContent>
        <mc:AlternateContent xmlns:mc="http://schemas.openxmlformats.org/markup-compatibility/2006">
          <mc:Choice Requires="x14">
            <control shapeId="7236" r:id="rId13" name="Button 68">
              <controlPr locked="0" defaultSize="0" autoFill="0" autoLine="0" autoPict="0">
                <anchor moveWithCells="1" sizeWithCells="1">
                  <from>
                    <xdr:col>0</xdr:col>
                    <xdr:colOff>0</xdr:colOff>
                    <xdr:row>19</xdr:row>
                    <xdr:rowOff>0</xdr:rowOff>
                  </from>
                  <to>
                    <xdr:col>0</xdr:col>
                    <xdr:colOff>0</xdr:colOff>
                    <xdr:row>19</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pageSetUpPr fitToPage="1"/>
  </sheetPr>
  <dimension ref="A1:Q12"/>
  <sheetViews>
    <sheetView defaultGridColor="0" view="pageBreakPreview" colorId="22" zoomScale="75" zoomScaleNormal="75" zoomScaleSheetLayoutView="75" workbookViewId="0">
      <selection activeCell="C41" sqref="C41"/>
    </sheetView>
  </sheetViews>
  <sheetFormatPr defaultColWidth="9.77734375" defaultRowHeight="15" x14ac:dyDescent="0.2"/>
  <cols>
    <col min="1" max="1" width="18.5546875" style="35" customWidth="1"/>
    <col min="2" max="2" width="10.88671875" style="35" customWidth="1"/>
    <col min="3" max="3" width="10.33203125" style="35" customWidth="1"/>
    <col min="4" max="4" width="23.44140625" style="35" customWidth="1"/>
    <col min="5" max="5" width="7.44140625" style="35" customWidth="1"/>
    <col min="6" max="6" width="16.109375" style="35" customWidth="1"/>
    <col min="7" max="7" width="9.77734375" style="35" customWidth="1"/>
    <col min="8" max="8" width="8.21875" style="35" customWidth="1"/>
    <col min="9" max="9" width="6.88671875" style="35" customWidth="1"/>
    <col min="10" max="10" width="8.21875" style="35" customWidth="1"/>
    <col min="11" max="11" width="6.33203125" style="35" customWidth="1"/>
    <col min="12" max="12" width="10" style="35" customWidth="1"/>
    <col min="13" max="13" width="7.21875" style="35" customWidth="1"/>
    <col min="14" max="14" width="7.109375" style="35" customWidth="1"/>
    <col min="15" max="16" width="6.109375" style="35" customWidth="1"/>
    <col min="17" max="17" width="7.5546875" style="35" customWidth="1"/>
    <col min="18" max="16384" width="9.77734375" style="35"/>
  </cols>
  <sheetData>
    <row r="1" spans="1:17" x14ac:dyDescent="0.2">
      <c r="A1" s="62"/>
      <c r="B1" s="16"/>
      <c r="C1" s="16"/>
      <c r="D1" s="16"/>
      <c r="E1" s="16"/>
      <c r="F1" s="10"/>
      <c r="G1" s="19" t="str">
        <f>'1 General'!C1</f>
        <v>Cobre</v>
      </c>
      <c r="H1" s="10"/>
      <c r="I1" s="10"/>
      <c r="J1" s="10"/>
      <c r="K1" s="10"/>
      <c r="L1" s="10"/>
      <c r="M1" s="10"/>
      <c r="N1" s="10"/>
      <c r="O1" s="10"/>
      <c r="P1" s="10"/>
      <c r="Q1" s="10"/>
    </row>
    <row r="2" spans="1:17" ht="18" x14ac:dyDescent="0.25">
      <c r="A2" s="393"/>
      <c r="B2" s="16"/>
      <c r="C2" s="16"/>
      <c r="D2" s="16"/>
      <c r="E2" s="16"/>
      <c r="F2" s="10"/>
      <c r="G2" s="19" t="s">
        <v>287</v>
      </c>
      <c r="H2" s="10"/>
      <c r="I2" s="10"/>
      <c r="J2" s="10"/>
      <c r="K2" s="10"/>
      <c r="L2" s="10"/>
      <c r="M2" s="10"/>
      <c r="N2" s="10"/>
      <c r="O2" s="10"/>
      <c r="P2" s="10"/>
      <c r="Q2" s="10"/>
    </row>
    <row r="3" spans="1:17" x14ac:dyDescent="0.2">
      <c r="A3" s="15" t="s">
        <v>198</v>
      </c>
      <c r="B3" s="16"/>
      <c r="C3" s="16"/>
      <c r="D3" s="16"/>
      <c r="E3" s="16"/>
      <c r="F3" s="10"/>
      <c r="G3" s="70">
        <f>'1 General'!C3</f>
        <v>41955</v>
      </c>
      <c r="H3" s="10"/>
      <c r="I3" s="10"/>
      <c r="J3" s="10"/>
      <c r="K3" s="10"/>
      <c r="L3" s="10"/>
      <c r="M3" s="10"/>
      <c r="N3" s="10"/>
      <c r="O3" s="10"/>
      <c r="P3" s="10"/>
      <c r="Q3" s="10"/>
    </row>
    <row r="5" spans="1:17" x14ac:dyDescent="0.2">
      <c r="B5" s="17"/>
      <c r="C5" s="16"/>
      <c r="D5" s="10"/>
      <c r="E5" s="18"/>
      <c r="F5" s="10"/>
      <c r="G5" s="10"/>
      <c r="I5" s="10"/>
      <c r="J5" s="10"/>
      <c r="K5" s="10"/>
      <c r="L5" s="10"/>
      <c r="M5" s="10"/>
      <c r="N5" s="10"/>
      <c r="O5" s="10"/>
      <c r="P5" s="10"/>
      <c r="Q5" s="10"/>
    </row>
    <row r="6" spans="1:17" ht="26.25" x14ac:dyDescent="0.4">
      <c r="A6" s="361" t="s">
        <v>210</v>
      </c>
      <c r="B6" s="17"/>
      <c r="C6" s="16"/>
      <c r="D6" s="10"/>
      <c r="E6" s="18"/>
      <c r="F6" s="10"/>
      <c r="G6" s="10"/>
      <c r="H6" s="10"/>
      <c r="I6" s="10"/>
      <c r="J6" s="10"/>
      <c r="K6" s="10"/>
      <c r="L6" s="10"/>
      <c r="M6" s="10"/>
      <c r="N6" s="10"/>
      <c r="O6" s="10"/>
      <c r="P6" s="10"/>
      <c r="Q6" s="10"/>
    </row>
    <row r="7" spans="1:17" x14ac:dyDescent="0.2">
      <c r="A7" s="16"/>
      <c r="B7" s="17"/>
      <c r="C7" s="19"/>
      <c r="D7" s="30"/>
      <c r="E7" s="32"/>
      <c r="F7" s="30"/>
      <c r="G7" s="30"/>
      <c r="H7" s="30"/>
      <c r="I7" s="30"/>
      <c r="J7" s="30"/>
      <c r="K7" s="30"/>
      <c r="L7" s="30"/>
      <c r="M7" s="30"/>
      <c r="N7" s="10"/>
      <c r="O7" s="10"/>
      <c r="P7" s="10"/>
      <c r="Q7" s="10"/>
    </row>
    <row r="8" spans="1:17" x14ac:dyDescent="0.2">
      <c r="A8" s="10"/>
      <c r="B8" s="10"/>
      <c r="C8" s="30"/>
      <c r="D8" s="30"/>
      <c r="E8" s="30"/>
      <c r="F8" s="30"/>
      <c r="G8" s="30"/>
      <c r="H8" s="30"/>
      <c r="I8" s="30"/>
      <c r="J8" s="30"/>
      <c r="K8" s="30"/>
      <c r="L8" s="30"/>
      <c r="M8" s="30"/>
      <c r="N8" s="30"/>
      <c r="O8" s="30"/>
      <c r="P8" s="30"/>
      <c r="Q8" s="30"/>
    </row>
    <row r="9" spans="1:17" x14ac:dyDescent="0.2">
      <c r="A9" s="10"/>
      <c r="B9" s="10"/>
      <c r="C9" s="30"/>
      <c r="D9" s="30"/>
      <c r="E9" s="30"/>
      <c r="F9" s="30"/>
      <c r="G9" s="30"/>
      <c r="H9" s="30"/>
      <c r="I9" s="30"/>
      <c r="J9" s="30"/>
      <c r="K9" s="30"/>
      <c r="L9" s="30"/>
      <c r="M9" s="30"/>
      <c r="N9" s="30"/>
      <c r="O9" s="30"/>
      <c r="P9" s="30"/>
      <c r="Q9" s="30"/>
    </row>
    <row r="10" spans="1:17" x14ac:dyDescent="0.2">
      <c r="A10" s="10"/>
      <c r="B10" s="10"/>
      <c r="C10" s="30"/>
      <c r="D10" s="30"/>
      <c r="E10" s="30"/>
      <c r="F10" s="30"/>
      <c r="G10" s="30"/>
      <c r="H10" s="30"/>
      <c r="I10" s="30"/>
      <c r="J10" s="30"/>
      <c r="K10" s="30"/>
      <c r="L10" s="30"/>
      <c r="M10" s="30"/>
      <c r="N10" s="30"/>
      <c r="O10" s="30"/>
      <c r="P10" s="30"/>
      <c r="Q10" s="30"/>
    </row>
    <row r="11" spans="1:17" ht="18.75" x14ac:dyDescent="0.3">
      <c r="A11" s="33"/>
      <c r="B11" s="10"/>
      <c r="C11" s="10"/>
      <c r="D11" s="10"/>
      <c r="E11" s="10"/>
      <c r="F11" s="10"/>
      <c r="G11" s="10"/>
      <c r="H11" s="10"/>
      <c r="I11" s="10"/>
      <c r="J11" s="10"/>
      <c r="K11" s="10"/>
      <c r="L11" s="10"/>
      <c r="M11" s="10"/>
      <c r="N11" s="10"/>
      <c r="O11" s="10"/>
      <c r="P11" s="10"/>
      <c r="Q11" s="10"/>
    </row>
    <row r="12" spans="1:17" x14ac:dyDescent="0.2">
      <c r="C12" s="127"/>
      <c r="D12" s="67"/>
      <c r="F12" s="127"/>
      <c r="G12" s="127"/>
      <c r="H12" s="67"/>
      <c r="J12" s="127"/>
      <c r="K12" s="128"/>
      <c r="L12" s="67"/>
    </row>
  </sheetData>
  <customSheetViews>
    <customSheetView guid="{022582FA-9605-4A7F-B587-E5659EE41F6B}" scale="75" colorId="22" showPageBreaks="1" printArea="1" showRuler="0">
      <selection activeCell="F24" sqref="F24"/>
      <colBreaks count="1" manualBreakCount="1">
        <brk id="7" max="21"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selection activeCell="D3" sqref="D3"/>
      <colBreaks count="1" manualBreakCount="1">
        <brk id="7" max="21"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75" right="0.75" top="1" bottom="1" header="0.5" footer="0.5"/>
  <pageSetup scale="88" orientation="landscape" r:id="rId3"/>
  <headerFooter alignWithMargins="0">
    <oddFooter>&amp;C&amp;F
&amp;   Mag Tails Sheet 8
&amp;
Page &amp;P of &amp;N</oddFooter>
  </headerFooter>
  <colBreaks count="1" manualBreakCount="1">
    <brk id="7" max="6" man="1"/>
  </colBreaks>
  <drawing r:id="rId4"/>
  <legacyDrawing r:id="rId5"/>
  <mc:AlternateContent xmlns:mc="http://schemas.openxmlformats.org/markup-compatibility/2006">
    <mc:Choice Requires="x14">
      <controls>
        <mc:AlternateContent xmlns:mc="http://schemas.openxmlformats.org/markup-compatibility/2006">
          <mc:Choice Requires="x14">
            <control shapeId="8262" r:id="rId6" name="Button 70">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63" r:id="rId7" name="Button 71">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64" r:id="rId8" name="Button 72">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65" r:id="rId9" name="Button 73">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66" r:id="rId10" name="Button 74">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67" r:id="rId11" name="Button 75">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68" r:id="rId12" name="Button 76">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69" r:id="rId13" name="Button 77">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mc:AlternateContent xmlns:mc="http://schemas.openxmlformats.org/markup-compatibility/2006">
          <mc:Choice Requires="x14">
            <control shapeId="8270" r:id="rId14" name="Button 78">
              <controlPr locked="0" defaultSize="0" autoFill="0" autoLine="0" autoPict="0">
                <anchor moveWithCells="1" sizeWithCells="1">
                  <from>
                    <xdr:col>0</xdr:col>
                    <xdr:colOff>0</xdr:colOff>
                    <xdr:row>3</xdr:row>
                    <xdr:rowOff>0</xdr:rowOff>
                  </from>
                  <to>
                    <xdr:col>0</xdr:col>
                    <xdr:colOff>0</xdr:colOff>
                    <xdr:row>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0"/>
  <dimension ref="A1:BX28"/>
  <sheetViews>
    <sheetView defaultGridColor="0" view="pageBreakPreview" colorId="22" zoomScale="55" zoomScaleNormal="75" zoomScaleSheetLayoutView="55" workbookViewId="0">
      <pane xSplit="4" topLeftCell="T1" activePane="topRight" state="frozen"/>
      <selection activeCell="C41" sqref="C41"/>
      <selection pane="topRight" activeCell="C41" sqref="C41"/>
    </sheetView>
  </sheetViews>
  <sheetFormatPr defaultColWidth="9.77734375" defaultRowHeight="15" x14ac:dyDescent="0.2"/>
  <cols>
    <col min="1" max="1" width="15.21875" style="35" customWidth="1"/>
    <col min="2" max="2" width="32.21875" style="35" bestFit="1" customWidth="1"/>
    <col min="3" max="3" width="25.6640625" style="35" customWidth="1"/>
    <col min="4" max="4" width="9.33203125" style="35" bestFit="1" customWidth="1"/>
    <col min="5" max="5" width="7.44140625" style="35" bestFit="1" customWidth="1"/>
    <col min="6" max="6" width="5.6640625" style="35" bestFit="1" customWidth="1"/>
    <col min="7" max="7" width="8" style="35" bestFit="1" customWidth="1"/>
    <col min="8" max="8" width="10.6640625" style="35" customWidth="1"/>
    <col min="9" max="9" width="5.44140625" style="35" customWidth="1"/>
    <col min="10" max="10" width="8.33203125" style="35" customWidth="1"/>
    <col min="11" max="11" width="7.109375" style="35" customWidth="1"/>
    <col min="12" max="12" width="8.44140625" style="35" bestFit="1" customWidth="1"/>
    <col min="13" max="13" width="7.88671875" style="35" bestFit="1" customWidth="1"/>
    <col min="14" max="16" width="9.44140625" style="35" bestFit="1" customWidth="1"/>
    <col min="17" max="19" width="9.44140625" style="128" bestFit="1" customWidth="1"/>
    <col min="20" max="20" width="9.6640625" style="35" customWidth="1"/>
    <col min="21" max="21" width="9.44140625" style="35" customWidth="1"/>
    <col min="22" max="29" width="9.44140625" style="35" bestFit="1" customWidth="1"/>
    <col min="30" max="30" width="5.44140625" style="35" bestFit="1" customWidth="1"/>
    <col min="31" max="31" width="6.109375" style="35" bestFit="1" customWidth="1"/>
    <col min="32" max="32" width="7.33203125" style="35" bestFit="1" customWidth="1"/>
    <col min="33" max="34" width="8.6640625" style="35" bestFit="1" customWidth="1"/>
    <col min="35" max="35" width="6.88671875" style="35" bestFit="1" customWidth="1"/>
    <col min="36" max="39" width="10" style="35" bestFit="1" customWidth="1"/>
    <col min="40" max="41" width="10.44140625" style="35" bestFit="1" customWidth="1"/>
    <col min="42" max="16384" width="9.77734375" style="35"/>
  </cols>
  <sheetData>
    <row r="1" spans="1:76" ht="13.9" customHeight="1" x14ac:dyDescent="0.2">
      <c r="A1" s="16"/>
      <c r="B1" s="16"/>
      <c r="C1" s="16"/>
      <c r="D1" s="16"/>
      <c r="E1" s="16"/>
      <c r="F1" s="16"/>
      <c r="G1" s="16"/>
      <c r="H1" s="16"/>
      <c r="J1" s="10"/>
      <c r="K1" s="10"/>
      <c r="L1" s="10"/>
      <c r="M1" s="10"/>
      <c r="N1" s="10"/>
      <c r="O1" s="10"/>
      <c r="P1" s="10"/>
      <c r="Q1" s="193"/>
      <c r="R1" s="193"/>
      <c r="S1" s="193"/>
      <c r="T1" s="19" t="str">
        <f>'1 General'!$C$1</f>
        <v>Cobre</v>
      </c>
      <c r="U1" s="10"/>
      <c r="V1" s="10"/>
      <c r="W1" s="10"/>
      <c r="X1" s="10"/>
      <c r="Y1" s="10"/>
      <c r="Z1" s="10"/>
      <c r="AA1" s="10"/>
      <c r="AB1" s="10"/>
      <c r="AC1" s="10"/>
      <c r="AD1" s="10"/>
      <c r="AE1" s="10"/>
      <c r="AF1" s="10"/>
      <c r="AG1" s="10"/>
      <c r="AH1" s="10"/>
      <c r="AI1" s="10"/>
      <c r="AJ1" s="10"/>
      <c r="AK1" s="10"/>
      <c r="AL1" s="10"/>
      <c r="AM1" s="10"/>
      <c r="AN1" s="10"/>
      <c r="AO1" s="19" t="str">
        <f>'1 General'!$C$1</f>
        <v>Cobre</v>
      </c>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row>
    <row r="2" spans="1:76" ht="18" x14ac:dyDescent="0.25">
      <c r="A2" s="393"/>
      <c r="B2" s="16"/>
      <c r="C2" s="16"/>
      <c r="D2" s="16"/>
      <c r="E2" s="16"/>
      <c r="F2" s="16"/>
      <c r="G2" s="16"/>
      <c r="H2" s="16"/>
      <c r="J2" s="10"/>
      <c r="K2" s="10"/>
      <c r="L2" s="10"/>
      <c r="M2" s="10"/>
      <c r="Q2" s="193"/>
      <c r="R2" s="193"/>
      <c r="S2" s="193"/>
      <c r="T2" s="19" t="s">
        <v>288</v>
      </c>
      <c r="U2" s="10"/>
      <c r="V2" s="10"/>
      <c r="W2" s="10"/>
      <c r="X2" s="10"/>
      <c r="Y2" s="10"/>
      <c r="Z2" s="10"/>
      <c r="AA2" s="10"/>
      <c r="AB2" s="10"/>
      <c r="AC2" s="10"/>
      <c r="AD2" s="10"/>
      <c r="AE2" s="10"/>
      <c r="AF2" s="10"/>
      <c r="AG2" s="10"/>
      <c r="AH2" s="10"/>
      <c r="AI2" s="10"/>
      <c r="AJ2" s="10"/>
      <c r="AK2" s="10"/>
      <c r="AL2" s="10"/>
      <c r="AM2" s="10"/>
      <c r="AN2" s="10"/>
      <c r="AO2" s="19" t="s">
        <v>288</v>
      </c>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row>
    <row r="3" spans="1:76" ht="13.9" customHeight="1" x14ac:dyDescent="0.2">
      <c r="A3" s="15" t="s">
        <v>74</v>
      </c>
      <c r="B3" s="15"/>
      <c r="C3" s="15"/>
      <c r="D3" s="16"/>
      <c r="E3" s="16"/>
      <c r="F3" s="16"/>
      <c r="G3" s="16"/>
      <c r="H3" s="16"/>
      <c r="J3" s="10"/>
      <c r="K3" s="10"/>
      <c r="L3" s="10"/>
      <c r="M3" s="10"/>
      <c r="N3" s="10"/>
      <c r="O3" s="10"/>
      <c r="P3" s="10"/>
      <c r="Q3" s="193"/>
      <c r="R3" s="193"/>
      <c r="S3" s="193"/>
      <c r="T3" s="70">
        <f>'1 General'!$C$3</f>
        <v>41955</v>
      </c>
      <c r="U3" s="10"/>
      <c r="V3" s="10"/>
      <c r="W3" s="10"/>
      <c r="X3" s="10"/>
      <c r="Y3" s="10"/>
      <c r="Z3" s="10"/>
      <c r="AA3" s="10"/>
      <c r="AB3" s="10"/>
      <c r="AC3" s="10"/>
      <c r="AD3" s="10"/>
      <c r="AE3" s="10"/>
      <c r="AF3" s="10"/>
      <c r="AG3" s="10"/>
      <c r="AH3" s="10"/>
      <c r="AI3" s="10"/>
      <c r="AJ3" s="10"/>
      <c r="AK3" s="10"/>
      <c r="AL3" s="10"/>
      <c r="AM3" s="10"/>
      <c r="AN3" s="10"/>
      <c r="AO3" s="70">
        <f>'1 General'!$C$3</f>
        <v>41955</v>
      </c>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row>
    <row r="4" spans="1:76" ht="31.5" customHeight="1" x14ac:dyDescent="0.4">
      <c r="A4" s="390"/>
      <c r="B4" s="16"/>
      <c r="C4" s="16"/>
      <c r="D4" s="16"/>
      <c r="E4" s="16"/>
      <c r="F4" s="16"/>
      <c r="G4" s="16"/>
      <c r="H4" s="16"/>
      <c r="I4" s="19"/>
      <c r="J4" s="10"/>
      <c r="K4" s="10"/>
      <c r="L4" s="10"/>
      <c r="M4" s="10"/>
      <c r="N4" s="10"/>
      <c r="O4" s="10"/>
      <c r="P4" s="10"/>
      <c r="Q4" s="193"/>
      <c r="R4" s="193"/>
      <c r="S4" s="193"/>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row>
    <row r="5" spans="1:76" ht="13.9" customHeight="1" x14ac:dyDescent="0.25">
      <c r="A5" s="46" t="s">
        <v>119</v>
      </c>
      <c r="B5" s="46"/>
      <c r="C5" s="16"/>
      <c r="D5" s="47"/>
      <c r="E5" s="48"/>
      <c r="F5" s="10"/>
      <c r="G5" s="10"/>
      <c r="H5" s="18"/>
      <c r="I5" s="10"/>
      <c r="J5" s="16"/>
      <c r="K5" s="16"/>
      <c r="L5" s="16"/>
      <c r="M5" s="20"/>
      <c r="N5" s="20"/>
      <c r="O5" s="20"/>
      <c r="P5" s="20"/>
      <c r="Q5" s="194"/>
      <c r="R5" s="194"/>
      <c r="S5" s="194"/>
      <c r="T5" s="49"/>
      <c r="U5" s="20"/>
      <c r="V5" s="20"/>
      <c r="W5" s="20"/>
      <c r="X5" s="49"/>
      <c r="Y5" s="49"/>
      <c r="Z5" s="49"/>
      <c r="AA5" s="49"/>
      <c r="AB5" s="49"/>
      <c r="AC5" s="49"/>
      <c r="AD5" s="49"/>
      <c r="AE5" s="49"/>
      <c r="AF5" s="5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row>
    <row r="6" spans="1:76" ht="13.9" customHeight="1" x14ac:dyDescent="0.25">
      <c r="A6" s="48" t="s">
        <v>249</v>
      </c>
      <c r="B6" s="48"/>
      <c r="C6" s="16"/>
      <c r="D6" s="10"/>
      <c r="E6" s="10"/>
      <c r="F6" s="47"/>
      <c r="G6" s="48"/>
      <c r="H6" s="18"/>
      <c r="I6" s="10"/>
      <c r="J6" s="16"/>
      <c r="K6" s="16"/>
      <c r="L6" s="16"/>
      <c r="M6" s="20"/>
      <c r="N6" s="20"/>
      <c r="O6" s="20"/>
      <c r="P6" s="20"/>
      <c r="Q6" s="194"/>
      <c r="R6" s="194"/>
      <c r="S6" s="194"/>
      <c r="T6" s="49"/>
      <c r="U6" s="20"/>
      <c r="V6" s="20"/>
      <c r="W6" s="20"/>
      <c r="X6" s="49"/>
      <c r="Y6" s="49"/>
      <c r="Z6" s="49"/>
      <c r="AA6" s="49"/>
      <c r="AB6" s="49"/>
      <c r="AC6" s="49"/>
      <c r="AD6" s="49"/>
      <c r="AE6" s="49"/>
      <c r="AF6" s="5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row>
    <row r="7" spans="1:76" ht="13.9" customHeight="1" x14ac:dyDescent="0.25">
      <c r="A7" s="48" t="s">
        <v>196</v>
      </c>
      <c r="B7" s="48"/>
      <c r="C7" s="16"/>
      <c r="D7" s="10"/>
      <c r="E7" s="10"/>
      <c r="F7" s="47"/>
      <c r="G7" s="48"/>
      <c r="H7" s="18"/>
      <c r="I7" s="10"/>
      <c r="K7" s="16"/>
      <c r="L7" s="16"/>
      <c r="M7" s="20"/>
      <c r="O7" s="20"/>
      <c r="P7" s="20"/>
      <c r="Q7" s="194"/>
      <c r="R7" s="194"/>
      <c r="S7" s="194"/>
      <c r="T7" s="49"/>
      <c r="U7" s="20"/>
      <c r="V7" s="20"/>
      <c r="W7" s="20"/>
      <c r="X7" s="49"/>
      <c r="Y7" s="49"/>
      <c r="Z7" s="49"/>
      <c r="AA7" s="49"/>
      <c r="AB7" s="49"/>
      <c r="AC7" s="49"/>
      <c r="AD7" s="49"/>
      <c r="AE7" s="49"/>
      <c r="AF7" s="50"/>
      <c r="AG7" s="10"/>
      <c r="AH7" s="10"/>
      <c r="AI7" s="10"/>
      <c r="AJ7" s="397"/>
      <c r="AK7" s="397"/>
      <c r="AL7" s="397"/>
      <c r="AM7" s="397"/>
      <c r="AN7" s="397"/>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row>
    <row r="8" spans="1:76" x14ac:dyDescent="0.2">
      <c r="A8" s="16"/>
      <c r="B8" s="16"/>
      <c r="C8" s="16"/>
      <c r="D8" s="17"/>
      <c r="E8" s="16"/>
      <c r="F8" s="18"/>
      <c r="G8" s="18"/>
      <c r="H8" s="10"/>
      <c r="I8" s="10"/>
      <c r="J8" s="10" t="s">
        <v>32</v>
      </c>
      <c r="K8" s="10"/>
      <c r="L8" s="10"/>
      <c r="M8" s="10"/>
      <c r="N8" s="10"/>
      <c r="O8" s="10"/>
      <c r="P8" s="10"/>
      <c r="Q8" s="193"/>
      <c r="R8" s="193"/>
      <c r="S8" s="193"/>
      <c r="T8" s="10"/>
      <c r="U8" s="10"/>
      <c r="V8" s="10"/>
      <c r="W8" s="10"/>
      <c r="X8" s="329" t="s">
        <v>16</v>
      </c>
      <c r="Y8" s="329" t="s">
        <v>16</v>
      </c>
      <c r="Z8" s="329" t="s">
        <v>16</v>
      </c>
      <c r="AA8" s="329" t="s">
        <v>87</v>
      </c>
      <c r="AB8" s="329" t="s">
        <v>87</v>
      </c>
      <c r="AC8" s="329" t="s">
        <v>87</v>
      </c>
      <c r="AD8" s="10"/>
      <c r="AE8" s="10"/>
      <c r="AF8" s="10"/>
      <c r="AG8" s="10"/>
      <c r="AH8" s="10"/>
      <c r="AI8" s="10"/>
      <c r="AK8" s="30"/>
      <c r="AL8" s="30"/>
      <c r="AM8" s="30"/>
      <c r="AN8" s="3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row>
    <row r="9" spans="1:76" x14ac:dyDescent="0.2">
      <c r="A9" s="16"/>
      <c r="B9" s="16"/>
      <c r="C9" s="10"/>
      <c r="D9" s="326"/>
      <c r="E9" s="327"/>
      <c r="F9" s="328" t="s">
        <v>95</v>
      </c>
      <c r="G9" s="328" t="s">
        <v>120</v>
      </c>
      <c r="H9" s="325"/>
      <c r="I9" s="325"/>
      <c r="J9" s="325"/>
      <c r="K9" s="325"/>
      <c r="L9" s="325" t="s">
        <v>38</v>
      </c>
      <c r="M9" s="325" t="s">
        <v>43</v>
      </c>
      <c r="N9" s="325" t="s">
        <v>16</v>
      </c>
      <c r="O9" s="325" t="s">
        <v>16</v>
      </c>
      <c r="P9" s="325" t="s">
        <v>16</v>
      </c>
      <c r="Q9" s="325" t="s">
        <v>16</v>
      </c>
      <c r="R9" s="325" t="s">
        <v>16</v>
      </c>
      <c r="S9" s="325" t="s">
        <v>16</v>
      </c>
      <c r="T9" s="325"/>
      <c r="U9" s="325" t="s">
        <v>16</v>
      </c>
      <c r="V9" s="325" t="s">
        <v>16</v>
      </c>
      <c r="W9" s="325" t="s">
        <v>16</v>
      </c>
      <c r="X9" s="329" t="s">
        <v>112</v>
      </c>
      <c r="Y9" s="329" t="s">
        <v>112</v>
      </c>
      <c r="Z9" s="329" t="s">
        <v>112</v>
      </c>
      <c r="AA9" s="329" t="s">
        <v>112</v>
      </c>
      <c r="AB9" s="329" t="s">
        <v>112</v>
      </c>
      <c r="AC9" s="329" t="s">
        <v>112</v>
      </c>
      <c r="AD9" s="325"/>
      <c r="AE9" s="325"/>
      <c r="AF9" s="325"/>
      <c r="AG9" s="325" t="s">
        <v>205</v>
      </c>
      <c r="AH9" s="325" t="s">
        <v>96</v>
      </c>
      <c r="AI9" s="325"/>
      <c r="AJ9" s="325" t="s">
        <v>193</v>
      </c>
      <c r="AK9" s="325" t="s">
        <v>193</v>
      </c>
      <c r="AL9" s="325" t="s">
        <v>193</v>
      </c>
      <c r="AM9" s="325" t="s">
        <v>193</v>
      </c>
      <c r="AN9" s="325" t="s">
        <v>195</v>
      </c>
      <c r="AO9" s="325" t="s">
        <v>195</v>
      </c>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row>
    <row r="10" spans="1:76" x14ac:dyDescent="0.2">
      <c r="A10" s="327"/>
      <c r="B10" s="325"/>
      <c r="C10" s="325"/>
      <c r="D10" s="325"/>
      <c r="E10" s="325"/>
      <c r="F10" s="325" t="s">
        <v>79</v>
      </c>
      <c r="G10" s="325" t="s">
        <v>75</v>
      </c>
      <c r="H10" s="325"/>
      <c r="I10" s="325" t="s">
        <v>92</v>
      </c>
      <c r="J10" s="325" t="s">
        <v>97</v>
      </c>
      <c r="K10" s="325" t="s">
        <v>83</v>
      </c>
      <c r="L10" s="325" t="s">
        <v>98</v>
      </c>
      <c r="M10" s="325" t="s">
        <v>16</v>
      </c>
      <c r="N10" s="325" t="s">
        <v>18</v>
      </c>
      <c r="O10" s="325" t="s">
        <v>18</v>
      </c>
      <c r="P10" s="325" t="s">
        <v>18</v>
      </c>
      <c r="Q10" s="330" t="s">
        <v>19</v>
      </c>
      <c r="R10" s="330" t="s">
        <v>19</v>
      </c>
      <c r="S10" s="330" t="s">
        <v>19</v>
      </c>
      <c r="T10" s="325" t="s">
        <v>85</v>
      </c>
      <c r="U10" s="325" t="s">
        <v>18</v>
      </c>
      <c r="V10" s="325" t="s">
        <v>18</v>
      </c>
      <c r="W10" s="325" t="s">
        <v>18</v>
      </c>
      <c r="X10" s="329" t="s">
        <v>19</v>
      </c>
      <c r="Y10" s="329" t="s">
        <v>19</v>
      </c>
      <c r="Z10" s="329" t="s">
        <v>19</v>
      </c>
      <c r="AA10" s="329" t="s">
        <v>19</v>
      </c>
      <c r="AB10" s="329" t="s">
        <v>19</v>
      </c>
      <c r="AC10" s="329" t="s">
        <v>19</v>
      </c>
      <c r="AD10" s="325" t="s">
        <v>16</v>
      </c>
      <c r="AE10" s="325" t="s">
        <v>87</v>
      </c>
      <c r="AF10" s="325" t="s">
        <v>94</v>
      </c>
      <c r="AG10" s="325" t="s">
        <v>145</v>
      </c>
      <c r="AH10" s="325" t="s">
        <v>145</v>
      </c>
      <c r="AI10" s="325" t="s">
        <v>88</v>
      </c>
      <c r="AJ10" s="325" t="s">
        <v>124</v>
      </c>
      <c r="AK10" s="325" t="s">
        <v>124</v>
      </c>
      <c r="AL10" s="325" t="s">
        <v>124</v>
      </c>
      <c r="AM10" s="325" t="s">
        <v>125</v>
      </c>
      <c r="AN10" s="325" t="s">
        <v>125</v>
      </c>
      <c r="AO10" s="325" t="s">
        <v>125</v>
      </c>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row>
    <row r="11" spans="1:76" x14ac:dyDescent="0.2">
      <c r="A11" s="325" t="s">
        <v>91</v>
      </c>
      <c r="B11" s="325" t="s">
        <v>116</v>
      </c>
      <c r="C11" s="325" t="s">
        <v>117</v>
      </c>
      <c r="D11" s="325" t="s">
        <v>20</v>
      </c>
      <c r="E11" s="325" t="s">
        <v>17</v>
      </c>
      <c r="F11" s="325" t="s">
        <v>30</v>
      </c>
      <c r="G11" s="325" t="s">
        <v>37</v>
      </c>
      <c r="H11" s="325" t="s">
        <v>31</v>
      </c>
      <c r="I11" s="325" t="s">
        <v>30</v>
      </c>
      <c r="J11" s="325" t="s">
        <v>78</v>
      </c>
      <c r="K11" s="325" t="s">
        <v>78</v>
      </c>
      <c r="L11" s="325" t="s">
        <v>99</v>
      </c>
      <c r="M11" s="325" t="s">
        <v>18</v>
      </c>
      <c r="N11" s="325" t="s">
        <v>122</v>
      </c>
      <c r="O11" s="325" t="s">
        <v>123</v>
      </c>
      <c r="P11" s="325" t="s">
        <v>153</v>
      </c>
      <c r="Q11" s="330" t="s">
        <v>122</v>
      </c>
      <c r="R11" s="330" t="s">
        <v>123</v>
      </c>
      <c r="S11" s="330" t="s">
        <v>153</v>
      </c>
      <c r="T11" s="325" t="s">
        <v>86</v>
      </c>
      <c r="U11" s="325" t="s">
        <v>122</v>
      </c>
      <c r="V11" s="325" t="s">
        <v>123</v>
      </c>
      <c r="W11" s="325" t="s">
        <v>153</v>
      </c>
      <c r="X11" s="329" t="s">
        <v>122</v>
      </c>
      <c r="Y11" s="329" t="s">
        <v>123</v>
      </c>
      <c r="Z11" s="329" t="s">
        <v>153</v>
      </c>
      <c r="AA11" s="329" t="s">
        <v>122</v>
      </c>
      <c r="AB11" s="329" t="s">
        <v>123</v>
      </c>
      <c r="AC11" s="329" t="s">
        <v>153</v>
      </c>
      <c r="AD11" s="325" t="s">
        <v>30</v>
      </c>
      <c r="AE11" s="325" t="s">
        <v>30</v>
      </c>
      <c r="AF11" s="325" t="s">
        <v>30</v>
      </c>
      <c r="AG11" s="325" t="s">
        <v>30</v>
      </c>
      <c r="AH11" s="325" t="s">
        <v>30</v>
      </c>
      <c r="AI11" s="325" t="s">
        <v>89</v>
      </c>
      <c r="AJ11" s="325" t="s">
        <v>122</v>
      </c>
      <c r="AK11" s="325" t="s">
        <v>123</v>
      </c>
      <c r="AL11" s="325" t="s">
        <v>153</v>
      </c>
      <c r="AM11" s="325" t="s">
        <v>122</v>
      </c>
      <c r="AN11" s="325" t="s">
        <v>123</v>
      </c>
      <c r="AO11" s="325" t="s">
        <v>153</v>
      </c>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row>
    <row r="12" spans="1:76" x14ac:dyDescent="0.2">
      <c r="A12" s="10"/>
      <c r="B12" s="10"/>
      <c r="C12" s="10"/>
      <c r="D12" s="325"/>
      <c r="E12" s="325" t="s">
        <v>77</v>
      </c>
      <c r="F12" s="325" t="s">
        <v>82</v>
      </c>
      <c r="G12" s="325"/>
      <c r="H12" s="325" t="s">
        <v>76</v>
      </c>
      <c r="I12" s="325" t="s">
        <v>49</v>
      </c>
      <c r="J12" s="325" t="s">
        <v>77</v>
      </c>
      <c r="K12" s="325" t="s">
        <v>77</v>
      </c>
      <c r="L12" s="325"/>
      <c r="M12" s="325" t="s">
        <v>100</v>
      </c>
      <c r="N12" s="325" t="s">
        <v>100</v>
      </c>
      <c r="O12" s="325" t="s">
        <v>100</v>
      </c>
      <c r="P12" s="325" t="s">
        <v>100</v>
      </c>
      <c r="Q12" s="330" t="s">
        <v>62</v>
      </c>
      <c r="R12" s="330" t="s">
        <v>62</v>
      </c>
      <c r="S12" s="330" t="s">
        <v>62</v>
      </c>
      <c r="T12" s="325" t="s">
        <v>62</v>
      </c>
      <c r="U12" s="329" t="s">
        <v>121</v>
      </c>
      <c r="V12" s="329" t="s">
        <v>121</v>
      </c>
      <c r="W12" s="329" t="s">
        <v>121</v>
      </c>
      <c r="X12" s="329" t="s">
        <v>62</v>
      </c>
      <c r="Y12" s="329" t="s">
        <v>62</v>
      </c>
      <c r="Z12" s="329" t="s">
        <v>62</v>
      </c>
      <c r="AA12" s="329" t="s">
        <v>62</v>
      </c>
      <c r="AB12" s="329" t="s">
        <v>62</v>
      </c>
      <c r="AC12" s="329" t="s">
        <v>62</v>
      </c>
      <c r="AD12" s="325" t="s">
        <v>82</v>
      </c>
      <c r="AE12" s="325" t="s">
        <v>82</v>
      </c>
      <c r="AF12" s="325" t="s">
        <v>82</v>
      </c>
      <c r="AG12" s="325" t="s">
        <v>82</v>
      </c>
      <c r="AH12" s="325" t="s">
        <v>82</v>
      </c>
      <c r="AI12" s="325" t="s">
        <v>90</v>
      </c>
      <c r="AJ12" s="331" t="s">
        <v>194</v>
      </c>
      <c r="AK12" s="331" t="s">
        <v>194</v>
      </c>
      <c r="AL12" s="331" t="s">
        <v>194</v>
      </c>
      <c r="AM12" s="331" t="s">
        <v>194</v>
      </c>
      <c r="AN12" s="331" t="s">
        <v>194</v>
      </c>
      <c r="AO12" s="331" t="s">
        <v>194</v>
      </c>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row>
    <row r="13" spans="1:76" x14ac:dyDescent="0.2">
      <c r="A13" s="40" t="str">
        <f>'3   Material'!B15</f>
        <v>Haul cover soil</v>
      </c>
      <c r="B13" s="179" t="str">
        <f>'4   Earthwork'!C15</f>
        <v>North OB Stockpile, OB-5 Stockpile</v>
      </c>
      <c r="C13" s="179" t="str">
        <f>'4   Earthwork'!D15</f>
        <v xml:space="preserve">Magnetite Tailings Top </v>
      </c>
      <c r="D13" s="324" t="str">
        <f>'3   Material'!G15</f>
        <v>777F</v>
      </c>
      <c r="E13" s="333">
        <f>'4   Earthwork'!I15</f>
        <v>276615.67999999999</v>
      </c>
      <c r="F13" s="334">
        <f>SUM(AD13:AH13)</f>
        <v>10.415835562589086</v>
      </c>
      <c r="G13" s="335">
        <f>IF(E13=0,0,Optimum!$AC12)</f>
        <v>3</v>
      </c>
      <c r="H13" s="336">
        <f>AI13*L13*'10   Loader'!F10*G13/F13</f>
        <v>1008.0804306966222</v>
      </c>
      <c r="I13" s="337">
        <f>IF(E13=0,0,IF(E13/H13&lt;'10   Loader'!$I10,'10   Loader'!$I10,E13/H13))</f>
        <v>274.39842256321549</v>
      </c>
      <c r="J13" s="338">
        <v>54.6</v>
      </c>
      <c r="K13" s="338">
        <v>78.599999999999994</v>
      </c>
      <c r="L13" s="337">
        <f>IF(TRUNC(J13/'10   Loader'!F10)&lt;TRUNC(K13/'10   Loader'!F10),TRUNC(K13/'10   Loader'!F10),TRUNC(J13/'10   Loader'!F10))</f>
        <v>5</v>
      </c>
      <c r="M13" s="335">
        <f>SUM(N13:P13)</f>
        <v>6480</v>
      </c>
      <c r="N13" s="346">
        <v>2310</v>
      </c>
      <c r="O13" s="346">
        <v>1940</v>
      </c>
      <c r="P13" s="346">
        <v>2230</v>
      </c>
      <c r="Q13" s="347">
        <v>-8.8700000000000001E-2</v>
      </c>
      <c r="R13" s="347">
        <v>1.55E-2</v>
      </c>
      <c r="S13" s="347">
        <v>-4.0399999999999998E-2</v>
      </c>
      <c r="T13" s="339">
        <v>2.5000000000000001E-2</v>
      </c>
      <c r="U13" s="340">
        <f t="shared" ref="U13:W14" si="0">N13*0.3048</f>
        <v>704.08800000000008</v>
      </c>
      <c r="V13" s="340">
        <f t="shared" si="0"/>
        <v>591.31200000000001</v>
      </c>
      <c r="W13" s="340">
        <f t="shared" si="0"/>
        <v>679.70400000000006</v>
      </c>
      <c r="X13" s="341">
        <f>IF(N13=0,0,IF(Q13+T13&lt;0,0,Q13+T13))</f>
        <v>0</v>
      </c>
      <c r="Y13" s="342">
        <f>IF(O13=0,0,IF(R13+T13&lt;0,0,R13+T13))</f>
        <v>4.0500000000000001E-2</v>
      </c>
      <c r="Z13" s="342">
        <f>IF(P13=0,0,IF(S13+T13&lt;0,0,S13+T13))</f>
        <v>0</v>
      </c>
      <c r="AA13" s="342">
        <f>IF(N13=0,0,IF((T13-Q13)&lt;0,0,T13-Q13))</f>
        <v>0.1137</v>
      </c>
      <c r="AB13" s="342">
        <f>IF(O13=0,0,IF((T13-R13)&lt;0,0,T13-R13))</f>
        <v>9.5000000000000015E-3</v>
      </c>
      <c r="AC13" s="342">
        <f>IF(P13=0,0,IF((T13-S13)&lt;0,0,T13-S13))</f>
        <v>6.54E-2</v>
      </c>
      <c r="AD13" s="326">
        <f>(AJ13*U13+AK13*V13+W13*AL13)</f>
        <v>2.3460715636240952</v>
      </c>
      <c r="AE13" s="326">
        <f>(AM13*U13+AN13*V13+W13*AO13)</f>
        <v>3.0197639989649927</v>
      </c>
      <c r="AF13" s="326">
        <f>'10   Loader'!G10*L13</f>
        <v>3.25</v>
      </c>
      <c r="AG13" s="348">
        <v>0.7</v>
      </c>
      <c r="AH13" s="348">
        <v>1.1000000000000001</v>
      </c>
      <c r="AI13" s="344">
        <v>50</v>
      </c>
      <c r="AJ13" s="345">
        <f>-1.6825*X13^3 + 0.4592*X13^2 + 0.0079*X13+ 0.0009</f>
        <v>8.9999999999999998E-4</v>
      </c>
      <c r="AK13" s="345">
        <f t="shared" ref="AK13" si="1">-1.6825*Y13^3 + 0.4592*Y13^2 + 0.0079*Y13+ 0.0009</f>
        <v>1.8613841146874999E-3</v>
      </c>
      <c r="AL13" s="345">
        <f>-1.6825*Z13^3 + 0.4592*Z13^2 + 0.0079*Z13+ 0.0009</f>
        <v>8.9999999999999998E-4</v>
      </c>
      <c r="AM13" s="345">
        <f>-6.2135*AA13^4 + 1.0448*AA13^3 + 0.1016*AA13^2 - 0.0035*AA13 + 0.0009</f>
        <v>2.3127999712726425E-3</v>
      </c>
      <c r="AN13" s="345">
        <f t="shared" ref="AN13:AO13" si="2">-6.2135*AB13^4 + 1.0448*AB13^3 + 0.1016*AB13^2 - 0.0035*AB13 + 0.0009</f>
        <v>8.7676457605415624E-4</v>
      </c>
      <c r="AO13" s="345">
        <f t="shared" si="2"/>
        <v>1.2842470807819945E-3</v>
      </c>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row>
    <row r="14" spans="1:76" x14ac:dyDescent="0.2">
      <c r="A14" s="40" t="str">
        <f>'3   Material'!B16</f>
        <v>Haul cover soil</v>
      </c>
      <c r="B14" s="179" t="str">
        <f>'4   Earthwork'!C16</f>
        <v>North OB Stockpile, OB-5 Stockpile</v>
      </c>
      <c r="C14" s="179" t="str">
        <f>'4   Earthwork'!D16</f>
        <v>Magnetite Tailings Outslopes</v>
      </c>
      <c r="D14" s="324" t="str">
        <f>'3   Material'!G16</f>
        <v>777F</v>
      </c>
      <c r="E14" s="333">
        <f>'4   Earthwork'!I16</f>
        <v>25739.119999999999</v>
      </c>
      <c r="F14" s="334">
        <f>SUM(AD14:AH14)</f>
        <v>10.378185906209934</v>
      </c>
      <c r="G14" s="335">
        <f>IF(E14=0,0,Optimum!$AC13)</f>
        <v>3</v>
      </c>
      <c r="H14" s="336">
        <f>AI14*L14*'10   Loader'!F11*G14/F14</f>
        <v>1011.7375131733935</v>
      </c>
      <c r="I14" s="337">
        <f>IF(E14=0,0,IF(E14/H14&lt;'10   Loader'!$I11,'10   Loader'!$I11,E14/H14))</f>
        <v>25.440511659261546</v>
      </c>
      <c r="J14" s="338">
        <v>54.6</v>
      </c>
      <c r="K14" s="338">
        <v>78.599999999999994</v>
      </c>
      <c r="L14" s="337">
        <f>IF(TRUNC(J14/'10   Loader'!F11)&lt;TRUNC(K14/'10   Loader'!F11),TRUNC(K14/'10   Loader'!F11),TRUNC(J14/'10   Loader'!F11))</f>
        <v>5</v>
      </c>
      <c r="M14" s="335">
        <f>SUM(N14:P14)</f>
        <v>6480</v>
      </c>
      <c r="N14" s="346">
        <v>2310</v>
      </c>
      <c r="O14" s="346">
        <v>1940</v>
      </c>
      <c r="P14" s="346">
        <v>2230</v>
      </c>
      <c r="Q14" s="347">
        <v>-8.8700000000000001E-2</v>
      </c>
      <c r="R14" s="347">
        <v>1.55E-2</v>
      </c>
      <c r="S14" s="347">
        <v>-4.0399999999999998E-2</v>
      </c>
      <c r="T14" s="339">
        <v>2.5000000000000001E-2</v>
      </c>
      <c r="U14" s="340">
        <f t="shared" si="0"/>
        <v>704.08800000000008</v>
      </c>
      <c r="V14" s="340">
        <f t="shared" si="0"/>
        <v>591.31200000000001</v>
      </c>
      <c r="W14" s="340">
        <f t="shared" si="0"/>
        <v>679.70400000000006</v>
      </c>
      <c r="X14" s="341">
        <f>IF(N14=0,0,IF(Q14+T14&lt;0,0,Q14+T14))</f>
        <v>0</v>
      </c>
      <c r="Y14" s="342">
        <f>IF(O14=0,0,IF(R14+T14&lt;0,0,R14+T14))</f>
        <v>4.0500000000000001E-2</v>
      </c>
      <c r="Z14" s="342">
        <f>IF(P14=0,0,IF(S14+T14&lt;0,0,S14+T14))</f>
        <v>0</v>
      </c>
      <c r="AA14" s="342">
        <f>IF(N14=0,0,IF((T14-Q14)&lt;0,0,T14-Q14))</f>
        <v>0.1137</v>
      </c>
      <c r="AB14" s="342">
        <f>IF(O14=0,0,IF((T14-R14)&lt;0,0,T14-R14))</f>
        <v>9.5000000000000015E-3</v>
      </c>
      <c r="AC14" s="342">
        <f>IF(P14=0,0,IF((T14-S14)&lt;0,0,T14-S14))</f>
        <v>6.54E-2</v>
      </c>
      <c r="AD14" s="326">
        <f>(AJ14*U14+AK14*V14+W14*AL14)</f>
        <v>2.3514500994364709</v>
      </c>
      <c r="AE14" s="326">
        <f>(AM14*U14+AN14*V14+W14*AO14)</f>
        <v>2.9767358067734642</v>
      </c>
      <c r="AF14" s="326">
        <f>'10   Loader'!G11*L14</f>
        <v>3.25</v>
      </c>
      <c r="AG14" s="348">
        <v>0.7</v>
      </c>
      <c r="AH14" s="348">
        <v>1.1000000000000001</v>
      </c>
      <c r="AI14" s="344">
        <v>50</v>
      </c>
      <c r="AJ14" s="345">
        <f t="shared" ref="AJ14:AL14" si="3">-1.7585*X14^3 + 0.4777*X14^2 + 0.0075*X14 + 0.0009</f>
        <v>8.9999999999999998E-4</v>
      </c>
      <c r="AK14" s="345">
        <f t="shared" si="3"/>
        <v>1.8704800501874999E-3</v>
      </c>
      <c r="AL14" s="345">
        <f t="shared" si="3"/>
        <v>8.9999999999999998E-4</v>
      </c>
      <c r="AM14" s="345">
        <f t="shared" ref="AM14:AO14" si="4">-1.3773*AA14^3 + 0.358*AA14^2 - 0.011*AA14 + 0.0009</f>
        <v>2.2529495644131002E-3</v>
      </c>
      <c r="AN14" s="345">
        <f t="shared" si="4"/>
        <v>8.2662863741249999E-4</v>
      </c>
      <c r="AO14" s="345">
        <f t="shared" si="4"/>
        <v>1.3265562965928002E-3</v>
      </c>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row>
    <row r="15" spans="1:76" x14ac:dyDescent="0.2">
      <c r="A15" s="394" t="s">
        <v>350</v>
      </c>
      <c r="Q15" s="45"/>
      <c r="R15" s="45"/>
      <c r="S15" s="45"/>
      <c r="AD15" s="261"/>
      <c r="AE15" s="261"/>
      <c r="AF15" s="261"/>
      <c r="AG15" s="261"/>
      <c r="AH15" s="261"/>
    </row>
    <row r="16" spans="1:76" x14ac:dyDescent="0.2">
      <c r="Q16" s="45"/>
      <c r="R16" s="45"/>
      <c r="S16" s="45"/>
    </row>
    <row r="17" spans="17:19" x14ac:dyDescent="0.2">
      <c r="Q17" s="45"/>
      <c r="R17" s="45"/>
      <c r="S17" s="45"/>
    </row>
    <row r="18" spans="17:19" x14ac:dyDescent="0.2">
      <c r="Q18" s="45"/>
      <c r="R18" s="45"/>
      <c r="S18" s="45"/>
    </row>
    <row r="19" spans="17:19" x14ac:dyDescent="0.2">
      <c r="Q19" s="45"/>
      <c r="R19" s="45"/>
      <c r="S19" s="45"/>
    </row>
    <row r="20" spans="17:19" x14ac:dyDescent="0.2">
      <c r="Q20" s="45"/>
      <c r="R20" s="45"/>
      <c r="S20" s="45"/>
    </row>
    <row r="21" spans="17:19" x14ac:dyDescent="0.2">
      <c r="Q21" s="45"/>
      <c r="R21" s="45"/>
      <c r="S21" s="45"/>
    </row>
    <row r="22" spans="17:19" x14ac:dyDescent="0.2">
      <c r="Q22" s="45"/>
      <c r="R22" s="45"/>
      <c r="S22" s="45"/>
    </row>
    <row r="23" spans="17:19" x14ac:dyDescent="0.2">
      <c r="Q23" s="45"/>
      <c r="R23" s="45"/>
      <c r="S23" s="45"/>
    </row>
    <row r="24" spans="17:19" x14ac:dyDescent="0.2">
      <c r="Q24" s="45"/>
      <c r="R24" s="45"/>
      <c r="S24" s="45"/>
    </row>
    <row r="25" spans="17:19" x14ac:dyDescent="0.2">
      <c r="Q25" s="45"/>
      <c r="R25" s="45"/>
      <c r="S25" s="45"/>
    </row>
    <row r="26" spans="17:19" x14ac:dyDescent="0.2">
      <c r="Q26" s="45"/>
      <c r="R26" s="45"/>
      <c r="S26" s="45"/>
    </row>
    <row r="27" spans="17:19" x14ac:dyDescent="0.2">
      <c r="Q27" s="45"/>
      <c r="R27" s="45"/>
      <c r="S27" s="45"/>
    </row>
    <row r="28" spans="17:19" x14ac:dyDescent="0.2">
      <c r="Q28" s="45"/>
      <c r="R28" s="45"/>
      <c r="S28" s="45"/>
    </row>
  </sheetData>
  <customSheetViews>
    <customSheetView guid="{022582FA-9605-4A7F-B587-E5659EE41F6B}" scale="75" colorId="22" showPageBreaks="1" printArea="1" hiddenColumns="1" showRuler="0" topLeftCell="D1">
      <selection activeCell="L31" sqref="L31"/>
      <colBreaks count="8" manualBreakCount="8">
        <brk id="8" max="31" man="1"/>
        <brk id="9" max="43" man="1"/>
        <brk id="14" max="31" man="1"/>
        <brk id="22" max="31" man="1"/>
        <brk id="26" max="31" man="1"/>
        <brk id="30" max="31" man="1"/>
        <brk id="36" max="31" man="1"/>
        <brk id="39" max="43"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selection activeCell="I31" sqref="I31"/>
      <colBreaks count="2" manualBreakCount="2">
        <brk id="9" max="43" man="1"/>
        <brk id="32" max="43"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mergeCells count="1">
    <mergeCell ref="AJ7:AN7"/>
  </mergeCells>
  <phoneticPr fontId="0" type="noConversion"/>
  <printOptions horizontalCentered="1"/>
  <pageMargins left="0.17" right="0.17" top="0.17" bottom="0.25" header="0.5" footer="0.5"/>
  <pageSetup paperSize="17" scale="43" fitToWidth="2" orientation="landscape" r:id="rId3"/>
  <headerFooter alignWithMargins="0">
    <oddFooter>&amp;C&amp;F
&amp;   Mag Tails Sheet 9
&amp;
Page &amp;P of &amp;N</oddFooter>
  </headerFooter>
  <colBreaks count="1" manualBreakCount="1">
    <brk id="20"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9295" r:id="rId6" name="Button 79">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9296" r:id="rId7" name="Button 80">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9297" r:id="rId8" name="Button 81">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9298" r:id="rId9" name="Button 82">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9299" r:id="rId10" name="Button 83">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9300" r:id="rId11" name="Button 84">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9301" r:id="rId12" name="Button 85">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9303" r:id="rId13" name="Button 87">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pageSetUpPr fitToPage="1"/>
  </sheetPr>
  <dimension ref="A1:L11"/>
  <sheetViews>
    <sheetView defaultGridColor="0" view="pageBreakPreview" colorId="22" zoomScale="75" zoomScaleNormal="75" zoomScaleSheetLayoutView="75" workbookViewId="0">
      <selection activeCell="C41" sqref="C41"/>
    </sheetView>
  </sheetViews>
  <sheetFormatPr defaultColWidth="9.77734375" defaultRowHeight="15" x14ac:dyDescent="0.2"/>
  <cols>
    <col min="1" max="1" width="15" style="35" customWidth="1"/>
    <col min="2" max="2" width="29.77734375" style="35" bestFit="1" customWidth="1"/>
    <col min="3" max="3" width="25.88671875" style="35" customWidth="1"/>
    <col min="4" max="4" width="9.88671875" style="35" bestFit="1" customWidth="1"/>
    <col min="5" max="5" width="7.6640625" style="35" bestFit="1" customWidth="1"/>
    <col min="6" max="6" width="8" style="35" bestFit="1" customWidth="1"/>
    <col min="7" max="7" width="6.77734375" style="35" bestFit="1" customWidth="1"/>
    <col min="8" max="8" width="9.77734375" style="35"/>
    <col min="9" max="9" width="6.88671875" style="35" bestFit="1" customWidth="1"/>
    <col min="10" max="11" width="9.77734375" style="35"/>
    <col min="12" max="12" width="10.6640625" style="35" customWidth="1"/>
    <col min="13" max="16384" width="9.77734375" style="35"/>
  </cols>
  <sheetData>
    <row r="1" spans="1:12" x14ac:dyDescent="0.2">
      <c r="A1" s="62"/>
      <c r="B1" s="62"/>
      <c r="C1" s="62"/>
      <c r="D1" s="62"/>
      <c r="E1" s="62"/>
      <c r="F1" s="62"/>
      <c r="G1" s="62"/>
      <c r="H1" s="62"/>
      <c r="L1" s="116" t="str">
        <f>'1 General'!C1</f>
        <v>Cobre</v>
      </c>
    </row>
    <row r="2" spans="1:12" ht="18" x14ac:dyDescent="0.25">
      <c r="A2" s="393"/>
      <c r="B2" s="62"/>
      <c r="C2" s="62"/>
      <c r="D2" s="62"/>
      <c r="E2" s="62"/>
      <c r="F2" s="62"/>
      <c r="G2" s="62"/>
      <c r="H2" s="62"/>
      <c r="L2" s="116" t="s">
        <v>289</v>
      </c>
    </row>
    <row r="3" spans="1:12" ht="15.75" x14ac:dyDescent="0.25">
      <c r="A3" s="124" t="s">
        <v>197</v>
      </c>
      <c r="B3" s="124"/>
      <c r="C3" s="124"/>
      <c r="D3" s="62"/>
      <c r="E3" s="62"/>
      <c r="F3" s="62"/>
      <c r="G3" s="62"/>
      <c r="H3" s="62"/>
      <c r="L3" s="125">
        <f>'1 General'!$C$3</f>
        <v>41955</v>
      </c>
    </row>
    <row r="5" spans="1:12" x14ac:dyDescent="0.2">
      <c r="A5" s="16"/>
      <c r="B5" s="16"/>
      <c r="C5" s="10"/>
      <c r="D5" s="17"/>
      <c r="E5" s="16"/>
      <c r="F5" s="10"/>
      <c r="G5" s="18"/>
      <c r="H5" s="10"/>
      <c r="I5" s="10"/>
      <c r="J5" s="10" t="s">
        <v>32</v>
      </c>
      <c r="K5" s="10"/>
      <c r="L5" s="10"/>
    </row>
    <row r="6" spans="1:12" x14ac:dyDescent="0.2">
      <c r="A6" s="327"/>
      <c r="B6" s="327"/>
      <c r="C6" s="325"/>
      <c r="D6" s="326"/>
      <c r="E6" s="327"/>
      <c r="F6" s="325" t="s">
        <v>81</v>
      </c>
      <c r="G6" s="328" t="s">
        <v>38</v>
      </c>
      <c r="H6" s="325"/>
      <c r="I6" s="325"/>
      <c r="J6" s="325" t="s">
        <v>226</v>
      </c>
      <c r="K6" s="325" t="s">
        <v>80</v>
      </c>
      <c r="L6" s="325"/>
    </row>
    <row r="7" spans="1:12" x14ac:dyDescent="0.2">
      <c r="A7" s="325"/>
      <c r="B7" s="325"/>
      <c r="C7" s="349"/>
      <c r="D7" s="325"/>
      <c r="E7" s="325"/>
      <c r="F7" s="325" t="s">
        <v>80</v>
      </c>
      <c r="G7" s="325" t="s">
        <v>79</v>
      </c>
      <c r="H7" s="325"/>
      <c r="I7" s="325" t="s">
        <v>92</v>
      </c>
      <c r="J7" s="325" t="s">
        <v>80</v>
      </c>
      <c r="K7" s="325" t="s">
        <v>84</v>
      </c>
      <c r="L7" s="325" t="s">
        <v>88</v>
      </c>
    </row>
    <row r="8" spans="1:12" x14ac:dyDescent="0.2">
      <c r="A8" s="324" t="s">
        <v>91</v>
      </c>
      <c r="B8" s="350" t="s">
        <v>116</v>
      </c>
      <c r="C8" s="350" t="s">
        <v>117</v>
      </c>
      <c r="D8" s="325" t="s">
        <v>20</v>
      </c>
      <c r="E8" s="325" t="s">
        <v>17</v>
      </c>
      <c r="F8" s="325" t="s">
        <v>78</v>
      </c>
      <c r="G8" s="325" t="s">
        <v>30</v>
      </c>
      <c r="H8" s="325" t="s">
        <v>31</v>
      </c>
      <c r="I8" s="325" t="s">
        <v>30</v>
      </c>
      <c r="J8" s="325" t="s">
        <v>78</v>
      </c>
      <c r="K8" s="325" t="s">
        <v>25</v>
      </c>
      <c r="L8" s="325" t="s">
        <v>89</v>
      </c>
    </row>
    <row r="9" spans="1:12" x14ac:dyDescent="0.2">
      <c r="A9" s="324"/>
      <c r="B9" s="325"/>
      <c r="C9" s="325"/>
      <c r="D9" s="325"/>
      <c r="E9" s="325" t="s">
        <v>77</v>
      </c>
      <c r="F9" s="325" t="s">
        <v>77</v>
      </c>
      <c r="G9" s="325" t="s">
        <v>82</v>
      </c>
      <c r="H9" s="325" t="s">
        <v>76</v>
      </c>
      <c r="I9" s="325" t="s">
        <v>93</v>
      </c>
      <c r="J9" s="325" t="s">
        <v>77</v>
      </c>
      <c r="K9" s="325"/>
      <c r="L9" s="325" t="s">
        <v>90</v>
      </c>
    </row>
    <row r="10" spans="1:12" x14ac:dyDescent="0.2">
      <c r="A10" s="10" t="str">
        <f>'4   Earthwork'!B13</f>
        <v>Load cover soil</v>
      </c>
      <c r="B10" s="10" t="str">
        <f>'4   Earthwork'!C13</f>
        <v>North OB Stockpile, OB-5 Stockpile</v>
      </c>
      <c r="C10" s="10" t="str">
        <f>'4   Earthwork'!D13</f>
        <v xml:space="preserve">Magnetite Tailings Top </v>
      </c>
      <c r="D10" s="325" t="str">
        <f>'3   Material'!G13</f>
        <v>992K</v>
      </c>
      <c r="E10" s="335">
        <f>'4   Earthwork'!I13</f>
        <v>276615.67999999999</v>
      </c>
      <c r="F10" s="353">
        <f>J10*K10</f>
        <v>14</v>
      </c>
      <c r="G10" s="328">
        <v>0.65</v>
      </c>
      <c r="H10" s="335">
        <f>F10/G10*L10</f>
        <v>1076.9230769230769</v>
      </c>
      <c r="I10" s="335">
        <f>E10/H10</f>
        <v>256.85741714285712</v>
      </c>
      <c r="J10" s="344">
        <v>16</v>
      </c>
      <c r="K10" s="343">
        <v>0.875</v>
      </c>
      <c r="L10" s="344">
        <v>50</v>
      </c>
    </row>
    <row r="11" spans="1:12" x14ac:dyDescent="0.2">
      <c r="A11" s="10" t="str">
        <f>'4   Earthwork'!B14</f>
        <v>Load cover soil</v>
      </c>
      <c r="B11" s="10" t="str">
        <f>'4   Earthwork'!C14</f>
        <v>North OB Stockpile, OB-5 Stockpile</v>
      </c>
      <c r="C11" s="10" t="str">
        <f>'4   Earthwork'!D14</f>
        <v>Magnetite Tailings Outslopes</v>
      </c>
      <c r="D11" s="325" t="str">
        <f>'3   Material'!G14</f>
        <v>992K</v>
      </c>
      <c r="E11" s="335">
        <f>'4   Earthwork'!I14</f>
        <v>25739.119999999999</v>
      </c>
      <c r="F11" s="353">
        <f>J11*K11</f>
        <v>14</v>
      </c>
      <c r="G11" s="328">
        <v>0.65</v>
      </c>
      <c r="H11" s="335">
        <f>F11/G11*L11</f>
        <v>1076.9230769230769</v>
      </c>
      <c r="I11" s="335">
        <f>E11/H11</f>
        <v>23.900611428571427</v>
      </c>
      <c r="J11" s="344">
        <v>16</v>
      </c>
      <c r="K11" s="343">
        <v>0.875</v>
      </c>
      <c r="L11" s="344">
        <v>50</v>
      </c>
    </row>
  </sheetData>
  <customSheetViews>
    <customSheetView guid="{022582FA-9605-4A7F-B587-E5659EE41F6B}" scale="75" colorId="22" showRuler="0" topLeftCell="A3">
      <selection activeCell="B15" sqref="B15"/>
      <colBreaks count="1" manualBreakCount="1">
        <brk id="7" max="1048575"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topLeftCell="A3">
      <selection activeCell="Q14" sqref="Q14"/>
      <colBreaks count="1" manualBreakCount="1">
        <brk id="7" max="1048575"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75" right="0.75" top="1" bottom="1" header="0.5" footer="0.5"/>
  <pageSetup scale="67" orientation="landscape" r:id="rId3"/>
  <headerFooter alignWithMargins="0">
    <oddFooter>&amp;C&amp;F
&amp;   Mag Tails Sheet 10
&amp;
Page &amp;P of &amp;N</oddFooter>
  </headerFooter>
  <colBreaks count="1" manualBreakCount="1">
    <brk id="9"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2">
    <pageSetUpPr fitToPage="1"/>
  </sheetPr>
  <dimension ref="A1:Q9"/>
  <sheetViews>
    <sheetView defaultGridColor="0" view="pageBreakPreview" colorId="22" zoomScale="75" zoomScaleNormal="75" zoomScaleSheetLayoutView="75" workbookViewId="0">
      <selection activeCell="C41" sqref="C41"/>
    </sheetView>
  </sheetViews>
  <sheetFormatPr defaultColWidth="9.77734375" defaultRowHeight="15" x14ac:dyDescent="0.2"/>
  <cols>
    <col min="1" max="1" width="27.21875" style="35" customWidth="1"/>
    <col min="2" max="2" width="17.109375" style="35" customWidth="1"/>
    <col min="3" max="3" width="9.77734375" style="35" customWidth="1"/>
    <col min="4" max="4" width="10.21875" style="35" customWidth="1"/>
    <col min="5" max="5" width="9.44140625" style="35" customWidth="1"/>
    <col min="6" max="6" width="9.6640625" style="35" customWidth="1"/>
    <col min="7" max="7" width="10.33203125" style="35" customWidth="1"/>
    <col min="8" max="8" width="9.109375" style="35" customWidth="1"/>
    <col min="9" max="10" width="9.77734375" style="35" customWidth="1"/>
    <col min="11" max="11" width="7" style="35" customWidth="1"/>
    <col min="12" max="12" width="7.88671875" style="35" customWidth="1"/>
    <col min="13" max="13" width="9.77734375" style="35" customWidth="1"/>
    <col min="14" max="14" width="7.6640625" style="35" customWidth="1"/>
    <col min="15" max="15" width="8" style="35" customWidth="1"/>
    <col min="16" max="17" width="9.77734375" style="35" customWidth="1"/>
    <col min="18" max="18" width="11.109375" style="35" customWidth="1"/>
    <col min="19" max="19" width="12.109375" style="35" customWidth="1"/>
    <col min="20" max="20" width="11.5546875" style="35" customWidth="1"/>
    <col min="21" max="21" width="10.77734375" style="35" customWidth="1"/>
    <col min="22" max="22" width="11.6640625" style="35" customWidth="1"/>
    <col min="23" max="23" width="11.21875" style="35" customWidth="1"/>
    <col min="24" max="24" width="9.77734375" style="35" customWidth="1"/>
    <col min="25" max="25" width="9.77734375" style="35"/>
    <col min="26" max="36" width="9.77734375" style="35" customWidth="1"/>
    <col min="37" max="37" width="9.77734375" style="35"/>
    <col min="38" max="45" width="9.77734375" style="35" customWidth="1"/>
    <col min="46" max="46" width="9.77734375" style="35"/>
    <col min="47" max="48" width="9.77734375" style="35" customWidth="1"/>
    <col min="49" max="16384" width="9.77734375" style="35"/>
  </cols>
  <sheetData>
    <row r="1" spans="1:17" x14ac:dyDescent="0.2">
      <c r="A1" s="16"/>
      <c r="B1" s="16"/>
      <c r="C1" s="16"/>
      <c r="D1" s="16"/>
      <c r="E1" s="16"/>
      <c r="F1" s="10"/>
      <c r="G1" s="10"/>
      <c r="H1" s="19" t="str">
        <f>'1 General'!C1</f>
        <v>Cobre</v>
      </c>
      <c r="I1" s="10"/>
      <c r="J1" s="10"/>
      <c r="K1" s="10"/>
      <c r="L1" s="10"/>
      <c r="M1" s="10"/>
      <c r="N1" s="10"/>
      <c r="O1" s="10"/>
      <c r="P1" s="10"/>
      <c r="Q1" s="10"/>
    </row>
    <row r="2" spans="1:17" x14ac:dyDescent="0.2">
      <c r="A2" s="16"/>
      <c r="B2" s="16"/>
      <c r="C2" s="16"/>
      <c r="D2" s="16"/>
      <c r="E2" s="16"/>
      <c r="F2" s="10"/>
      <c r="G2" s="10"/>
      <c r="H2" s="19" t="s">
        <v>290</v>
      </c>
      <c r="I2" s="10"/>
      <c r="J2" s="10"/>
      <c r="K2" s="10"/>
      <c r="L2" s="10"/>
      <c r="M2" s="10"/>
      <c r="N2" s="10"/>
      <c r="O2" s="10"/>
      <c r="P2" s="10"/>
      <c r="Q2" s="10"/>
    </row>
    <row r="3" spans="1:17" x14ac:dyDescent="0.2">
      <c r="A3" s="15" t="s">
        <v>39</v>
      </c>
      <c r="B3" s="16"/>
      <c r="C3" s="16"/>
      <c r="D3" s="16"/>
      <c r="E3" s="16"/>
      <c r="F3" s="10"/>
      <c r="G3" s="10"/>
      <c r="H3" s="70">
        <f>'1 General'!$C$3</f>
        <v>41955</v>
      </c>
      <c r="I3" s="10"/>
      <c r="J3" s="10"/>
      <c r="K3" s="10"/>
      <c r="L3" s="10"/>
      <c r="M3" s="10"/>
      <c r="N3" s="10"/>
      <c r="O3" s="10"/>
      <c r="P3" s="10"/>
      <c r="Q3" s="10"/>
    </row>
    <row r="4" spans="1:17" x14ac:dyDescent="0.2">
      <c r="A4" s="16"/>
      <c r="B4" s="16"/>
      <c r="C4" s="16"/>
      <c r="D4" s="16"/>
      <c r="E4" s="16"/>
      <c r="F4" s="10"/>
      <c r="G4" s="10"/>
      <c r="H4" s="19"/>
      <c r="I4" s="10"/>
      <c r="J4" s="10"/>
      <c r="K4" s="10"/>
      <c r="L4" s="10"/>
      <c r="M4" s="10"/>
      <c r="N4" s="10"/>
      <c r="O4" s="10"/>
      <c r="P4" s="10"/>
      <c r="Q4" s="10"/>
    </row>
    <row r="5" spans="1:17" ht="26.25" x14ac:dyDescent="0.4">
      <c r="A5" s="361" t="s">
        <v>210</v>
      </c>
      <c r="B5" s="16"/>
      <c r="C5" s="187"/>
      <c r="D5" s="16"/>
      <c r="E5" s="16"/>
      <c r="F5" s="16"/>
      <c r="G5" s="19"/>
      <c r="H5" s="19"/>
      <c r="I5" s="10"/>
      <c r="J5" s="10"/>
      <c r="K5" s="10"/>
      <c r="L5" s="10"/>
      <c r="M5" s="10"/>
      <c r="N5" s="10"/>
      <c r="O5" s="10"/>
      <c r="P5" s="10"/>
      <c r="Q5" s="10"/>
    </row>
    <row r="6" spans="1:17" x14ac:dyDescent="0.2">
      <c r="B6" s="179"/>
      <c r="C6" s="179"/>
      <c r="E6" s="127"/>
    </row>
    <row r="7" spans="1:17" x14ac:dyDescent="0.2">
      <c r="A7" s="20"/>
      <c r="B7" s="179"/>
      <c r="C7" s="179"/>
      <c r="E7" s="127"/>
    </row>
    <row r="8" spans="1:17" x14ac:dyDescent="0.2">
      <c r="A8" s="40"/>
      <c r="B8" s="179"/>
      <c r="E8" s="127"/>
    </row>
    <row r="9" spans="1:17" x14ac:dyDescent="0.2">
      <c r="A9" s="40"/>
      <c r="B9" s="179"/>
    </row>
  </sheetData>
  <customSheetViews>
    <customSheetView guid="{022582FA-9605-4A7F-B587-E5659EE41F6B}" scale="75" colorId="22" showPageBreaks="1" printArea="1" hiddenRows="1" showRuler="0">
      <selection activeCell="A57" sqref="A57"/>
      <colBreaks count="2" manualBreakCount="2">
        <brk id="8" max="1048575" man="1"/>
        <brk id="16" max="16"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printArea="1" hiddenRows="1" showRuler="0">
      <selection activeCell="C25" sqref="C25"/>
      <colBreaks count="1" manualBreakCount="1">
        <brk id="8" max="1048575"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75" right="0.75" top="1" bottom="1" header="0.5" footer="0.5"/>
  <pageSetup scale="98" orientation="landscape" r:id="rId3"/>
  <headerFooter alignWithMargins="0">
    <oddFooter>&amp;C&amp;F
&amp;   Mag Tails Sheet 11
&amp;
Page &amp;P of &amp;N</oddFooter>
  </headerFooter>
  <colBreaks count="2" manualBreakCount="2">
    <brk id="8" max="1048575" man="1"/>
    <brk id="16" max="22" man="1"/>
  </colBreaks>
  <drawing r:id="rId4"/>
  <legacyDrawing r:id="rId5"/>
  <mc:AlternateContent xmlns:mc="http://schemas.openxmlformats.org/markup-compatibility/2006">
    <mc:Choice Requires="x14">
      <controls>
        <mc:AlternateContent xmlns:mc="http://schemas.openxmlformats.org/markup-compatibility/2006">
          <mc:Choice Requires="x14">
            <control shapeId="10339" r:id="rId6" name="Button 99">
              <controlPr locked="0" defaultSize="0" autoFill="0" autoLine="0" autoPict="0">
                <anchor moveWithCells="1" sizeWithCells="1">
                  <from>
                    <xdr:col>0</xdr:col>
                    <xdr:colOff>0</xdr:colOff>
                    <xdr:row>5</xdr:row>
                    <xdr:rowOff>0</xdr:rowOff>
                  </from>
                  <to>
                    <xdr:col>0</xdr:col>
                    <xdr:colOff>0</xdr:colOff>
                    <xdr:row>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pageSetUpPr fitToPage="1"/>
  </sheetPr>
  <dimension ref="A1:G10"/>
  <sheetViews>
    <sheetView defaultGridColor="0" view="pageBreakPreview" colorId="22" zoomScale="75" zoomScaleNormal="75" zoomScaleSheetLayoutView="75" workbookViewId="0">
      <selection activeCell="C41" sqref="C41"/>
    </sheetView>
  </sheetViews>
  <sheetFormatPr defaultColWidth="9.77734375" defaultRowHeight="15" x14ac:dyDescent="0.2"/>
  <cols>
    <col min="1" max="3" width="9.77734375" style="35"/>
    <col min="4" max="4" width="33.44140625" style="35" customWidth="1"/>
    <col min="5" max="6" width="9.77734375" style="35"/>
    <col min="7" max="7" width="10.6640625" style="35" customWidth="1"/>
    <col min="8" max="16384" width="9.77734375" style="35"/>
  </cols>
  <sheetData>
    <row r="1" spans="1:7" x14ac:dyDescent="0.2">
      <c r="A1" s="62"/>
      <c r="B1" s="62"/>
      <c r="C1" s="62"/>
      <c r="D1" s="62"/>
      <c r="E1" s="62"/>
      <c r="F1" s="62"/>
      <c r="G1" s="116" t="str">
        <f>'1 General'!C1</f>
        <v>Cobre</v>
      </c>
    </row>
    <row r="2" spans="1:7" x14ac:dyDescent="0.2">
      <c r="A2" s="62"/>
      <c r="B2" s="62"/>
      <c r="C2" s="62"/>
      <c r="D2" s="62"/>
      <c r="E2" s="62"/>
      <c r="F2" s="62"/>
      <c r="G2" s="116" t="s">
        <v>291</v>
      </c>
    </row>
    <row r="3" spans="1:7" ht="15.75" x14ac:dyDescent="0.25">
      <c r="A3" s="124" t="s">
        <v>262</v>
      </c>
      <c r="B3" s="62"/>
      <c r="C3" s="62"/>
      <c r="D3" s="62"/>
      <c r="E3" s="62"/>
      <c r="F3" s="62"/>
      <c r="G3" s="125">
        <f>'1 General'!$C$3</f>
        <v>41955</v>
      </c>
    </row>
    <row r="4" spans="1:7" ht="15.75" x14ac:dyDescent="0.25">
      <c r="A4" s="124"/>
    </row>
    <row r="5" spans="1:7" x14ac:dyDescent="0.2">
      <c r="C5" s="187"/>
    </row>
    <row r="6" spans="1:7" ht="26.25" x14ac:dyDescent="0.4">
      <c r="A6" s="361" t="s">
        <v>210</v>
      </c>
      <c r="C6" s="187"/>
    </row>
    <row r="7" spans="1:7" x14ac:dyDescent="0.2">
      <c r="C7" s="271"/>
    </row>
    <row r="8" spans="1:7" x14ac:dyDescent="0.2">
      <c r="A8"/>
    </row>
    <row r="9" spans="1:7" x14ac:dyDescent="0.2">
      <c r="A9"/>
    </row>
    <row r="10" spans="1:7" x14ac:dyDescent="0.2">
      <c r="A10" s="270"/>
    </row>
  </sheetData>
  <customSheetViews>
    <customSheetView guid="{022582FA-9605-4A7F-B587-E5659EE41F6B}" scale="75" colorId="22" showRuler="0">
      <selection activeCell="C2" sqref="C2"/>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selection activeCell="C2" sqref="C2"/>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75" right="0.75" top="1" bottom="1" header="0.5" footer="0.5"/>
  <pageSetup orientation="landscape" r:id="rId3"/>
  <headerFooter alignWithMargins="0">
    <oddFooter>&amp;C&amp;F
&amp;   Mag Tails Sheet 12
&amp;
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4"/>
  <dimension ref="A1:T86"/>
  <sheetViews>
    <sheetView defaultGridColor="0" view="pageBreakPreview" topLeftCell="B1" colorId="22" zoomScale="70" zoomScaleNormal="55" zoomScaleSheetLayoutView="70" workbookViewId="0">
      <pane ySplit="7" topLeftCell="A26" activePane="bottomLeft" state="frozen"/>
      <selection activeCell="C41" sqref="C41"/>
      <selection pane="bottomLeft" activeCell="C41" sqref="C41"/>
    </sheetView>
  </sheetViews>
  <sheetFormatPr defaultColWidth="9.77734375" defaultRowHeight="15" x14ac:dyDescent="0.2"/>
  <cols>
    <col min="1" max="1" width="17.44140625" style="228" customWidth="1"/>
    <col min="2" max="2" width="2.77734375" style="35" customWidth="1"/>
    <col min="3" max="3" width="24.109375" style="35" customWidth="1"/>
    <col min="4" max="4" width="16.109375" style="35" customWidth="1"/>
    <col min="5" max="5" width="23.77734375" style="35" customWidth="1"/>
    <col min="6" max="6" width="23.21875" style="35" customWidth="1"/>
    <col min="7" max="7" width="12.6640625" style="35" customWidth="1"/>
    <col min="8" max="8" width="12.77734375" style="35" customWidth="1"/>
    <col min="9" max="9" width="11.6640625" style="183" bestFit="1" customWidth="1"/>
    <col min="10" max="10" width="9.21875" style="35" customWidth="1"/>
    <col min="11" max="11" width="9" style="35" bestFit="1" customWidth="1"/>
    <col min="12" max="12" width="9.44140625" style="35" bestFit="1" customWidth="1"/>
    <col min="13" max="13" width="5.21875" style="35" bestFit="1" customWidth="1"/>
    <col min="14" max="14" width="8.5546875" style="35" customWidth="1"/>
    <col min="15" max="15" width="13.6640625" style="35" customWidth="1"/>
    <col min="16" max="16" width="10.21875" style="183" customWidth="1"/>
    <col min="17" max="17" width="3.44140625" style="35" customWidth="1"/>
    <col min="18" max="18" width="16.77734375" style="35" bestFit="1" customWidth="1"/>
    <col min="19" max="16384" width="9.77734375" style="35"/>
  </cols>
  <sheetData>
    <row r="1" spans="1:20" x14ac:dyDescent="0.2">
      <c r="B1" s="62"/>
      <c r="C1" s="16"/>
      <c r="D1" s="16"/>
      <c r="E1" s="16"/>
      <c r="H1" s="16"/>
      <c r="I1" s="24"/>
      <c r="J1" s="16"/>
      <c r="K1" s="16"/>
      <c r="L1" s="16"/>
      <c r="M1" s="16"/>
      <c r="N1" s="19" t="str">
        <f>'1 General'!C1</f>
        <v>Cobre</v>
      </c>
      <c r="O1" s="19"/>
    </row>
    <row r="2" spans="1:20" ht="18" x14ac:dyDescent="0.25">
      <c r="B2" s="393"/>
      <c r="C2" s="16"/>
      <c r="D2" s="16"/>
      <c r="E2" s="16"/>
      <c r="F2" s="16"/>
      <c r="G2" s="16"/>
      <c r="H2" s="16"/>
      <c r="I2" s="24"/>
      <c r="J2" s="16"/>
      <c r="K2" s="16"/>
      <c r="L2" s="16"/>
      <c r="M2" s="16"/>
      <c r="N2" s="19" t="s">
        <v>292</v>
      </c>
      <c r="O2" s="19"/>
    </row>
    <row r="3" spans="1:20" x14ac:dyDescent="0.2">
      <c r="B3" s="15" t="s">
        <v>40</v>
      </c>
      <c r="C3" s="15"/>
      <c r="D3" s="16"/>
      <c r="E3" s="16"/>
      <c r="F3" s="16"/>
      <c r="G3" s="16"/>
      <c r="H3" s="16"/>
      <c r="I3" s="24"/>
      <c r="J3" s="16"/>
      <c r="K3" s="16"/>
      <c r="L3" s="16"/>
      <c r="M3" s="16"/>
      <c r="N3" s="70">
        <f>'1 General'!$C$3</f>
        <v>41955</v>
      </c>
      <c r="O3" s="70"/>
    </row>
    <row r="4" spans="1:20" x14ac:dyDescent="0.2">
      <c r="B4" s="16"/>
      <c r="C4" s="16"/>
      <c r="D4" s="16"/>
      <c r="E4" s="16"/>
      <c r="F4" s="16"/>
      <c r="G4" s="16"/>
      <c r="H4" s="10"/>
      <c r="I4" s="133"/>
      <c r="J4" s="10"/>
      <c r="K4" s="16"/>
      <c r="L4" s="16"/>
      <c r="M4" s="16"/>
      <c r="N4" s="16"/>
      <c r="O4" s="16"/>
    </row>
    <row r="5" spans="1:20" x14ac:dyDescent="0.2">
      <c r="B5" s="16" t="s">
        <v>20</v>
      </c>
      <c r="C5" s="186"/>
      <c r="D5" s="16"/>
      <c r="E5" s="16"/>
      <c r="F5" s="16"/>
      <c r="G5" s="36" t="s">
        <v>41</v>
      </c>
      <c r="H5" s="36" t="s">
        <v>42</v>
      </c>
      <c r="I5" s="274" t="s">
        <v>236</v>
      </c>
      <c r="J5" s="36" t="s">
        <v>30</v>
      </c>
      <c r="K5" s="36" t="s">
        <v>70</v>
      </c>
      <c r="L5" s="36" t="s">
        <v>43</v>
      </c>
      <c r="M5" s="36" t="s">
        <v>44</v>
      </c>
      <c r="N5" s="19" t="s">
        <v>5</v>
      </c>
      <c r="O5" s="19" t="s">
        <v>239</v>
      </c>
      <c r="P5" s="274" t="s">
        <v>229</v>
      </c>
      <c r="S5" s="19" t="s">
        <v>239</v>
      </c>
      <c r="T5" s="274" t="s">
        <v>229</v>
      </c>
    </row>
    <row r="6" spans="1:20" x14ac:dyDescent="0.2">
      <c r="B6" s="16" t="s">
        <v>45</v>
      </c>
      <c r="C6" s="186"/>
      <c r="D6" s="16" t="s">
        <v>92</v>
      </c>
      <c r="E6" s="16" t="s">
        <v>116</v>
      </c>
      <c r="F6" s="16" t="s">
        <v>117</v>
      </c>
      <c r="G6" s="36" t="s">
        <v>36</v>
      </c>
      <c r="H6" s="36" t="s">
        <v>11</v>
      </c>
      <c r="I6" s="274" t="s">
        <v>237</v>
      </c>
      <c r="J6" s="36" t="s">
        <v>46</v>
      </c>
      <c r="K6" s="36" t="s">
        <v>11</v>
      </c>
      <c r="L6" s="36" t="s">
        <v>47</v>
      </c>
      <c r="M6" s="36" t="s">
        <v>5</v>
      </c>
      <c r="N6" s="19" t="s">
        <v>11</v>
      </c>
      <c r="O6" s="19" t="s">
        <v>230</v>
      </c>
      <c r="P6" s="274" t="s">
        <v>47</v>
      </c>
      <c r="S6" s="19" t="s">
        <v>230</v>
      </c>
      <c r="T6" s="274" t="s">
        <v>47</v>
      </c>
    </row>
    <row r="7" spans="1:20" ht="18.75" x14ac:dyDescent="0.3">
      <c r="B7" s="16"/>
      <c r="C7" s="265"/>
      <c r="D7" s="16"/>
      <c r="E7" s="16"/>
      <c r="F7" s="16"/>
      <c r="G7" s="36" t="s">
        <v>48</v>
      </c>
      <c r="H7" s="36" t="s">
        <v>48</v>
      </c>
      <c r="I7" s="274" t="s">
        <v>238</v>
      </c>
      <c r="J7" s="36" t="s">
        <v>49</v>
      </c>
      <c r="K7" s="36" t="s">
        <v>14</v>
      </c>
      <c r="L7" s="36"/>
      <c r="M7" s="36"/>
      <c r="N7" s="19" t="s">
        <v>13</v>
      </c>
      <c r="O7" s="19" t="s">
        <v>13</v>
      </c>
      <c r="P7" s="274" t="s">
        <v>76</v>
      </c>
      <c r="S7" s="19" t="s">
        <v>242</v>
      </c>
      <c r="T7" s="274" t="s">
        <v>243</v>
      </c>
    </row>
    <row r="8" spans="1:20" ht="18.75" x14ac:dyDescent="0.3">
      <c r="A8" s="275"/>
      <c r="B8" s="33"/>
      <c r="C8" s="16"/>
      <c r="D8" s="16"/>
      <c r="E8" s="37"/>
      <c r="F8" s="16"/>
      <c r="G8" s="36"/>
      <c r="H8" s="36"/>
      <c r="I8" s="274"/>
      <c r="J8" s="36"/>
      <c r="K8" s="36"/>
      <c r="L8" s="36"/>
      <c r="M8" s="36"/>
      <c r="N8" s="19"/>
      <c r="O8" s="19"/>
    </row>
    <row r="9" spans="1:20" ht="15.75" x14ac:dyDescent="0.25">
      <c r="A9" s="276"/>
      <c r="B9" s="28" t="s">
        <v>50</v>
      </c>
      <c r="C9" s="16"/>
      <c r="D9" s="16"/>
      <c r="E9" s="16"/>
      <c r="F9" s="16"/>
      <c r="G9" s="38"/>
      <c r="H9" s="38"/>
      <c r="I9" s="24"/>
      <c r="J9" s="39"/>
      <c r="K9" s="40"/>
      <c r="L9" s="40"/>
      <c r="M9" s="16"/>
      <c r="N9" s="38"/>
      <c r="O9" s="38"/>
    </row>
    <row r="10" spans="1:20" x14ac:dyDescent="0.2">
      <c r="B10" s="10"/>
      <c r="C10" s="16" t="str">
        <f>'5   Dozer'!D11</f>
        <v>D11R CD</v>
      </c>
      <c r="D10" s="40" t="str">
        <f>'5   Dozer'!A11</f>
        <v>Regrade Outslopes</v>
      </c>
      <c r="E10" s="40" t="str">
        <f>'5   Dozer'!B11</f>
        <v>Magnetite Tailings</v>
      </c>
      <c r="F10" s="40" t="str">
        <f>'5   Dozer'!C11</f>
        <v>Outslopes</v>
      </c>
      <c r="G10" s="313">
        <f>$H$39</f>
        <v>509.12</v>
      </c>
      <c r="H10" s="313">
        <f>$H$52</f>
        <v>47.58</v>
      </c>
      <c r="I10" s="24">
        <v>1</v>
      </c>
      <c r="J10" s="23">
        <f>'5   Dozer'!G11</f>
        <v>62.357542551445938</v>
      </c>
      <c r="K10" s="49">
        <f>(G10+H10)*J10*I10</f>
        <v>34714.443938389959</v>
      </c>
      <c r="L10" s="59">
        <f>'4   Earthwork'!G9</f>
        <v>69996</v>
      </c>
      <c r="M10" s="16" t="s">
        <v>29</v>
      </c>
      <c r="N10" s="372">
        <f>IF(L10=0,"---",K10/L10)</f>
        <v>0.49594896763229268</v>
      </c>
      <c r="O10" s="41">
        <f>N10</f>
        <v>0.49594896763229268</v>
      </c>
      <c r="P10" s="183">
        <f>IF(J10=0,"-",L10/J10)</f>
        <v>1122.4945232928674</v>
      </c>
      <c r="R10" s="35" t="s">
        <v>250</v>
      </c>
      <c r="S10" s="191">
        <f>IF(M10="cy", IF( K10 &lt;&gt;0,IF(O10&lt;&gt;0,O10/4185*2000,""),""),"")</f>
        <v>0.23701264880874201</v>
      </c>
      <c r="T10" s="183">
        <f>IF(M10="cy", IF( K10 &lt;&gt;0,IF(P10&lt;&gt;0,P10*4185/2000,""),""),"")</f>
        <v>2348.8197899903248</v>
      </c>
    </row>
    <row r="11" spans="1:20" x14ac:dyDescent="0.2">
      <c r="B11" s="10"/>
      <c r="C11" s="16" t="str">
        <f>'5   Dozer'!D12</f>
        <v>D11R CD</v>
      </c>
      <c r="D11" s="40" t="str">
        <f>'5   Dozer'!A12</f>
        <v>Regrade Top</v>
      </c>
      <c r="E11" s="40" t="str">
        <f>'5   Dozer'!B12</f>
        <v>Magnetite Tailings</v>
      </c>
      <c r="F11" s="40" t="str">
        <f>'5   Dozer'!C12</f>
        <v>Top</v>
      </c>
      <c r="G11" s="313">
        <f>$H$39</f>
        <v>509.12</v>
      </c>
      <c r="H11" s="313">
        <f>$H$52</f>
        <v>47.58</v>
      </c>
      <c r="I11" s="24">
        <v>1</v>
      </c>
      <c r="J11" s="23">
        <f>'5   Dozer'!G12</f>
        <v>119.193545177126</v>
      </c>
      <c r="K11" s="49">
        <f t="shared" ref="K11:K21" si="0">(G11+H11)*J11*I11</f>
        <v>66355.046600106041</v>
      </c>
      <c r="L11" s="59">
        <f>'4   Earthwork'!G10</f>
        <v>73481.5</v>
      </c>
      <c r="M11" s="16" t="s">
        <v>29</v>
      </c>
      <c r="N11" s="372">
        <f>IF(L11=0,"---",K11/L11)</f>
        <v>0.90301703966448754</v>
      </c>
      <c r="O11" s="41">
        <f>N11</f>
        <v>0.90301703966448754</v>
      </c>
      <c r="P11" s="183">
        <f>IF(J11=0,"-",L11/J11)</f>
        <v>616.48892052672636</v>
      </c>
      <c r="R11" s="35" t="s">
        <v>251</v>
      </c>
      <c r="S11" s="191">
        <f>IF(M11="cy", IF( K11 &lt;&gt;0,IF(O11&lt;&gt;0,O11/4185*2000,""),""),"")</f>
        <v>0.43154936184682796</v>
      </c>
      <c r="T11" s="183">
        <f>IF(M11="cy", IF( K11 &lt;&gt;0,IF(P11&lt;&gt;0,P11*4185/2000,""),""),"")</f>
        <v>1290.003066202175</v>
      </c>
    </row>
    <row r="12" spans="1:20" x14ac:dyDescent="0.2">
      <c r="B12" s="10"/>
      <c r="C12" s="16" t="str">
        <f>'5   Dozer'!D13</f>
        <v>D11R CD</v>
      </c>
      <c r="D12" s="40" t="str">
        <f>'5   Dozer'!A13</f>
        <v>Dozer Assist</v>
      </c>
      <c r="E12" s="40" t="str">
        <f>'5   Dozer'!B13</f>
        <v xml:space="preserve">Magnetite Tailings Top </v>
      </c>
      <c r="F12" s="40" t="str">
        <f>'5   Dozer'!C13</f>
        <v>Top</v>
      </c>
      <c r="G12" s="313">
        <f>$H$39</f>
        <v>509.12</v>
      </c>
      <c r="H12" s="313">
        <f>$H$52</f>
        <v>47.58</v>
      </c>
      <c r="I12" s="24">
        <v>1</v>
      </c>
      <c r="J12" s="23">
        <f>'5   Dozer'!G13</f>
        <v>256.85741714285712</v>
      </c>
      <c r="K12" s="49">
        <f t="shared" si="0"/>
        <v>142992.52412342856</v>
      </c>
      <c r="L12" s="59">
        <f>'4   Earthwork'!G11</f>
        <v>276615.67999999999</v>
      </c>
      <c r="M12" s="16" t="s">
        <v>29</v>
      </c>
      <c r="N12" s="372">
        <f>IF(L12=0,"---",K12/L12)</f>
        <v>0.51693571428571428</v>
      </c>
      <c r="O12" s="41">
        <f>N12+N16+N20+N24</f>
        <v>2.1844313057583538</v>
      </c>
      <c r="P12" s="183">
        <f>IF(J12=0,"-",L12/J12)</f>
        <v>1076.9230769230769</v>
      </c>
      <c r="R12" s="35" t="s">
        <v>260</v>
      </c>
      <c r="S12" s="191">
        <f>IF(M12="cy", IF( K12 &lt;&gt;0,IF(O12&lt;&gt;0,O12/3300*2000,""),""),"")</f>
        <v>1.3238977610656688</v>
      </c>
      <c r="T12" s="183">
        <f>IF(M12="cy", IF( K12 &lt;&gt;0,IF(P12&lt;&gt;0,P12*3300/2000,""),""),"")</f>
        <v>1776.9230769230769</v>
      </c>
    </row>
    <row r="13" spans="1:20" x14ac:dyDescent="0.2">
      <c r="B13" s="10"/>
      <c r="C13" s="16" t="str">
        <f>'5   Dozer'!D14</f>
        <v>D11R CD</v>
      </c>
      <c r="D13" s="40" t="str">
        <f>'5   Dozer'!A14</f>
        <v>Dozer Assist</v>
      </c>
      <c r="E13" s="40" t="str">
        <f>'5   Dozer'!B14</f>
        <v>Magnetite Tailings Outslopes</v>
      </c>
      <c r="F13" s="40" t="str">
        <f>'5   Dozer'!C14</f>
        <v>Outslopes</v>
      </c>
      <c r="G13" s="313">
        <f>$H$39</f>
        <v>509.12</v>
      </c>
      <c r="H13" s="313">
        <f>$H$52</f>
        <v>47.58</v>
      </c>
      <c r="I13" s="24">
        <v>1</v>
      </c>
      <c r="J13" s="23">
        <f>'5   Dozer'!G14</f>
        <v>23.900611428571427</v>
      </c>
      <c r="K13" s="49">
        <f t="shared" si="0"/>
        <v>13305.470382285714</v>
      </c>
      <c r="L13" s="59">
        <f>'4   Earthwork'!G12</f>
        <v>25739.119999999999</v>
      </c>
      <c r="M13" s="16" t="s">
        <v>29</v>
      </c>
      <c r="N13" s="372">
        <f>IF(L13=0,"---",K13/L13)</f>
        <v>0.51693571428571428</v>
      </c>
      <c r="O13" s="41">
        <f>N13+N17+N21+N25</f>
        <v>2.0828184859218419</v>
      </c>
      <c r="P13" s="183">
        <f>IF(J13=0,"-",L13/J13)</f>
        <v>1076.9230769230769</v>
      </c>
      <c r="R13" s="35" t="s">
        <v>260</v>
      </c>
      <c r="S13" s="191">
        <f>IF(M13="cy", IF( K13 &lt;&gt;0,IF(O13&lt;&gt;0,O13/3300*2000,""),""),"")</f>
        <v>1.2623142338920255</v>
      </c>
      <c r="T13" s="183">
        <f>IF(M13="cy", IF( K13 &lt;&gt;0,IF(P13&lt;&gt;0,P13*3300/2000,""),""),"")</f>
        <v>1776.9230769230769</v>
      </c>
    </row>
    <row r="14" spans="1:20" x14ac:dyDescent="0.2">
      <c r="B14" s="10"/>
      <c r="C14" s="16"/>
      <c r="D14" s="40"/>
      <c r="E14" s="40"/>
      <c r="F14" s="40"/>
      <c r="G14" s="313"/>
      <c r="H14" s="313"/>
      <c r="I14" s="24"/>
      <c r="J14" s="23"/>
      <c r="K14" s="49"/>
      <c r="L14" s="59"/>
      <c r="M14" s="16"/>
      <c r="N14" s="372"/>
      <c r="O14" s="41"/>
      <c r="S14" s="35" t="str">
        <f>IF(M14="cy", IF( K14 &lt;&gt;0,IF(O14&lt;&gt;0,O14/3300*2000,""),""),"")</f>
        <v/>
      </c>
      <c r="T14" s="183" t="str">
        <f>IF(M14="cy", IF( K14 &lt;&gt;0,IF(P14&lt;&gt;0,P14*3300/2000,""),""),"")</f>
        <v/>
      </c>
    </row>
    <row r="15" spans="1:20" ht="15.75" x14ac:dyDescent="0.25">
      <c r="B15" s="28" t="s">
        <v>51</v>
      </c>
      <c r="C15" s="28"/>
      <c r="D15" s="16"/>
      <c r="E15" s="16"/>
      <c r="F15" s="16"/>
      <c r="G15" s="313"/>
      <c r="H15" s="313"/>
      <c r="I15" s="24"/>
      <c r="J15" s="23"/>
      <c r="K15" s="49"/>
      <c r="L15" s="40"/>
      <c r="M15" s="16"/>
      <c r="N15" s="313"/>
      <c r="O15" s="38"/>
      <c r="S15" s="35" t="str">
        <f>IF(M15="cy", IF( K15 &lt;&gt;0,IF(O15&lt;&gt;0,O15/3300*2000,""),""),"")</f>
        <v/>
      </c>
      <c r="T15" s="35" t="str">
        <f>IF(M15="cy", IF( K15 &lt;&gt;0,IF(P15&lt;&gt;0,P15*3300/2000,""),""),"")</f>
        <v/>
      </c>
    </row>
    <row r="16" spans="1:20" x14ac:dyDescent="0.2">
      <c r="B16" s="16"/>
      <c r="C16" s="16" t="str">
        <f>'3   Material'!G17</f>
        <v>D11R CD</v>
      </c>
      <c r="D16" s="48" t="str">
        <f>'6   Grading'!A11</f>
        <v>Grade cover soil</v>
      </c>
      <c r="E16" s="48" t="str">
        <f>'6   Grading'!B11</f>
        <v xml:space="preserve">Magnetite Tailings Top </v>
      </c>
      <c r="F16" s="48" t="str">
        <f>'6   Grading'!C11</f>
        <v>-</v>
      </c>
      <c r="G16" s="313">
        <f>$H$39</f>
        <v>509.12</v>
      </c>
      <c r="H16" s="313">
        <f>$H$52</f>
        <v>47.58</v>
      </c>
      <c r="I16" s="24">
        <v>1</v>
      </c>
      <c r="J16" s="117">
        <f>'6   Grading'!I11</f>
        <v>137.17089720314257</v>
      </c>
      <c r="K16" s="49">
        <f t="shared" si="0"/>
        <v>76363.038472989472</v>
      </c>
      <c r="L16" s="39">
        <f>'6   Grading'!E11</f>
        <v>276615.67999999999</v>
      </c>
      <c r="M16" s="16" t="s">
        <v>29</v>
      </c>
      <c r="N16" s="372">
        <f>IF(L16=0,"---",K16/L16)</f>
        <v>0.27606185763941321</v>
      </c>
    </row>
    <row r="17" spans="2:18" x14ac:dyDescent="0.2">
      <c r="B17" s="16"/>
      <c r="C17" s="16" t="str">
        <f>'3   Material'!G18</f>
        <v>D11R CD</v>
      </c>
      <c r="D17" s="48" t="str">
        <f>'6   Grading'!A12</f>
        <v>Grade cover soil</v>
      </c>
      <c r="E17" s="48" t="str">
        <f>'6   Grading'!B12</f>
        <v>Magnetite Tailings Outslopes</v>
      </c>
      <c r="F17" s="48" t="str">
        <f>'6   Grading'!C12</f>
        <v>-</v>
      </c>
      <c r="G17" s="313">
        <f>$H$39</f>
        <v>509.12</v>
      </c>
      <c r="H17" s="313">
        <f>$H$52</f>
        <v>47.58</v>
      </c>
      <c r="I17" s="24">
        <v>1</v>
      </c>
      <c r="J17" s="117">
        <f>'6   Grading'!I12</f>
        <v>8.2333988394530149</v>
      </c>
      <c r="K17" s="49">
        <f t="shared" si="0"/>
        <v>4583.5331339234936</v>
      </c>
      <c r="L17" s="39">
        <f>'6   Grading'!E12</f>
        <v>25739.119999999999</v>
      </c>
      <c r="M17" s="16" t="s">
        <v>29</v>
      </c>
      <c r="N17" s="372">
        <f>IF(L17=0,"---",K17/L17)</f>
        <v>0.17807652840980942</v>
      </c>
      <c r="O17" s="41"/>
    </row>
    <row r="18" spans="2:18" x14ac:dyDescent="0.2">
      <c r="B18" s="16"/>
      <c r="C18" s="16"/>
      <c r="D18" s="48"/>
      <c r="E18" s="48"/>
      <c r="F18" s="48"/>
      <c r="G18" s="313"/>
      <c r="H18" s="313"/>
      <c r="I18" s="24"/>
      <c r="J18" s="23"/>
      <c r="K18" s="49"/>
      <c r="L18" s="39"/>
      <c r="M18" s="16"/>
      <c r="N18" s="313"/>
      <c r="O18" s="38"/>
      <c r="R18" s="41"/>
    </row>
    <row r="19" spans="2:18" ht="15.75" x14ac:dyDescent="0.25">
      <c r="B19" s="31" t="s">
        <v>59</v>
      </c>
      <c r="C19" s="31"/>
      <c r="D19" s="48"/>
      <c r="E19" s="48"/>
      <c r="F19" s="48"/>
      <c r="G19" s="313"/>
      <c r="H19" s="313"/>
      <c r="I19" s="24"/>
      <c r="J19" s="23"/>
      <c r="K19" s="49"/>
      <c r="L19" s="39"/>
      <c r="M19" s="16"/>
      <c r="N19" s="313"/>
      <c r="O19" s="38"/>
    </row>
    <row r="20" spans="2:18" x14ac:dyDescent="0.2">
      <c r="B20" s="10"/>
      <c r="C20" s="10" t="str">
        <f>'3   Material'!G13</f>
        <v>992K</v>
      </c>
      <c r="D20" s="48" t="str">
        <f>'10   Loader'!A10</f>
        <v>Load cover soil</v>
      </c>
      <c r="E20" s="48" t="str">
        <f>'4   Earthwork'!C13</f>
        <v>North OB Stockpile, OB-5 Stockpile</v>
      </c>
      <c r="F20" s="48" t="str">
        <f>'4   Earthwork'!D13</f>
        <v xml:space="preserve">Magnetite Tailings Top </v>
      </c>
      <c r="G20" s="313">
        <f>$H$41</f>
        <v>369.97</v>
      </c>
      <c r="H20" s="313">
        <f>$H$54</f>
        <v>47.75</v>
      </c>
      <c r="I20" s="24">
        <v>1</v>
      </c>
      <c r="J20" s="23">
        <f>MAX('10   Loader'!I10)</f>
        <v>256.85741714285712</v>
      </c>
      <c r="K20" s="49">
        <f t="shared" si="0"/>
        <v>107294.48028891429</v>
      </c>
      <c r="L20" s="40">
        <f>'10   Loader'!E10</f>
        <v>276615.67999999999</v>
      </c>
      <c r="M20" s="16" t="s">
        <v>29</v>
      </c>
      <c r="N20" s="372">
        <f>IF(L20=0,"---",K20/L20)</f>
        <v>0.38788285714285714</v>
      </c>
      <c r="O20" s="41"/>
    </row>
    <row r="21" spans="2:18" x14ac:dyDescent="0.2">
      <c r="B21" s="10"/>
      <c r="C21" s="10" t="str">
        <f>'3   Material'!G14</f>
        <v>992K</v>
      </c>
      <c r="D21" s="48" t="str">
        <f>'10   Loader'!A11</f>
        <v>Load cover soil</v>
      </c>
      <c r="E21" s="48" t="str">
        <f>'4   Earthwork'!C14</f>
        <v>North OB Stockpile, OB-5 Stockpile</v>
      </c>
      <c r="F21" s="48" t="str">
        <f>'4   Earthwork'!D14</f>
        <v>Magnetite Tailings Outslopes</v>
      </c>
      <c r="G21" s="313">
        <f>$H$41</f>
        <v>369.97</v>
      </c>
      <c r="H21" s="313">
        <f>$H$54</f>
        <v>47.75</v>
      </c>
      <c r="I21" s="24">
        <v>1</v>
      </c>
      <c r="J21" s="23">
        <f>MAX('10   Loader'!I11)</f>
        <v>23.900611428571427</v>
      </c>
      <c r="K21" s="49">
        <f t="shared" si="0"/>
        <v>9983.7634059428565</v>
      </c>
      <c r="L21" s="40">
        <f>'10   Loader'!E11</f>
        <v>25739.119999999999</v>
      </c>
      <c r="M21" s="16" t="s">
        <v>29</v>
      </c>
      <c r="N21" s="372">
        <f>IF(L21=0,"---",K21/L21)</f>
        <v>0.38788285714285714</v>
      </c>
      <c r="O21" s="41"/>
    </row>
    <row r="22" spans="2:18" x14ac:dyDescent="0.2">
      <c r="B22" s="10"/>
      <c r="C22" s="10"/>
      <c r="D22" s="48"/>
      <c r="E22" s="48"/>
      <c r="F22" s="48"/>
      <c r="G22" s="313"/>
      <c r="H22" s="313"/>
      <c r="I22" s="24"/>
      <c r="J22" s="23"/>
      <c r="K22" s="49"/>
      <c r="L22" s="40"/>
      <c r="M22" s="16"/>
      <c r="N22" s="372"/>
      <c r="O22" s="41"/>
    </row>
    <row r="23" spans="2:18" ht="15.75" x14ac:dyDescent="0.25">
      <c r="B23" s="31" t="s">
        <v>37</v>
      </c>
      <c r="C23" s="31"/>
      <c r="D23" s="48"/>
      <c r="E23" s="48"/>
      <c r="F23" s="48"/>
      <c r="G23" s="313"/>
      <c r="H23" s="313"/>
      <c r="I23" s="24"/>
      <c r="J23" s="23"/>
      <c r="K23" s="49"/>
      <c r="L23" s="40"/>
      <c r="M23" s="16"/>
      <c r="N23" s="313"/>
      <c r="O23" s="38"/>
    </row>
    <row r="24" spans="2:18" x14ac:dyDescent="0.2">
      <c r="B24" s="10"/>
      <c r="C24" s="10" t="str">
        <f>'3   Material'!G15</f>
        <v>777F</v>
      </c>
      <c r="D24" s="20" t="str">
        <f>'9   Trucks'!A13</f>
        <v>Haul cover soil</v>
      </c>
      <c r="E24" s="44" t="str">
        <f>'4   Earthwork'!C15</f>
        <v>North OB Stockpile, OB-5 Stockpile</v>
      </c>
      <c r="F24" s="44" t="str">
        <f>'4   Earthwork'!D15</f>
        <v xml:space="preserve">Magnetite Tailings Top </v>
      </c>
      <c r="G24" s="313">
        <f>$H$40</f>
        <v>294.39999999999998</v>
      </c>
      <c r="H24" s="313">
        <f>$H$53</f>
        <v>42.82</v>
      </c>
      <c r="I24" s="24">
        <f>'9   Trucks'!G13</f>
        <v>3</v>
      </c>
      <c r="J24" s="23">
        <f>MAX('9   Trucks'!I13,'10   Loader'!I10)</f>
        <v>274.39842256321549</v>
      </c>
      <c r="K24" s="49">
        <f>(G24+H24)*J24*I24</f>
        <v>277597.90817030251</v>
      </c>
      <c r="L24" s="40">
        <f>'9   Trucks'!E13</f>
        <v>276615.67999999999</v>
      </c>
      <c r="M24" s="16" t="s">
        <v>29</v>
      </c>
      <c r="N24" s="372">
        <f>IF(L24=0,"---",K24/L24)</f>
        <v>1.0035508766903689</v>
      </c>
      <c r="O24" s="41"/>
    </row>
    <row r="25" spans="2:18" x14ac:dyDescent="0.2">
      <c r="B25" s="10"/>
      <c r="C25" s="10" t="str">
        <f>'3   Material'!G16</f>
        <v>777F</v>
      </c>
      <c r="D25" s="20" t="str">
        <f>'9   Trucks'!A14</f>
        <v>Haul cover soil</v>
      </c>
      <c r="E25" s="44" t="str">
        <f>'4   Earthwork'!C16</f>
        <v>North OB Stockpile, OB-5 Stockpile</v>
      </c>
      <c r="F25" s="44" t="str">
        <f>'4   Earthwork'!D16</f>
        <v>Magnetite Tailings Outslopes</v>
      </c>
      <c r="G25" s="313">
        <f>$H$40</f>
        <v>294.39999999999998</v>
      </c>
      <c r="H25" s="313">
        <f>$H$53</f>
        <v>42.82</v>
      </c>
      <c r="I25" s="24">
        <f>'9   Trucks'!G14</f>
        <v>3</v>
      </c>
      <c r="J25" s="23">
        <f>MAX('9   Trucks'!I14,'10   Loader'!I11)</f>
        <v>25.440511659261546</v>
      </c>
      <c r="K25" s="49">
        <f>(G25+H25)*J25*I25</f>
        <v>25737.148025208531</v>
      </c>
      <c r="L25" s="40">
        <f>'9   Trucks'!E14</f>
        <v>25739.119999999999</v>
      </c>
      <c r="M25" s="16" t="s">
        <v>29</v>
      </c>
      <c r="N25" s="372">
        <f>IF(L25=0,"---",K25/L25)</f>
        <v>0.99992338608346099</v>
      </c>
      <c r="O25" s="41"/>
    </row>
    <row r="26" spans="2:18" x14ac:dyDescent="0.2">
      <c r="B26" s="10"/>
      <c r="C26" s="10"/>
      <c r="D26" s="48"/>
      <c r="E26" s="44"/>
      <c r="F26" s="44"/>
      <c r="G26" s="313"/>
      <c r="H26" s="313"/>
      <c r="I26" s="24"/>
      <c r="J26" s="23"/>
      <c r="K26" s="49"/>
      <c r="L26" s="40"/>
      <c r="M26" s="16"/>
      <c r="N26" s="372"/>
      <c r="O26" s="41"/>
    </row>
    <row r="27" spans="2:18" ht="15.75" x14ac:dyDescent="0.25">
      <c r="B27" s="312" t="s">
        <v>319</v>
      </c>
      <c r="C27" s="16"/>
      <c r="D27" s="48"/>
      <c r="E27" s="48"/>
      <c r="F27" s="48"/>
      <c r="G27" s="313"/>
      <c r="H27" s="313"/>
      <c r="I27" s="363"/>
      <c r="J27" s="117"/>
      <c r="K27" s="49"/>
      <c r="L27" s="39"/>
      <c r="M27" s="16"/>
      <c r="N27" s="41"/>
      <c r="O27" s="41"/>
    </row>
    <row r="28" spans="2:18" x14ac:dyDescent="0.2">
      <c r="B28" s="10"/>
      <c r="C28" s="16" t="str">
        <f>'3   Material'!B19</f>
        <v>Off-Hwy Water Tanker Truck</v>
      </c>
      <c r="D28" s="20" t="str">
        <f>E10</f>
        <v>Magnetite Tailings</v>
      </c>
      <c r="E28" s="179"/>
      <c r="F28" s="48"/>
      <c r="G28" s="313">
        <f>$H$43</f>
        <v>171.97</v>
      </c>
      <c r="H28" s="313">
        <f>$H$56</f>
        <v>25.34</v>
      </c>
      <c r="I28" s="364">
        <v>1</v>
      </c>
      <c r="J28" s="23">
        <f>J20+J21</f>
        <v>280.75802857142855</v>
      </c>
      <c r="K28" s="49">
        <f>(G28+H28)*J28*I28</f>
        <v>55396.366617428568</v>
      </c>
      <c r="L28" s="39"/>
      <c r="M28" s="16"/>
      <c r="N28" s="41"/>
      <c r="O28" s="41"/>
    </row>
    <row r="29" spans="2:18" x14ac:dyDescent="0.2">
      <c r="B29" s="10"/>
      <c r="C29" s="16" t="str">
        <f>'3   Material'!B20</f>
        <v>Motor Grader</v>
      </c>
      <c r="D29" s="20" t="str">
        <f>E11</f>
        <v>Magnetite Tailings</v>
      </c>
      <c r="E29" s="179"/>
      <c r="F29" s="48"/>
      <c r="G29" s="313">
        <f>$H$42</f>
        <v>164.06</v>
      </c>
      <c r="H29" s="313">
        <f>$H$55</f>
        <v>47.58</v>
      </c>
      <c r="I29" s="364">
        <v>1</v>
      </c>
      <c r="J29" s="23">
        <f>J28</f>
        <v>280.75802857142855</v>
      </c>
      <c r="K29" s="49">
        <f t="shared" ref="K29" si="1">(G29+H29)*J29*I29</f>
        <v>59419.629166857136</v>
      </c>
      <c r="L29" s="39"/>
      <c r="M29" s="16"/>
      <c r="N29" s="41"/>
      <c r="O29" s="41"/>
    </row>
    <row r="30" spans="2:18" x14ac:dyDescent="0.2">
      <c r="B30" s="10"/>
      <c r="C30" s="16"/>
      <c r="D30" s="48"/>
      <c r="E30" s="179"/>
      <c r="F30" s="48"/>
      <c r="G30" s="38"/>
      <c r="H30" s="38"/>
      <c r="I30" s="24"/>
      <c r="J30" s="117"/>
      <c r="K30" s="40"/>
      <c r="L30" s="39"/>
      <c r="M30" s="16"/>
      <c r="N30" s="41"/>
      <c r="O30" s="40" t="s">
        <v>241</v>
      </c>
    </row>
    <row r="31" spans="2:18" ht="18" customHeight="1" x14ac:dyDescent="0.2">
      <c r="B31" s="10"/>
      <c r="C31" s="16"/>
      <c r="D31" s="48"/>
      <c r="E31" s="48"/>
      <c r="F31" s="48"/>
      <c r="G31" s="38"/>
      <c r="J31" s="308" t="str">
        <f>'3   Material'!C9</f>
        <v>Magnetite Tailings</v>
      </c>
      <c r="K31" s="309">
        <f>SUM(K10,K11:K13,K16:K17,K20:K21,K24:K25,K28:K29)</f>
        <v>873743.35232577717</v>
      </c>
      <c r="L31" s="40"/>
      <c r="N31" s="41"/>
      <c r="O31" s="314">
        <f>SUM(K31:K31)</f>
        <v>873743.35232577717</v>
      </c>
    </row>
    <row r="32" spans="2:18" ht="18" customHeight="1" x14ac:dyDescent="0.25">
      <c r="B32" s="10"/>
      <c r="C32" s="16"/>
      <c r="D32" s="48"/>
      <c r="E32" s="48"/>
      <c r="F32" s="48"/>
      <c r="G32" s="38"/>
      <c r="J32" s="110" t="s">
        <v>308</v>
      </c>
      <c r="K32" s="29">
        <f>SUM(K10:K29)</f>
        <v>873743.35232577717</v>
      </c>
      <c r="L32" s="40"/>
      <c r="M32" s="40"/>
      <c r="N32" s="41"/>
      <c r="O32" s="41"/>
    </row>
    <row r="33" spans="2:16" ht="15.75" x14ac:dyDescent="0.25">
      <c r="B33" s="16"/>
      <c r="C33" s="16"/>
      <c r="D33" s="48"/>
      <c r="E33" s="48"/>
      <c r="F33" s="48"/>
      <c r="G33" s="48"/>
      <c r="H33" s="16"/>
      <c r="I33" s="24"/>
      <c r="J33" s="28"/>
      <c r="L33" s="29"/>
      <c r="M33" s="10"/>
      <c r="N33" s="10"/>
      <c r="O33" s="10"/>
      <c r="P33" s="133"/>
    </row>
    <row r="34" spans="2:16" ht="15.75" x14ac:dyDescent="0.25">
      <c r="B34" s="16"/>
      <c r="C34" s="16"/>
      <c r="D34" s="42"/>
      <c r="E34" s="42"/>
      <c r="F34" s="42"/>
      <c r="G34" s="42"/>
      <c r="H34" s="10"/>
      <c r="I34" s="30"/>
      <c r="K34" s="29"/>
      <c r="L34" s="10"/>
      <c r="N34" s="10"/>
      <c r="O34" s="10"/>
      <c r="P34" s="133"/>
    </row>
    <row r="35" spans="2:16" x14ac:dyDescent="0.2">
      <c r="B35" s="10"/>
      <c r="C35" s="42"/>
      <c r="D35" s="42"/>
      <c r="E35" s="171"/>
      <c r="F35" s="171"/>
      <c r="G35" s="166" t="s">
        <v>41</v>
      </c>
      <c r="H35" s="166" t="s">
        <v>261</v>
      </c>
      <c r="I35" s="35"/>
      <c r="K35" s="10"/>
      <c r="L35" s="10"/>
      <c r="N35" s="10"/>
      <c r="O35" s="10"/>
      <c r="P35" s="132"/>
    </row>
    <row r="36" spans="2:16" ht="15.75" x14ac:dyDescent="0.25">
      <c r="B36" s="10"/>
      <c r="C36" s="31" t="s">
        <v>136</v>
      </c>
      <c r="D36" s="42"/>
      <c r="E36" s="172" t="s">
        <v>191</v>
      </c>
      <c r="F36" s="172" t="s">
        <v>191</v>
      </c>
      <c r="G36" s="166" t="s">
        <v>36</v>
      </c>
      <c r="H36" s="166" t="s">
        <v>142</v>
      </c>
      <c r="I36" s="35"/>
      <c r="K36" s="30"/>
      <c r="L36" s="30"/>
      <c r="N36" s="10"/>
      <c r="O36" s="10"/>
      <c r="P36" s="132"/>
    </row>
    <row r="37" spans="2:16" x14ac:dyDescent="0.2">
      <c r="B37" s="10"/>
      <c r="C37" s="42"/>
      <c r="D37" s="42"/>
      <c r="E37" s="173" t="s">
        <v>227</v>
      </c>
      <c r="F37" s="173" t="s">
        <v>11</v>
      </c>
      <c r="G37" s="174" t="s">
        <v>190</v>
      </c>
      <c r="H37" s="166" t="s">
        <v>11</v>
      </c>
      <c r="I37" s="35"/>
      <c r="K37" s="30"/>
      <c r="L37" s="30"/>
      <c r="N37" s="10"/>
      <c r="O37" s="10"/>
      <c r="P37" s="132"/>
    </row>
    <row r="38" spans="2:16" x14ac:dyDescent="0.2">
      <c r="B38" s="10"/>
      <c r="C38" s="118" t="s">
        <v>135</v>
      </c>
      <c r="D38" s="118"/>
      <c r="E38" s="175" t="s">
        <v>192</v>
      </c>
      <c r="F38" s="175" t="s">
        <v>48</v>
      </c>
      <c r="G38" s="176" t="s">
        <v>48</v>
      </c>
      <c r="H38" s="176" t="s">
        <v>48</v>
      </c>
      <c r="I38" s="1" t="s">
        <v>64</v>
      </c>
      <c r="N38" s="10"/>
      <c r="O38" s="10"/>
      <c r="P38" s="132"/>
    </row>
    <row r="39" spans="2:16" x14ac:dyDescent="0.2">
      <c r="B39" s="10"/>
      <c r="C39" s="365" t="s">
        <v>318</v>
      </c>
      <c r="D39" s="42"/>
      <c r="E39" s="332">
        <f>F39/$G$46</f>
        <v>29.751166407465011</v>
      </c>
      <c r="F39" s="366">
        <v>95.65</v>
      </c>
      <c r="G39" s="367">
        <f>H39-F39</f>
        <v>413.47</v>
      </c>
      <c r="H39" s="368">
        <v>509.12</v>
      </c>
      <c r="I39" s="174">
        <v>1</v>
      </c>
      <c r="N39" s="10"/>
      <c r="O39" s="10"/>
      <c r="P39" s="132"/>
    </row>
    <row r="40" spans="2:16" x14ac:dyDescent="0.2">
      <c r="B40" s="10"/>
      <c r="C40" s="365" t="s">
        <v>254</v>
      </c>
      <c r="D40" s="42"/>
      <c r="E40" s="332">
        <f>F40/$G$46</f>
        <v>18.758942457231729</v>
      </c>
      <c r="F40" s="369">
        <v>60.31</v>
      </c>
      <c r="G40" s="367">
        <f t="shared" ref="G40:G43" si="2">H40-F40</f>
        <v>234.08999999999997</v>
      </c>
      <c r="H40" s="368">
        <v>294.39999999999998</v>
      </c>
      <c r="I40" s="174">
        <v>1</v>
      </c>
      <c r="N40" s="10"/>
      <c r="O40" s="10"/>
      <c r="P40" s="133"/>
    </row>
    <row r="41" spans="2:16" x14ac:dyDescent="0.2">
      <c r="B41" s="10"/>
      <c r="C41" s="365" t="s">
        <v>317</v>
      </c>
      <c r="D41" s="42"/>
      <c r="E41" s="332">
        <f>F41/$G$46</f>
        <v>25.632970451010888</v>
      </c>
      <c r="F41" s="366">
        <v>82.41</v>
      </c>
      <c r="G41" s="367">
        <f t="shared" si="2"/>
        <v>287.56000000000006</v>
      </c>
      <c r="H41" s="368">
        <v>369.97</v>
      </c>
      <c r="I41" s="174">
        <v>1</v>
      </c>
      <c r="N41" s="10"/>
      <c r="O41" s="10"/>
      <c r="P41" s="133"/>
    </row>
    <row r="42" spans="2:16" x14ac:dyDescent="0.2">
      <c r="B42" s="10"/>
      <c r="C42" s="365" t="s">
        <v>253</v>
      </c>
      <c r="D42" s="42"/>
      <c r="E42" s="332">
        <f>F42/$G$46</f>
        <v>9.5054432348367026</v>
      </c>
      <c r="F42" s="366">
        <v>30.56</v>
      </c>
      <c r="G42" s="367">
        <f t="shared" si="2"/>
        <v>133.5</v>
      </c>
      <c r="H42" s="368">
        <v>164.06</v>
      </c>
      <c r="I42" s="174">
        <v>1</v>
      </c>
      <c r="N42" s="10"/>
      <c r="O42" s="10"/>
      <c r="P42" s="133"/>
    </row>
    <row r="43" spans="2:16" x14ac:dyDescent="0.2">
      <c r="B43" s="10"/>
      <c r="C43" s="120" t="s">
        <v>141</v>
      </c>
      <c r="D43" s="42"/>
      <c r="E43" s="332">
        <f>F43/$G$46</f>
        <v>15.343701399688959</v>
      </c>
      <c r="F43" s="366">
        <v>49.33</v>
      </c>
      <c r="G43" s="367">
        <f t="shared" si="2"/>
        <v>122.64</v>
      </c>
      <c r="H43" s="368">
        <v>171.97</v>
      </c>
      <c r="I43" s="174">
        <v>1</v>
      </c>
      <c r="N43" s="10"/>
      <c r="O43" s="10"/>
      <c r="P43" s="133"/>
    </row>
    <row r="44" spans="2:16" x14ac:dyDescent="0.2">
      <c r="B44" s="10"/>
      <c r="C44" s="249"/>
      <c r="D44" s="115"/>
      <c r="E44" s="177"/>
      <c r="F44" s="272"/>
      <c r="G44" s="178"/>
      <c r="H44" s="316"/>
      <c r="I44" s="10"/>
      <c r="N44" s="10"/>
      <c r="O44" s="10"/>
      <c r="P44" s="133"/>
    </row>
    <row r="45" spans="2:16" ht="15.75" x14ac:dyDescent="0.25">
      <c r="B45" s="10"/>
      <c r="C45" s="31" t="s">
        <v>138</v>
      </c>
      <c r="D45" s="42"/>
      <c r="E45" s="42"/>
      <c r="F45" s="42"/>
      <c r="G45" s="10"/>
      <c r="H45" s="10"/>
      <c r="I45" s="10"/>
      <c r="N45" s="10"/>
      <c r="O45" s="10"/>
      <c r="P45" s="133"/>
    </row>
    <row r="46" spans="2:16" x14ac:dyDescent="0.2">
      <c r="B46" s="10"/>
      <c r="C46" s="42" t="s">
        <v>189</v>
      </c>
      <c r="D46" s="42"/>
      <c r="E46" s="10"/>
      <c r="F46" s="10"/>
      <c r="G46" s="370">
        <v>3.2149999999999999</v>
      </c>
      <c r="H46" s="10" t="s">
        <v>118</v>
      </c>
      <c r="I46" s="174">
        <v>2</v>
      </c>
      <c r="N46" s="10"/>
      <c r="O46" s="10"/>
      <c r="P46" s="133"/>
    </row>
    <row r="47" spans="2:16" x14ac:dyDescent="0.2">
      <c r="B47" s="10"/>
      <c r="C47" s="290"/>
      <c r="D47" s="42"/>
      <c r="E47" s="10"/>
      <c r="F47" s="10"/>
      <c r="G47" s="121"/>
      <c r="H47" s="132"/>
      <c r="I47" s="35"/>
      <c r="K47" s="10"/>
      <c r="M47" s="10"/>
      <c r="N47" s="10"/>
      <c r="O47" s="10"/>
      <c r="P47" s="133"/>
    </row>
    <row r="48" spans="2:16" x14ac:dyDescent="0.2">
      <c r="B48" s="10"/>
      <c r="C48" s="42"/>
      <c r="D48" s="42"/>
      <c r="E48" s="10"/>
      <c r="F48" s="10"/>
      <c r="G48" s="316"/>
      <c r="H48" s="316" t="s">
        <v>144</v>
      </c>
      <c r="I48" s="30"/>
      <c r="N48" s="10"/>
      <c r="O48" s="10"/>
      <c r="P48" s="133"/>
    </row>
    <row r="49" spans="2:16" ht="15.75" x14ac:dyDescent="0.25">
      <c r="B49" s="10"/>
      <c r="C49" s="31" t="s">
        <v>137</v>
      </c>
      <c r="D49" s="42"/>
      <c r="E49" s="10"/>
      <c r="F49" s="10"/>
      <c r="G49" s="316"/>
      <c r="H49" s="316" t="s">
        <v>43</v>
      </c>
      <c r="I49" s="30"/>
      <c r="N49" s="10"/>
      <c r="O49" s="10"/>
      <c r="P49" s="133"/>
    </row>
    <row r="50" spans="2:16" x14ac:dyDescent="0.2">
      <c r="B50" s="10"/>
      <c r="C50" s="42"/>
      <c r="E50" s="120" t="s">
        <v>128</v>
      </c>
      <c r="F50" s="1" t="s">
        <v>128</v>
      </c>
      <c r="G50" s="316"/>
      <c r="H50" s="316" t="s">
        <v>127</v>
      </c>
      <c r="I50" s="30"/>
      <c r="N50" s="10"/>
      <c r="O50" s="10"/>
      <c r="P50" s="133"/>
    </row>
    <row r="51" spans="2:16" x14ac:dyDescent="0.2">
      <c r="B51" s="10"/>
      <c r="C51" s="118" t="s">
        <v>132</v>
      </c>
      <c r="E51" s="122" t="s">
        <v>139</v>
      </c>
      <c r="F51" s="123" t="s">
        <v>140</v>
      </c>
      <c r="G51" s="176"/>
      <c r="H51" s="176" t="s">
        <v>48</v>
      </c>
      <c r="I51" s="30"/>
      <c r="N51" s="10"/>
      <c r="O51" s="10"/>
      <c r="P51" s="133"/>
    </row>
    <row r="52" spans="2:16" x14ac:dyDescent="0.2">
      <c r="B52" s="10"/>
      <c r="C52" s="365" t="s">
        <v>318</v>
      </c>
      <c r="E52" s="120" t="s">
        <v>134</v>
      </c>
      <c r="F52" s="1" t="s">
        <v>129</v>
      </c>
      <c r="G52" s="178"/>
      <c r="H52" s="373">
        <v>47.58</v>
      </c>
      <c r="I52" s="174">
        <v>3</v>
      </c>
      <c r="N52" s="10"/>
      <c r="O52" s="10"/>
      <c r="P52" s="133"/>
    </row>
    <row r="53" spans="2:16" x14ac:dyDescent="0.2">
      <c r="B53" s="10"/>
      <c r="C53" s="365" t="s">
        <v>254</v>
      </c>
      <c r="E53" s="311" t="s">
        <v>315</v>
      </c>
      <c r="F53" s="311" t="s">
        <v>316</v>
      </c>
      <c r="G53" s="178"/>
      <c r="H53" s="373">
        <v>42.82</v>
      </c>
      <c r="I53" s="174">
        <v>3</v>
      </c>
      <c r="N53" s="10"/>
      <c r="O53" s="10"/>
      <c r="P53" s="133"/>
    </row>
    <row r="54" spans="2:16" x14ac:dyDescent="0.2">
      <c r="B54" s="10"/>
      <c r="C54" s="365" t="s">
        <v>317</v>
      </c>
      <c r="E54" s="120" t="s">
        <v>133</v>
      </c>
      <c r="F54" s="1" t="s">
        <v>130</v>
      </c>
      <c r="G54" s="316"/>
      <c r="H54" s="373">
        <v>47.75</v>
      </c>
      <c r="I54" s="174">
        <v>3</v>
      </c>
      <c r="N54" s="10"/>
      <c r="O54" s="10"/>
      <c r="P54" s="133"/>
    </row>
    <row r="55" spans="2:16" x14ac:dyDescent="0.2">
      <c r="B55" s="10"/>
      <c r="C55" s="365" t="s">
        <v>253</v>
      </c>
      <c r="E55" s="120" t="s">
        <v>134</v>
      </c>
      <c r="F55" s="1" t="s">
        <v>131</v>
      </c>
      <c r="G55" s="316"/>
      <c r="H55" s="373">
        <v>47.58</v>
      </c>
      <c r="I55" s="174">
        <v>3</v>
      </c>
      <c r="N55" s="10"/>
      <c r="O55" s="10"/>
      <c r="P55" s="133"/>
    </row>
    <row r="56" spans="2:16" x14ac:dyDescent="0.2">
      <c r="B56" s="10"/>
      <c r="C56" s="120" t="s">
        <v>141</v>
      </c>
      <c r="E56" s="120" t="s">
        <v>206</v>
      </c>
      <c r="F56" s="120" t="s">
        <v>206</v>
      </c>
      <c r="G56" s="178"/>
      <c r="H56" s="373">
        <v>25.34</v>
      </c>
      <c r="I56" s="174">
        <v>3</v>
      </c>
      <c r="N56" s="10"/>
      <c r="O56" s="10"/>
      <c r="P56" s="133"/>
    </row>
    <row r="57" spans="2:16" x14ac:dyDescent="0.2">
      <c r="B57" s="10"/>
      <c r="C57" s="120"/>
      <c r="E57" s="120"/>
      <c r="F57" s="120"/>
      <c r="G57" s="178"/>
      <c r="H57" s="373"/>
      <c r="I57" s="174"/>
      <c r="N57" s="10"/>
      <c r="O57" s="10"/>
      <c r="P57" s="133"/>
    </row>
    <row r="58" spans="2:16" x14ac:dyDescent="0.2">
      <c r="C58" s="10" t="s">
        <v>312</v>
      </c>
      <c r="E58" s="42"/>
      <c r="F58" s="10"/>
      <c r="G58" s="10"/>
      <c r="H58" s="10"/>
      <c r="I58" s="133"/>
      <c r="J58" s="10"/>
      <c r="K58" s="10"/>
      <c r="L58" s="10"/>
      <c r="M58" s="10"/>
      <c r="N58" s="10"/>
      <c r="O58" s="10"/>
      <c r="P58" s="133"/>
    </row>
    <row r="59" spans="2:16" x14ac:dyDescent="0.2">
      <c r="B59" s="10"/>
      <c r="C59" s="18" t="s">
        <v>313</v>
      </c>
      <c r="E59" s="42"/>
      <c r="F59" s="10"/>
      <c r="G59" s="10"/>
      <c r="H59" s="10"/>
      <c r="I59" s="133"/>
      <c r="J59" s="10"/>
      <c r="K59" s="10"/>
      <c r="L59" s="10"/>
      <c r="M59" s="10"/>
      <c r="N59" s="10"/>
      <c r="O59" s="10"/>
      <c r="P59" s="133"/>
    </row>
    <row r="60" spans="2:16" x14ac:dyDescent="0.2">
      <c r="B60" s="10"/>
      <c r="C60" s="371" t="s">
        <v>314</v>
      </c>
      <c r="E60" s="42"/>
      <c r="F60" s="10"/>
      <c r="G60" s="10"/>
      <c r="H60" s="10"/>
      <c r="I60" s="133"/>
      <c r="J60" s="10"/>
      <c r="K60" s="10"/>
      <c r="L60" s="10"/>
      <c r="M60" s="10"/>
      <c r="N60" s="10"/>
      <c r="O60" s="10"/>
      <c r="P60" s="133"/>
    </row>
    <row r="61" spans="2:16" x14ac:dyDescent="0.2">
      <c r="B61" s="10"/>
      <c r="C61" s="18" t="s">
        <v>223</v>
      </c>
      <c r="E61" s="10"/>
      <c r="F61" s="10"/>
      <c r="G61" s="10"/>
      <c r="H61" s="10"/>
      <c r="I61" s="133"/>
      <c r="J61" s="10"/>
      <c r="K61" s="10"/>
      <c r="L61" s="10"/>
      <c r="M61" s="10"/>
      <c r="N61" s="10"/>
      <c r="O61" s="10"/>
      <c r="P61" s="133"/>
    </row>
    <row r="63" spans="2:16" x14ac:dyDescent="0.2">
      <c r="D63" s="80"/>
    </row>
    <row r="64" spans="2:16" x14ac:dyDescent="0.2">
      <c r="D64" s="80"/>
    </row>
    <row r="65" spans="2:16" x14ac:dyDescent="0.2">
      <c r="D65" s="80"/>
    </row>
    <row r="66" spans="2:16" x14ac:dyDescent="0.2">
      <c r="D66" s="80"/>
    </row>
    <row r="67" spans="2:16" x14ac:dyDescent="0.2">
      <c r="D67" s="3"/>
    </row>
    <row r="68" spans="2:16" x14ac:dyDescent="0.2">
      <c r="B68" s="10"/>
      <c r="C68" s="10"/>
      <c r="D68" s="10"/>
      <c r="E68" s="10"/>
      <c r="F68" s="10"/>
      <c r="G68" s="10"/>
      <c r="H68" s="10"/>
      <c r="I68" s="133"/>
      <c r="J68" s="10"/>
      <c r="K68" s="10"/>
      <c r="L68" s="10"/>
      <c r="M68" s="10"/>
      <c r="N68" s="10"/>
      <c r="O68" s="10"/>
      <c r="P68" s="133"/>
    </row>
    <row r="69" spans="2:16" x14ac:dyDescent="0.2">
      <c r="B69" s="10"/>
      <c r="C69" s="10"/>
      <c r="D69" s="111"/>
      <c r="E69" s="10"/>
      <c r="F69" s="10"/>
      <c r="G69" s="10"/>
      <c r="H69" s="10"/>
      <c r="I69" s="133"/>
      <c r="J69" s="10"/>
      <c r="K69" s="10"/>
      <c r="L69" s="10"/>
      <c r="M69" s="10"/>
      <c r="N69" s="10"/>
      <c r="O69" s="10"/>
      <c r="P69" s="133"/>
    </row>
    <row r="70" spans="2:16" x14ac:dyDescent="0.2">
      <c r="B70" s="10"/>
      <c r="C70" s="10"/>
      <c r="D70" s="80"/>
      <c r="E70" s="10"/>
      <c r="F70" s="10"/>
      <c r="G70" s="10"/>
      <c r="H70" s="10"/>
      <c r="I70" s="133"/>
      <c r="J70" s="10"/>
      <c r="K70" s="10"/>
      <c r="L70" s="10"/>
      <c r="M70" s="10"/>
      <c r="N70" s="10"/>
      <c r="O70" s="10"/>
      <c r="P70" s="133"/>
    </row>
    <row r="71" spans="2:16" x14ac:dyDescent="0.2">
      <c r="B71" s="10"/>
      <c r="C71" s="10"/>
      <c r="D71" s="80"/>
      <c r="E71" s="10"/>
      <c r="F71" s="10"/>
      <c r="G71" s="10"/>
      <c r="H71" s="10"/>
      <c r="I71" s="133"/>
      <c r="J71" s="10"/>
      <c r="K71" s="10"/>
      <c r="L71" s="10"/>
      <c r="M71" s="10"/>
      <c r="N71" s="10"/>
      <c r="O71" s="10"/>
      <c r="P71" s="133"/>
    </row>
    <row r="72" spans="2:16" x14ac:dyDescent="0.2">
      <c r="B72" s="10"/>
      <c r="C72" s="10"/>
      <c r="D72" s="3"/>
      <c r="E72" s="10"/>
      <c r="F72" s="10"/>
      <c r="G72" s="10"/>
      <c r="H72" s="10"/>
      <c r="I72" s="133"/>
      <c r="J72" s="10"/>
      <c r="K72" s="10"/>
      <c r="L72" s="10"/>
      <c r="M72" s="10"/>
      <c r="N72" s="10"/>
      <c r="O72" s="10"/>
      <c r="P72" s="133"/>
    </row>
    <row r="73" spans="2:16" x14ac:dyDescent="0.2">
      <c r="B73" s="10"/>
      <c r="C73" s="10"/>
      <c r="D73" s="3"/>
      <c r="E73" s="10"/>
      <c r="F73" s="10"/>
      <c r="G73" s="10"/>
      <c r="H73" s="10"/>
      <c r="I73" s="133"/>
      <c r="J73" s="10"/>
      <c r="K73" s="10"/>
      <c r="L73" s="10"/>
      <c r="M73" s="10"/>
      <c r="N73" s="10"/>
      <c r="O73" s="10"/>
      <c r="P73" s="133"/>
    </row>
    <row r="74" spans="2:16" x14ac:dyDescent="0.2">
      <c r="B74" s="10"/>
      <c r="C74" s="10"/>
      <c r="D74" s="10"/>
      <c r="E74" s="10"/>
      <c r="F74" s="10"/>
      <c r="G74" s="10"/>
      <c r="H74" s="10"/>
      <c r="I74" s="133"/>
      <c r="J74" s="10"/>
      <c r="K74" s="10"/>
      <c r="L74" s="10"/>
      <c r="M74" s="10"/>
      <c r="N74" s="10"/>
      <c r="O74" s="10"/>
      <c r="P74" s="133"/>
    </row>
    <row r="75" spans="2:16" x14ac:dyDescent="0.2">
      <c r="B75" s="10"/>
      <c r="C75" s="10"/>
      <c r="D75" s="10"/>
      <c r="E75" s="10"/>
      <c r="F75" s="10"/>
      <c r="G75" s="10"/>
      <c r="H75" s="10"/>
      <c r="I75" s="133"/>
      <c r="J75" s="10"/>
      <c r="K75" s="10"/>
      <c r="L75" s="10"/>
      <c r="M75" s="10"/>
      <c r="N75" s="10"/>
      <c r="O75" s="10"/>
      <c r="P75" s="133"/>
    </row>
    <row r="76" spans="2:16" x14ac:dyDescent="0.2">
      <c r="B76" s="10"/>
      <c r="C76" s="10"/>
      <c r="D76" s="10"/>
      <c r="E76" s="10"/>
      <c r="F76" s="10"/>
      <c r="G76" s="10"/>
      <c r="H76" s="10"/>
      <c r="I76" s="133"/>
      <c r="J76" s="10"/>
      <c r="K76" s="10"/>
      <c r="L76" s="10"/>
      <c r="M76" s="10"/>
      <c r="N76" s="10"/>
      <c r="O76" s="10"/>
      <c r="P76" s="133"/>
    </row>
    <row r="77" spans="2:16" x14ac:dyDescent="0.2">
      <c r="B77" s="10"/>
      <c r="C77" s="10"/>
      <c r="D77" s="10"/>
      <c r="E77" s="10"/>
      <c r="F77" s="10"/>
      <c r="G77" s="10"/>
      <c r="H77" s="10"/>
      <c r="I77" s="133"/>
      <c r="J77" s="10"/>
      <c r="K77" s="10"/>
      <c r="L77" s="10"/>
      <c r="M77" s="10"/>
      <c r="N77" s="10"/>
      <c r="O77" s="10"/>
      <c r="P77" s="133"/>
    </row>
    <row r="78" spans="2:16" x14ac:dyDescent="0.2">
      <c r="B78" s="10"/>
      <c r="C78" s="10"/>
      <c r="D78" s="10"/>
      <c r="E78" s="10"/>
      <c r="F78" s="10"/>
      <c r="G78" s="10"/>
      <c r="H78" s="10"/>
      <c r="I78" s="133"/>
      <c r="J78" s="10"/>
      <c r="K78" s="10"/>
      <c r="L78" s="10"/>
      <c r="M78" s="10"/>
      <c r="N78" s="10"/>
      <c r="O78" s="10"/>
      <c r="P78" s="133"/>
    </row>
    <row r="79" spans="2:16" x14ac:dyDescent="0.2">
      <c r="B79" s="10"/>
      <c r="C79" s="10"/>
      <c r="D79" s="10"/>
      <c r="E79" s="10"/>
      <c r="F79" s="10"/>
      <c r="G79" s="10"/>
      <c r="H79" s="10"/>
      <c r="I79" s="133"/>
      <c r="J79" s="10"/>
      <c r="K79" s="10"/>
      <c r="L79" s="10"/>
      <c r="M79" s="10"/>
      <c r="N79" s="10"/>
      <c r="O79" s="10"/>
      <c r="P79" s="133"/>
    </row>
    <row r="80" spans="2:16" x14ac:dyDescent="0.2">
      <c r="B80" s="10"/>
      <c r="C80" s="10"/>
      <c r="D80" s="10"/>
      <c r="E80" s="10"/>
      <c r="F80" s="10"/>
      <c r="G80" s="10"/>
      <c r="H80" s="10"/>
      <c r="I80" s="133"/>
      <c r="J80" s="10"/>
      <c r="K80" s="10"/>
      <c r="L80" s="10"/>
      <c r="M80" s="10"/>
      <c r="N80" s="10"/>
      <c r="O80" s="10"/>
      <c r="P80" s="133"/>
    </row>
    <row r="81" spans="2:16" x14ac:dyDescent="0.2">
      <c r="B81" s="10"/>
      <c r="C81" s="10"/>
      <c r="D81" s="10"/>
      <c r="E81" s="10"/>
      <c r="F81" s="10"/>
      <c r="G81" s="10"/>
      <c r="H81" s="10"/>
      <c r="I81" s="133"/>
      <c r="J81" s="10"/>
      <c r="K81" s="10"/>
      <c r="L81" s="10"/>
      <c r="M81" s="10"/>
      <c r="N81" s="10"/>
      <c r="O81" s="10"/>
      <c r="P81" s="133"/>
    </row>
    <row r="82" spans="2:16" x14ac:dyDescent="0.2">
      <c r="B82" s="10"/>
      <c r="C82" s="10"/>
      <c r="D82" s="10"/>
      <c r="E82" s="10"/>
      <c r="F82" s="10"/>
      <c r="G82" s="10"/>
      <c r="H82" s="10"/>
      <c r="I82" s="133"/>
      <c r="J82" s="10"/>
      <c r="K82" s="10"/>
      <c r="L82" s="10"/>
      <c r="M82" s="10"/>
      <c r="N82" s="10"/>
      <c r="O82" s="10"/>
      <c r="P82" s="133"/>
    </row>
    <row r="83" spans="2:16" x14ac:dyDescent="0.2">
      <c r="B83" s="10"/>
      <c r="C83" s="10"/>
      <c r="D83" s="10"/>
      <c r="E83" s="10"/>
      <c r="F83" s="10"/>
      <c r="G83" s="10"/>
      <c r="H83" s="10"/>
      <c r="I83" s="133"/>
      <c r="J83" s="10"/>
      <c r="K83" s="10"/>
      <c r="L83" s="10"/>
      <c r="M83" s="10"/>
      <c r="N83" s="10"/>
      <c r="O83" s="10"/>
      <c r="P83" s="133"/>
    </row>
    <row r="84" spans="2:16" x14ac:dyDescent="0.2">
      <c r="B84" s="10"/>
      <c r="C84" s="10"/>
      <c r="D84" s="10"/>
      <c r="E84" s="10"/>
      <c r="F84" s="10"/>
      <c r="G84" s="10"/>
      <c r="H84" s="10"/>
      <c r="I84" s="133"/>
      <c r="J84" s="10"/>
      <c r="K84" s="10"/>
      <c r="L84" s="10"/>
      <c r="M84" s="10"/>
      <c r="N84" s="10"/>
      <c r="O84" s="10"/>
      <c r="P84" s="133"/>
    </row>
    <row r="85" spans="2:16" x14ac:dyDescent="0.2">
      <c r="B85" s="10"/>
      <c r="C85" s="10"/>
      <c r="E85" s="10"/>
      <c r="F85" s="10"/>
      <c r="G85" s="10"/>
      <c r="H85" s="10"/>
      <c r="I85" s="133"/>
      <c r="J85" s="10"/>
      <c r="K85" s="10"/>
      <c r="L85" s="10"/>
      <c r="M85" s="10"/>
      <c r="N85" s="10"/>
      <c r="O85" s="10"/>
      <c r="P85" s="133"/>
    </row>
    <row r="86" spans="2:16" x14ac:dyDescent="0.2">
      <c r="B86" s="10"/>
      <c r="C86" s="10"/>
      <c r="E86" s="10"/>
      <c r="F86" s="10"/>
      <c r="G86" s="10"/>
      <c r="H86" s="10"/>
      <c r="I86" s="133"/>
      <c r="J86" s="10"/>
      <c r="K86" s="10"/>
      <c r="L86" s="10"/>
      <c r="M86" s="10"/>
      <c r="N86" s="10"/>
      <c r="O86" s="10"/>
      <c r="P86" s="133"/>
    </row>
  </sheetData>
  <customSheetViews>
    <customSheetView guid="{022582FA-9605-4A7F-B587-E5659EE41F6B}" scale="75" colorId="22" showPageBreaks="1" printArea="1" showRuler="0">
      <selection activeCell="A23" sqref="A23"/>
      <rowBreaks count="5" manualBreakCount="5">
        <brk id="39" max="11" man="1"/>
        <brk id="46" max="11" man="1"/>
        <brk id="87" max="11" man="1"/>
        <brk id="107" max="11" man="1"/>
        <brk id="147" max="11" man="1"/>
      </row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topLeftCell="A103">
      <selection activeCell="J132" sqref="J132"/>
      <rowBreaks count="5" manualBreakCount="5">
        <brk id="49" max="11" man="1"/>
        <brk id="56" max="11" man="1"/>
        <brk id="97" max="11" man="1"/>
        <brk id="117" max="11" man="1"/>
        <brk id="157" max="11" man="1"/>
      </row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25" right="0.25" top="0.35" bottom="0.56000000000000005" header="0.22" footer="0.28000000000000003"/>
  <pageSetup scale="50" orientation="landscape" r:id="rId3"/>
  <headerFooter alignWithMargins="0">
    <oddFooter>&amp;C&amp;F
&amp;   Mag Tails Sheet 13
&amp;
Page &amp;P of &amp;N</oddFooter>
  </headerFooter>
  <rowBreaks count="1" manualBreakCount="1">
    <brk id="74" min="1" max="12" man="1"/>
  </rowBreaks>
  <drawing r:id="rId4"/>
  <legacyDrawing r:id="rId5"/>
  <mc:AlternateContent xmlns:mc="http://schemas.openxmlformats.org/markup-compatibility/2006">
    <mc:Choice Requires="x14">
      <controls>
        <mc:AlternateContent xmlns:mc="http://schemas.openxmlformats.org/markup-compatibility/2006">
          <mc:Choice Requires="x14">
            <control shapeId="11366" r:id="rId6" name="Button 102">
              <controlPr locked="0" defaultSize="0" autoFill="0" autoLine="0" autoPict="0">
                <anchor moveWithCells="1" sizeWithCells="1">
                  <from>
                    <xdr:col>0</xdr:col>
                    <xdr:colOff>0</xdr:colOff>
                    <xdr:row>4</xdr:row>
                    <xdr:rowOff>0</xdr:rowOff>
                  </from>
                  <to>
                    <xdr:col>0</xdr:col>
                    <xdr:colOff>0</xdr:colOff>
                    <xdr:row>4</xdr:row>
                    <xdr:rowOff>0</xdr:rowOff>
                  </to>
                </anchor>
              </controlPr>
            </control>
          </mc:Choice>
        </mc:AlternateContent>
        <mc:AlternateContent xmlns:mc="http://schemas.openxmlformats.org/markup-compatibility/2006">
          <mc:Choice Requires="x14">
            <control shapeId="11371" r:id="rId7" name="Button 107">
              <controlPr locked="0" defaultSize="0" autoFill="0" autoLine="0" autoPict="0">
                <anchor moveWithCells="1" sizeWithCells="1">
                  <from>
                    <xdr:col>0</xdr:col>
                    <xdr:colOff>0</xdr:colOff>
                    <xdr:row>15</xdr:row>
                    <xdr:rowOff>19050</xdr:rowOff>
                  </from>
                  <to>
                    <xdr:col>0</xdr:col>
                    <xdr:colOff>0</xdr:colOff>
                    <xdr:row>15</xdr:row>
                    <xdr:rowOff>19050</xdr:rowOff>
                  </to>
                </anchor>
              </controlPr>
            </control>
          </mc:Choice>
        </mc:AlternateContent>
        <mc:AlternateContent xmlns:mc="http://schemas.openxmlformats.org/markup-compatibility/2006">
          <mc:Choice Requires="x14">
            <control shapeId="11372" r:id="rId8" name="Button 108">
              <controlPr locked="0" defaultSize="0" autoFill="0" autoLine="0" autoPict="0">
                <anchor moveWithCells="1" sizeWithCells="1">
                  <from>
                    <xdr:col>0</xdr:col>
                    <xdr:colOff>0</xdr:colOff>
                    <xdr:row>23</xdr:row>
                    <xdr:rowOff>28575</xdr:rowOff>
                  </from>
                  <to>
                    <xdr:col>0</xdr:col>
                    <xdr:colOff>0</xdr:colOff>
                    <xdr:row>23</xdr:row>
                    <xdr:rowOff>28575</xdr:rowOff>
                  </to>
                </anchor>
              </controlPr>
            </control>
          </mc:Choice>
        </mc:AlternateContent>
        <mc:AlternateContent xmlns:mc="http://schemas.openxmlformats.org/markup-compatibility/2006">
          <mc:Choice Requires="x14">
            <control shapeId="11373" r:id="rId9" name="Button 109">
              <controlPr locked="0" defaultSize="0" autoFill="0" autoLine="0" autoPict="0">
                <anchor moveWithCells="1" sizeWithCells="1">
                  <from>
                    <xdr:col>0</xdr:col>
                    <xdr:colOff>0</xdr:colOff>
                    <xdr:row>23</xdr:row>
                    <xdr:rowOff>28575</xdr:rowOff>
                  </from>
                  <to>
                    <xdr:col>0</xdr:col>
                    <xdr:colOff>0</xdr:colOff>
                    <xdr:row>23</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53"/>
  <sheetViews>
    <sheetView defaultGridColor="0" view="pageBreakPreview" colorId="22" zoomScale="70" zoomScaleNormal="75" zoomScaleSheetLayoutView="70" workbookViewId="0">
      <pane xSplit="2" ySplit="10" topLeftCell="C11" activePane="bottomRight" state="frozen"/>
      <selection activeCell="C41" sqref="C41"/>
      <selection pane="topRight" activeCell="C41" sqref="C41"/>
      <selection pane="bottomLeft" activeCell="C41" sqref="C41"/>
      <selection pane="bottomRight" activeCell="C12" sqref="C12"/>
    </sheetView>
  </sheetViews>
  <sheetFormatPr defaultColWidth="9.77734375" defaultRowHeight="15" x14ac:dyDescent="0.2"/>
  <cols>
    <col min="1" max="1" width="7.109375" style="35" customWidth="1"/>
    <col min="2" max="2" width="49.88671875" style="35" customWidth="1"/>
    <col min="3" max="3" width="13.44140625" style="35" customWidth="1"/>
    <col min="4" max="4" width="10.44140625" style="35" customWidth="1"/>
    <col min="5" max="5" width="9.44140625" style="35" customWidth="1"/>
    <col min="6" max="6" width="11.109375" style="35" customWidth="1"/>
    <col min="7" max="7" width="87.33203125" style="35" customWidth="1"/>
    <col min="8" max="8" width="74" style="35" bestFit="1" customWidth="1"/>
    <col min="9" max="16384" width="9.77734375" style="35"/>
  </cols>
  <sheetData>
    <row r="1" spans="1:14" x14ac:dyDescent="0.2">
      <c r="A1" s="16"/>
      <c r="B1" s="16"/>
      <c r="C1" s="16"/>
      <c r="D1" s="16"/>
      <c r="E1" s="19" t="str">
        <f>'1 General'!C1</f>
        <v>Cobre</v>
      </c>
    </row>
    <row r="2" spans="1:14" ht="18" x14ac:dyDescent="0.25">
      <c r="A2" s="393"/>
      <c r="B2" s="16"/>
      <c r="C2" s="16"/>
      <c r="D2" s="16"/>
      <c r="E2" s="19" t="s">
        <v>293</v>
      </c>
    </row>
    <row r="3" spans="1:14" x14ac:dyDescent="0.2">
      <c r="A3" s="15" t="s">
        <v>52</v>
      </c>
      <c r="B3" s="16"/>
      <c r="C3" s="183"/>
      <c r="D3" s="16"/>
      <c r="E3" s="70">
        <f>'1 General'!$C$3</f>
        <v>41955</v>
      </c>
    </row>
    <row r="4" spans="1:14" x14ac:dyDescent="0.2">
      <c r="A4" s="15"/>
      <c r="B4" s="16"/>
      <c r="C4" s="16"/>
      <c r="D4" s="16"/>
      <c r="E4" s="19"/>
    </row>
    <row r="5" spans="1:14" ht="15.75" x14ac:dyDescent="0.25">
      <c r="A5" s="28" t="s">
        <v>28</v>
      </c>
      <c r="B5" s="10"/>
      <c r="C5" s="15"/>
      <c r="D5" s="10"/>
      <c r="E5" s="10"/>
    </row>
    <row r="6" spans="1:14" x14ac:dyDescent="0.2">
      <c r="A6" s="15"/>
      <c r="B6" s="10" t="s">
        <v>347</v>
      </c>
      <c r="C6" s="16"/>
      <c r="D6" s="10"/>
      <c r="E6" s="10"/>
    </row>
    <row r="7" spans="1:14" x14ac:dyDescent="0.2">
      <c r="A7" s="15"/>
      <c r="B7" s="10"/>
      <c r="C7" s="16"/>
      <c r="D7" s="10"/>
      <c r="E7" s="10"/>
    </row>
    <row r="8" spans="1:14" x14ac:dyDescent="0.2">
      <c r="A8" s="267"/>
      <c r="B8" s="10"/>
      <c r="C8" s="334"/>
      <c r="D8" s="325" t="s">
        <v>5</v>
      </c>
      <c r="E8" s="325" t="s">
        <v>70</v>
      </c>
    </row>
    <row r="9" spans="1:14" x14ac:dyDescent="0.2">
      <c r="A9" s="16"/>
      <c r="B9" s="10"/>
      <c r="C9" s="327" t="s">
        <v>344</v>
      </c>
      <c r="D9" s="325" t="s">
        <v>345</v>
      </c>
      <c r="E9" s="325" t="s">
        <v>11</v>
      </c>
      <c r="G9" s="1"/>
    </row>
    <row r="10" spans="1:14" x14ac:dyDescent="0.2">
      <c r="A10" s="16"/>
      <c r="B10" s="16" t="s">
        <v>67</v>
      </c>
      <c r="C10" s="327" t="s">
        <v>53</v>
      </c>
      <c r="D10" s="327" t="s">
        <v>54</v>
      </c>
      <c r="E10" s="327" t="s">
        <v>14</v>
      </c>
      <c r="G10" s="55"/>
      <c r="H10" s="19"/>
    </row>
    <row r="11" spans="1:14" x14ac:dyDescent="0.2">
      <c r="A11" s="16"/>
      <c r="B11" s="196" t="str">
        <f>'3   Material'!D13</f>
        <v xml:space="preserve">Magnetite Tailings Top </v>
      </c>
      <c r="C11" s="360">
        <v>57.152000000000001</v>
      </c>
      <c r="D11" s="374">
        <f>1153/(1+'16   Sum'!$C$21)</f>
        <v>898.67498051441942</v>
      </c>
      <c r="E11" s="374">
        <f>C11*D11</f>
        <v>51361.072486360099</v>
      </c>
      <c r="F11" s="144"/>
      <c r="G11" s="283"/>
      <c r="H11" s="185"/>
      <c r="I11" s="10"/>
      <c r="J11" s="10"/>
    </row>
    <row r="12" spans="1:14" x14ac:dyDescent="0.2">
      <c r="A12" s="16"/>
      <c r="B12" s="196" t="str">
        <f>'3   Material'!D14</f>
        <v>Magnetite Tailings Outslopes</v>
      </c>
      <c r="C12" s="360">
        <v>5.3179999999999996</v>
      </c>
      <c r="D12" s="374">
        <f>D11</f>
        <v>898.67498051441942</v>
      </c>
      <c r="E12" s="374">
        <f>C12*D12</f>
        <v>4779.1535463756818</v>
      </c>
      <c r="F12" s="144"/>
      <c r="G12" s="283"/>
      <c r="H12" s="185"/>
      <c r="I12" s="10"/>
      <c r="J12" s="10"/>
      <c r="K12" s="10"/>
    </row>
    <row r="13" spans="1:14" x14ac:dyDescent="0.2">
      <c r="A13" s="10"/>
      <c r="B13" s="160"/>
      <c r="C13" s="188"/>
      <c r="D13" s="113"/>
      <c r="E13" s="40"/>
      <c r="F13" s="114"/>
      <c r="G13" s="229"/>
    </row>
    <row r="14" spans="1:14" ht="15" customHeight="1" x14ac:dyDescent="0.25">
      <c r="A14" s="16"/>
      <c r="B14" s="16"/>
      <c r="C14" s="40"/>
      <c r="D14" s="310" t="s">
        <v>309</v>
      </c>
      <c r="E14" s="375">
        <f>SUM(E11:E12)</f>
        <v>56140.22603273578</v>
      </c>
      <c r="F14" s="192"/>
      <c r="G14" s="260"/>
      <c r="J14" s="219"/>
      <c r="K14" s="10"/>
      <c r="L14" s="10"/>
      <c r="M14" s="216"/>
      <c r="N14" s="10"/>
    </row>
    <row r="15" spans="1:14" ht="15" customHeight="1" x14ac:dyDescent="0.2">
      <c r="A15" s="16"/>
      <c r="F15" s="192"/>
      <c r="G15" s="260"/>
      <c r="J15" s="219"/>
      <c r="K15" s="10"/>
      <c r="L15" s="10"/>
      <c r="M15" s="216"/>
      <c r="N15" s="10"/>
    </row>
    <row r="16" spans="1:14" ht="18.75" customHeight="1" x14ac:dyDescent="0.25">
      <c r="A16" s="16"/>
      <c r="B16" s="391" t="s">
        <v>346</v>
      </c>
      <c r="C16" s="40"/>
      <c r="D16" s="210"/>
      <c r="E16" s="29"/>
      <c r="J16" s="220"/>
      <c r="K16" s="10"/>
      <c r="L16" s="10"/>
      <c r="M16" s="185"/>
      <c r="N16" s="10"/>
    </row>
    <row r="17" spans="1:14" ht="24" x14ac:dyDescent="0.2">
      <c r="A17" s="16"/>
      <c r="B17" s="388" t="str">
        <f>"**Rocky Mountain Reclamation Quote June, 18 2014, $1153/acre minus "&amp;'16   Sum'!$C$21*100&amp;"% indirect costs.  Quote includes cost for scarifying (ripping) surface."</f>
        <v>**Rocky Mountain Reclamation Quote June, 18 2014, $1153/acre minus 28.3% indirect costs.  Quote includes cost for scarifying (ripping) surface.</v>
      </c>
      <c r="C17" s="389"/>
      <c r="D17" s="389"/>
      <c r="E17" s="389"/>
      <c r="J17" s="218"/>
      <c r="K17" s="10"/>
      <c r="L17" s="10"/>
      <c r="M17" s="217"/>
      <c r="N17" s="10"/>
    </row>
    <row r="18" spans="1:14" x14ac:dyDescent="0.2">
      <c r="J18" s="218"/>
      <c r="K18" s="10"/>
      <c r="L18" s="10"/>
      <c r="M18" s="217"/>
      <c r="N18" s="10"/>
    </row>
    <row r="19" spans="1:14" x14ac:dyDescent="0.2">
      <c r="B19" s="111"/>
      <c r="D19" s="114"/>
      <c r="E19" s="277"/>
      <c r="J19" s="195"/>
      <c r="K19" s="10"/>
      <c r="L19" s="10"/>
      <c r="M19" s="185"/>
      <c r="N19" s="10"/>
    </row>
    <row r="20" spans="1:14" x14ac:dyDescent="0.2">
      <c r="B20" s="80"/>
      <c r="J20" s="220"/>
      <c r="K20" s="10"/>
      <c r="L20" s="10"/>
      <c r="M20" s="185"/>
      <c r="N20" s="10"/>
    </row>
    <row r="21" spans="1:14" x14ac:dyDescent="0.2">
      <c r="A21" s="62"/>
      <c r="B21" s="80"/>
      <c r="J21" s="218"/>
      <c r="K21" s="10"/>
      <c r="L21" s="10"/>
      <c r="M21" s="216"/>
      <c r="N21" s="10"/>
    </row>
    <row r="22" spans="1:14" x14ac:dyDescent="0.2">
      <c r="A22" s="62"/>
      <c r="B22" s="3"/>
      <c r="J22" s="220"/>
      <c r="K22" s="10"/>
      <c r="L22" s="10"/>
      <c r="M22" s="185"/>
      <c r="N22" s="10"/>
    </row>
    <row r="23" spans="1:14" x14ac:dyDescent="0.2">
      <c r="G23" s="3"/>
      <c r="J23" s="195"/>
      <c r="K23" s="10"/>
      <c r="L23" s="10"/>
      <c r="M23" s="216"/>
      <c r="N23" s="10"/>
    </row>
    <row r="24" spans="1:14" x14ac:dyDescent="0.2">
      <c r="J24" s="218"/>
      <c r="K24" s="10"/>
      <c r="L24" s="10"/>
      <c r="M24" s="216"/>
      <c r="N24" s="10"/>
    </row>
    <row r="25" spans="1:14" x14ac:dyDescent="0.2">
      <c r="J25" s="10"/>
      <c r="K25" s="10"/>
      <c r="L25" s="10"/>
      <c r="M25" s="10"/>
      <c r="N25" s="10"/>
    </row>
    <row r="32" spans="1:14" x14ac:dyDescent="0.2">
      <c r="D32" s="183"/>
    </row>
    <row r="33" spans="4:4" x14ac:dyDescent="0.2">
      <c r="D33" s="183"/>
    </row>
    <row r="34" spans="4:4" x14ac:dyDescent="0.2">
      <c r="D34" s="183"/>
    </row>
    <row r="35" spans="4:4" x14ac:dyDescent="0.2">
      <c r="D35" s="183"/>
    </row>
    <row r="36" spans="4:4" x14ac:dyDescent="0.2">
      <c r="D36" s="183"/>
    </row>
    <row r="37" spans="4:4" x14ac:dyDescent="0.2">
      <c r="D37" s="183"/>
    </row>
    <row r="38" spans="4:4" x14ac:dyDescent="0.2">
      <c r="D38" s="183"/>
    </row>
    <row r="39" spans="4:4" x14ac:dyDescent="0.2">
      <c r="D39" s="279"/>
    </row>
    <row r="40" spans="4:4" x14ac:dyDescent="0.2">
      <c r="D40" s="279"/>
    </row>
    <row r="42" spans="4:4" x14ac:dyDescent="0.2">
      <c r="D42" s="261"/>
    </row>
    <row r="43" spans="4:4" x14ac:dyDescent="0.2">
      <c r="D43" s="183"/>
    </row>
    <row r="52" spans="4:5" x14ac:dyDescent="0.2">
      <c r="D52" s="35">
        <v>187100</v>
      </c>
      <c r="E52" s="35">
        <f>D52*27/2/43560</f>
        <v>57.985537190082646</v>
      </c>
    </row>
    <row r="53" spans="4:5" x14ac:dyDescent="0.2">
      <c r="D53" s="35">
        <v>154900</v>
      </c>
      <c r="E53" s="35">
        <f>D53*27/2/43560</f>
        <v>48.006198347107436</v>
      </c>
    </row>
  </sheetData>
  <customSheetViews>
    <customSheetView guid="{022582FA-9605-4A7F-B587-E5659EE41F6B}" scale="75" colorId="22" showPageBreaks="1" printArea="1" showRuler="0" topLeftCell="A2">
      <selection activeCell="B17" sqref="B17"/>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showRuler="0" topLeftCell="A19">
      <selection activeCell="K77" sqref="K77"/>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5" right="0.49" top="0.5" bottom="0.78" header="0.5" footer="0.5"/>
  <pageSetup scale="72" pageOrder="overThenDown" orientation="landscape" r:id="rId3"/>
  <headerFooter alignWithMargins="0">
    <oddFooter>&amp;C&amp;F
&amp;   Mag Tails Sheet 14
&amp;
Page &amp;P of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6">
    <pageSetUpPr fitToPage="1"/>
  </sheetPr>
  <dimension ref="A1:Z58"/>
  <sheetViews>
    <sheetView defaultGridColor="0" view="pageBreakPreview" colorId="22" zoomScale="55" zoomScaleNormal="70" zoomScaleSheetLayoutView="55" workbookViewId="0">
      <pane ySplit="7" topLeftCell="A8" activePane="bottomLeft" state="frozen"/>
      <selection activeCell="C41" sqref="C41"/>
      <selection pane="bottomLeft" activeCell="C41" sqref="C41"/>
    </sheetView>
  </sheetViews>
  <sheetFormatPr defaultColWidth="9.77734375" defaultRowHeight="15" x14ac:dyDescent="0.2"/>
  <cols>
    <col min="1" max="1" width="21.5546875" style="35" customWidth="1"/>
    <col min="2" max="2" width="24.77734375" style="35" customWidth="1"/>
    <col min="3" max="3" width="11.44140625" style="35" customWidth="1"/>
    <col min="4" max="4" width="6.21875" style="35" bestFit="1" customWidth="1"/>
    <col min="5" max="5" width="11" style="191" customWidth="1"/>
    <col min="6" max="6" width="12.21875" style="35" customWidth="1"/>
    <col min="7" max="7" width="33.44140625" style="35" bestFit="1" customWidth="1"/>
    <col min="8" max="8" width="14.33203125" style="35" bestFit="1" customWidth="1"/>
    <col min="9" max="9" width="7.33203125" style="35" customWidth="1"/>
    <col min="10" max="10" width="57.6640625" style="35" customWidth="1"/>
    <col min="11" max="11" width="26.44140625" style="35" customWidth="1"/>
    <col min="12" max="12" width="28.33203125" style="35" customWidth="1"/>
    <col min="13" max="13" width="20.33203125" style="35" customWidth="1"/>
    <col min="14" max="14" width="9.77734375" style="35"/>
    <col min="15" max="15" width="10.33203125" style="35" bestFit="1" customWidth="1"/>
    <col min="16" max="16384" width="9.77734375" style="35"/>
  </cols>
  <sheetData>
    <row r="1" spans="1:25" x14ac:dyDescent="0.2">
      <c r="B1" s="16"/>
      <c r="C1" s="16"/>
      <c r="D1" s="16"/>
      <c r="E1" s="18"/>
      <c r="G1" s="10"/>
      <c r="H1" s="10"/>
      <c r="I1" s="10"/>
      <c r="J1" s="19" t="str">
        <f>'1 General'!C1</f>
        <v>Cobre</v>
      </c>
      <c r="K1" s="10"/>
      <c r="L1" s="10"/>
      <c r="M1" s="10"/>
      <c r="N1" s="10"/>
      <c r="O1" s="10"/>
      <c r="P1" s="10"/>
      <c r="Q1" s="10"/>
      <c r="R1" s="10"/>
      <c r="S1" s="10"/>
      <c r="T1" s="10"/>
      <c r="U1" s="10"/>
      <c r="V1" s="10"/>
      <c r="W1" s="10"/>
      <c r="X1" s="10"/>
    </row>
    <row r="2" spans="1:25" ht="18" x14ac:dyDescent="0.25">
      <c r="A2" s="393"/>
      <c r="B2" s="16"/>
      <c r="C2" s="16"/>
      <c r="D2" s="16"/>
      <c r="E2" s="18"/>
      <c r="G2" s="10"/>
      <c r="H2" s="10"/>
      <c r="I2" s="10"/>
      <c r="J2" s="19" t="s">
        <v>294</v>
      </c>
      <c r="K2" s="10"/>
      <c r="L2" s="10"/>
      <c r="M2" s="10"/>
      <c r="N2" s="10"/>
      <c r="O2" s="10"/>
      <c r="P2" s="10"/>
      <c r="Q2" s="10"/>
      <c r="R2" s="10"/>
      <c r="S2" s="10"/>
      <c r="T2" s="10"/>
      <c r="U2" s="10"/>
      <c r="V2" s="10"/>
      <c r="W2" s="10"/>
      <c r="X2" s="10"/>
    </row>
    <row r="3" spans="1:25" x14ac:dyDescent="0.2">
      <c r="A3" s="15" t="s">
        <v>56</v>
      </c>
      <c r="C3" s="16"/>
      <c r="D3" s="16"/>
      <c r="E3" s="18"/>
      <c r="G3" s="10"/>
      <c r="H3" s="10"/>
      <c r="I3" s="10"/>
      <c r="J3" s="70">
        <f>'1 General'!C3</f>
        <v>41955</v>
      </c>
      <c r="K3" s="10"/>
      <c r="L3" s="10"/>
      <c r="M3" s="10"/>
      <c r="N3" s="10"/>
      <c r="O3" s="10"/>
      <c r="P3" s="10"/>
      <c r="Q3" s="10"/>
      <c r="R3" s="10"/>
      <c r="S3" s="10"/>
      <c r="T3" s="10"/>
      <c r="U3" s="10"/>
      <c r="V3" s="10"/>
      <c r="W3" s="10"/>
      <c r="X3" s="10"/>
    </row>
    <row r="4" spans="1:25" x14ac:dyDescent="0.2">
      <c r="A4" s="16"/>
      <c r="B4" s="16"/>
      <c r="C4" s="16"/>
      <c r="D4" s="16"/>
      <c r="E4" s="190"/>
      <c r="F4" s="19"/>
      <c r="G4" s="10"/>
      <c r="H4" s="10"/>
      <c r="I4" s="10"/>
      <c r="J4" s="10"/>
      <c r="K4" s="10"/>
      <c r="L4" s="10"/>
      <c r="M4" s="10"/>
      <c r="N4" s="10"/>
      <c r="O4" s="10"/>
      <c r="P4" s="10"/>
      <c r="Q4" s="10"/>
      <c r="R4" s="10"/>
      <c r="S4" s="10"/>
      <c r="T4" s="10"/>
      <c r="U4" s="10"/>
      <c r="V4" s="10"/>
      <c r="W4" s="10"/>
      <c r="X4" s="10"/>
    </row>
    <row r="5" spans="1:25" x14ac:dyDescent="0.2">
      <c r="A5" s="187"/>
      <c r="B5" s="10"/>
      <c r="C5" s="325"/>
      <c r="D5" s="325"/>
      <c r="E5" s="328" t="s">
        <v>5</v>
      </c>
      <c r="F5" s="325" t="s">
        <v>70</v>
      </c>
      <c r="G5" s="325"/>
      <c r="H5" s="325"/>
      <c r="I5" s="325"/>
      <c r="J5" s="325"/>
      <c r="K5" s="10"/>
      <c r="L5" s="10"/>
      <c r="M5" s="10"/>
      <c r="N5" s="10"/>
      <c r="O5" s="10"/>
      <c r="P5" s="10"/>
      <c r="Q5" s="10"/>
      <c r="R5" s="10"/>
      <c r="S5" s="10"/>
      <c r="T5" s="10"/>
      <c r="U5" s="10"/>
      <c r="V5" s="10"/>
      <c r="W5" s="10"/>
      <c r="X5" s="10"/>
      <c r="Y5" s="10"/>
    </row>
    <row r="6" spans="1:25" x14ac:dyDescent="0.2">
      <c r="A6" s="187"/>
      <c r="B6" s="10"/>
      <c r="C6" s="327"/>
      <c r="D6" s="325"/>
      <c r="E6" s="328" t="s">
        <v>11</v>
      </c>
      <c r="F6" s="325" t="s">
        <v>11</v>
      </c>
      <c r="G6" s="325"/>
      <c r="H6" s="325" t="s">
        <v>63</v>
      </c>
      <c r="I6" s="325" t="s">
        <v>63</v>
      </c>
      <c r="J6" s="325"/>
      <c r="K6" s="108"/>
      <c r="L6" s="10"/>
      <c r="M6" s="10"/>
      <c r="N6" s="10"/>
      <c r="O6" s="10"/>
      <c r="P6" s="10"/>
      <c r="Q6" s="10"/>
      <c r="R6" s="10"/>
      <c r="S6" s="10"/>
      <c r="T6" s="10"/>
      <c r="U6" s="10"/>
      <c r="V6" s="10"/>
      <c r="W6" s="10"/>
      <c r="X6" s="10"/>
      <c r="Y6" s="10"/>
    </row>
    <row r="7" spans="1:25" ht="18.75" x14ac:dyDescent="0.3">
      <c r="A7" s="265" t="s">
        <v>235</v>
      </c>
      <c r="B7" s="16" t="s">
        <v>57</v>
      </c>
      <c r="C7" s="327" t="s">
        <v>10</v>
      </c>
      <c r="D7" s="327" t="s">
        <v>5</v>
      </c>
      <c r="E7" s="326" t="s">
        <v>13</v>
      </c>
      <c r="F7" s="327" t="s">
        <v>14</v>
      </c>
      <c r="G7" s="325" t="s">
        <v>64</v>
      </c>
      <c r="H7" s="325" t="s">
        <v>65</v>
      </c>
      <c r="I7" s="325" t="s">
        <v>252</v>
      </c>
      <c r="J7" s="325" t="s">
        <v>8</v>
      </c>
      <c r="K7" s="10"/>
      <c r="L7" s="10"/>
      <c r="M7" s="10"/>
      <c r="N7" s="10"/>
      <c r="O7" s="10"/>
      <c r="P7" s="10"/>
      <c r="Q7" s="10"/>
      <c r="R7" s="10"/>
      <c r="S7" s="10"/>
      <c r="T7" s="10"/>
      <c r="U7" s="10"/>
      <c r="V7" s="10"/>
      <c r="W7" s="10"/>
      <c r="X7" s="10"/>
      <c r="Y7" s="10"/>
    </row>
    <row r="8" spans="1:25" ht="48" customHeight="1" x14ac:dyDescent="0.2">
      <c r="A8" s="384" t="str">
        <f>'3   Material'!C9</f>
        <v>Magnetite Tailings</v>
      </c>
      <c r="B8" s="376" t="s">
        <v>323</v>
      </c>
      <c r="C8" s="378">
        <v>420</v>
      </c>
      <c r="D8" s="327" t="s">
        <v>202</v>
      </c>
      <c r="E8" s="377">
        <v>5.86</v>
      </c>
      <c r="F8" s="374">
        <f t="shared" ref="F8:F14" si="0">C8*E8</f>
        <v>2461.2000000000003</v>
      </c>
      <c r="G8" s="392" t="s">
        <v>338</v>
      </c>
      <c r="H8" s="356" t="s">
        <v>156</v>
      </c>
      <c r="I8" s="331" t="s">
        <v>156</v>
      </c>
      <c r="J8" s="383" t="s">
        <v>333</v>
      </c>
      <c r="K8" s="10"/>
      <c r="L8" s="10"/>
      <c r="M8" s="10"/>
      <c r="N8" s="10"/>
      <c r="O8" s="10"/>
      <c r="P8" s="10"/>
      <c r="Q8" s="10"/>
      <c r="R8" s="10"/>
      <c r="S8" s="10"/>
      <c r="T8" s="10"/>
      <c r="U8" s="10"/>
      <c r="V8" s="10"/>
      <c r="W8" s="10"/>
      <c r="X8" s="10"/>
      <c r="Y8" s="10"/>
    </row>
    <row r="9" spans="1:25" x14ac:dyDescent="0.2">
      <c r="A9" s="179" t="str">
        <f>A8</f>
        <v>Magnetite Tailings</v>
      </c>
      <c r="B9" s="35" t="s">
        <v>324</v>
      </c>
      <c r="C9" s="378">
        <v>441</v>
      </c>
      <c r="D9" s="327" t="s">
        <v>29</v>
      </c>
      <c r="E9" s="377">
        <f>11.05*$D$21</f>
        <v>9.3593500000000009</v>
      </c>
      <c r="F9" s="374">
        <f t="shared" si="0"/>
        <v>4127.4733500000002</v>
      </c>
      <c r="G9" s="387" t="s">
        <v>63</v>
      </c>
      <c r="H9" s="325" t="s">
        <v>209</v>
      </c>
      <c r="I9" s="10">
        <v>483</v>
      </c>
      <c r="J9" s="10" t="s">
        <v>328</v>
      </c>
      <c r="K9" s="10"/>
      <c r="L9" s="10"/>
      <c r="M9" s="10"/>
      <c r="N9" s="10"/>
      <c r="O9" s="10"/>
      <c r="P9" s="10"/>
      <c r="Q9" s="10"/>
      <c r="R9" s="10"/>
      <c r="S9" s="10"/>
      <c r="T9" s="10"/>
      <c r="U9" s="10"/>
      <c r="V9" s="10"/>
      <c r="W9" s="10"/>
      <c r="X9" s="10"/>
      <c r="Y9" s="10"/>
    </row>
    <row r="10" spans="1:25" x14ac:dyDescent="0.2">
      <c r="A10" s="179" t="str">
        <f>A9</f>
        <v>Magnetite Tailings</v>
      </c>
      <c r="B10" s="35" t="s">
        <v>325</v>
      </c>
      <c r="C10" s="378">
        <f>C9</f>
        <v>441</v>
      </c>
      <c r="D10" s="325" t="s">
        <v>29</v>
      </c>
      <c r="E10" s="377">
        <f>1.07*$D$21</f>
        <v>0.90629000000000004</v>
      </c>
      <c r="F10" s="374">
        <f t="shared" si="0"/>
        <v>399.67389000000003</v>
      </c>
      <c r="G10" s="387" t="s">
        <v>63</v>
      </c>
      <c r="H10" s="325" t="s">
        <v>329</v>
      </c>
      <c r="I10" s="10">
        <v>238</v>
      </c>
      <c r="J10" s="10" t="s">
        <v>330</v>
      </c>
      <c r="K10" s="10"/>
      <c r="L10" s="10"/>
      <c r="M10" s="10"/>
      <c r="N10" s="10"/>
      <c r="O10" s="10"/>
      <c r="P10" s="10"/>
      <c r="Q10" s="10"/>
      <c r="R10" s="10"/>
      <c r="S10" s="10"/>
      <c r="T10" s="10"/>
      <c r="U10" s="10"/>
      <c r="V10" s="10"/>
      <c r="W10" s="10"/>
      <c r="X10" s="10"/>
      <c r="Y10" s="10"/>
    </row>
    <row r="11" spans="1:25" x14ac:dyDescent="0.2">
      <c r="A11" s="179" t="str">
        <f>A8</f>
        <v>Magnetite Tailings</v>
      </c>
      <c r="B11" s="35" t="s">
        <v>326</v>
      </c>
      <c r="C11" s="378">
        <v>1806</v>
      </c>
      <c r="D11" s="327" t="s">
        <v>29</v>
      </c>
      <c r="E11" s="377">
        <f>11.05*$D$21</f>
        <v>9.3593500000000009</v>
      </c>
      <c r="F11" s="374">
        <f t="shared" si="0"/>
        <v>16902.986100000002</v>
      </c>
      <c r="G11" s="387" t="s">
        <v>63</v>
      </c>
      <c r="H11" s="325" t="s">
        <v>209</v>
      </c>
      <c r="I11" s="10">
        <v>483</v>
      </c>
      <c r="J11" s="10" t="s">
        <v>328</v>
      </c>
      <c r="K11" s="10"/>
      <c r="L11" s="10"/>
      <c r="M11" s="10"/>
      <c r="N11" s="10"/>
      <c r="O11" s="10"/>
      <c r="P11" s="10"/>
      <c r="Q11" s="10"/>
      <c r="R11" s="10"/>
      <c r="S11" s="10"/>
      <c r="T11" s="10"/>
      <c r="U11" s="10"/>
      <c r="V11" s="10"/>
      <c r="W11" s="10"/>
      <c r="X11" s="10"/>
      <c r="Y11" s="10"/>
    </row>
    <row r="12" spans="1:25" x14ac:dyDescent="0.2">
      <c r="A12" s="179" t="str">
        <f>A8</f>
        <v>Magnetite Tailings</v>
      </c>
      <c r="B12" s="315" t="s">
        <v>327</v>
      </c>
      <c r="C12" s="379">
        <f>C11</f>
        <v>1806</v>
      </c>
      <c r="D12" s="325" t="s">
        <v>29</v>
      </c>
      <c r="E12" s="377">
        <f>1.07*$D$21</f>
        <v>0.90629000000000004</v>
      </c>
      <c r="F12" s="374">
        <f t="shared" si="0"/>
        <v>1636.75974</v>
      </c>
      <c r="G12" s="387" t="s">
        <v>63</v>
      </c>
      <c r="H12" s="325" t="s">
        <v>329</v>
      </c>
      <c r="I12" s="10">
        <v>238</v>
      </c>
      <c r="J12" s="10" t="s">
        <v>330</v>
      </c>
      <c r="K12" s="10"/>
      <c r="L12" s="10"/>
      <c r="M12" s="10"/>
      <c r="N12" s="10"/>
      <c r="O12" s="10"/>
      <c r="P12" s="10"/>
      <c r="Q12" s="10"/>
      <c r="R12" s="10"/>
      <c r="S12" s="10"/>
      <c r="T12" s="10"/>
      <c r="U12" s="10"/>
      <c r="V12" s="10"/>
      <c r="W12" s="10"/>
      <c r="X12" s="10"/>
      <c r="Y12" s="10"/>
    </row>
    <row r="13" spans="1:25" ht="18" customHeight="1" x14ac:dyDescent="0.2">
      <c r="A13" s="179" t="str">
        <f>A8</f>
        <v>Magnetite Tailings</v>
      </c>
      <c r="B13" s="48" t="s">
        <v>247</v>
      </c>
      <c r="C13" s="379">
        <f>SUM(C11)</f>
        <v>1806</v>
      </c>
      <c r="D13" s="325" t="s">
        <v>29</v>
      </c>
      <c r="E13" s="377">
        <v>32.33</v>
      </c>
      <c r="F13" s="374">
        <f t="shared" si="0"/>
        <v>58387.979999999996</v>
      </c>
      <c r="G13" s="387" t="s">
        <v>343</v>
      </c>
      <c r="H13" s="324"/>
      <c r="J13" s="10"/>
      <c r="K13" s="10"/>
      <c r="L13" s="10"/>
      <c r="M13" s="10"/>
      <c r="N13" s="10"/>
      <c r="O13" s="10"/>
      <c r="P13" s="10"/>
      <c r="Q13" s="10"/>
      <c r="R13" s="10"/>
      <c r="S13" s="10"/>
      <c r="T13" s="10"/>
      <c r="U13" s="10"/>
      <c r="V13" s="10"/>
      <c r="W13" s="10"/>
      <c r="X13" s="10"/>
      <c r="Y13" s="10"/>
    </row>
    <row r="14" spans="1:25" x14ac:dyDescent="0.2">
      <c r="A14" s="179" t="str">
        <f>A9</f>
        <v>Magnetite Tailings</v>
      </c>
      <c r="B14" s="48" t="s">
        <v>248</v>
      </c>
      <c r="C14" s="379">
        <f>SUM(C9)</f>
        <v>441</v>
      </c>
      <c r="D14" s="325" t="s">
        <v>29</v>
      </c>
      <c r="E14" s="377">
        <f>5.04*D21</f>
        <v>4.2688800000000002</v>
      </c>
      <c r="F14" s="374">
        <f t="shared" si="0"/>
        <v>1882.57608</v>
      </c>
      <c r="G14" s="387" t="s">
        <v>63</v>
      </c>
      <c r="H14" s="380" t="s">
        <v>334</v>
      </c>
      <c r="I14" s="381">
        <v>302</v>
      </c>
      <c r="J14" s="382" t="s">
        <v>335</v>
      </c>
      <c r="K14" s="10"/>
      <c r="L14" s="10"/>
      <c r="M14" s="10"/>
      <c r="N14" s="10"/>
      <c r="O14" s="10"/>
      <c r="P14" s="10"/>
      <c r="Q14" s="10"/>
      <c r="R14" s="10"/>
      <c r="S14" s="10"/>
      <c r="T14" s="10"/>
      <c r="U14" s="10"/>
      <c r="V14" s="10"/>
      <c r="W14" s="10"/>
      <c r="X14" s="10"/>
      <c r="Y14" s="10"/>
    </row>
    <row r="15" spans="1:25" ht="15.75" x14ac:dyDescent="0.25">
      <c r="A15" s="179"/>
      <c r="B15" s="48"/>
      <c r="C15" s="199"/>
      <c r="D15" s="10"/>
      <c r="E15" s="17"/>
      <c r="F15" s="40"/>
      <c r="G15" s="225"/>
      <c r="H15" s="228"/>
      <c r="I15" s="226"/>
      <c r="J15" s="227"/>
      <c r="K15" s="10"/>
      <c r="L15" s="10"/>
      <c r="M15" s="10"/>
      <c r="N15" s="10"/>
      <c r="O15" s="10"/>
      <c r="P15" s="10"/>
      <c r="Q15" s="10"/>
      <c r="R15" s="10"/>
      <c r="S15" s="10"/>
      <c r="T15" s="10"/>
      <c r="U15" s="10"/>
      <c r="V15" s="10"/>
      <c r="W15" s="10"/>
      <c r="X15" s="10"/>
      <c r="Y15" s="10"/>
    </row>
    <row r="16" spans="1:25" ht="15.75" x14ac:dyDescent="0.25">
      <c r="B16" s="16"/>
      <c r="D16" s="10"/>
      <c r="E16" s="110" t="s">
        <v>339</v>
      </c>
      <c r="F16" s="375">
        <f>SUM(F8:F14)</f>
        <v>85798.649160000001</v>
      </c>
      <c r="G16" s="203"/>
      <c r="H16" s="10"/>
      <c r="I16" s="10"/>
      <c r="J16" s="10"/>
      <c r="K16" s="10"/>
      <c r="L16" s="10"/>
      <c r="M16" s="10"/>
      <c r="N16" s="10"/>
      <c r="O16" s="10"/>
      <c r="P16" s="10"/>
      <c r="Q16" s="10"/>
      <c r="R16" s="10"/>
      <c r="S16" s="10"/>
      <c r="T16" s="10"/>
      <c r="U16" s="10"/>
      <c r="V16" s="10"/>
      <c r="W16" s="10"/>
      <c r="X16" s="10"/>
      <c r="Y16" s="10"/>
    </row>
    <row r="17" spans="1:26" ht="15.75" x14ac:dyDescent="0.25">
      <c r="B17" s="16"/>
      <c r="C17" s="110"/>
      <c r="D17" s="10"/>
      <c r="E17" s="190"/>
      <c r="F17" s="29"/>
      <c r="G17" s="10"/>
      <c r="H17" s="10"/>
      <c r="I17" s="10"/>
      <c r="J17" s="10"/>
      <c r="K17" s="10"/>
      <c r="L17" s="10"/>
      <c r="M17" s="10"/>
      <c r="N17" s="10"/>
      <c r="O17" s="10"/>
      <c r="P17" s="10"/>
      <c r="Q17" s="10"/>
      <c r="R17" s="10"/>
      <c r="S17" s="10"/>
      <c r="T17" s="10"/>
      <c r="U17" s="10"/>
      <c r="V17" s="10"/>
      <c r="W17" s="10"/>
      <c r="X17" s="10"/>
      <c r="Y17" s="10"/>
    </row>
    <row r="18" spans="1:26" x14ac:dyDescent="0.2">
      <c r="A18" s="16"/>
      <c r="B18" s="10" t="s">
        <v>312</v>
      </c>
      <c r="C18" s="10"/>
      <c r="D18" s="109"/>
      <c r="E18" s="18"/>
      <c r="F18" s="203"/>
      <c r="G18" s="10"/>
      <c r="H18" s="10"/>
      <c r="I18" s="10"/>
      <c r="J18" s="10"/>
      <c r="K18" s="10"/>
      <c r="L18" s="10"/>
      <c r="M18" s="10"/>
      <c r="N18" s="10"/>
      <c r="O18" s="10"/>
      <c r="P18" s="10"/>
      <c r="Q18" s="10"/>
      <c r="R18" s="10"/>
      <c r="S18" s="10"/>
      <c r="T18" s="10"/>
      <c r="U18" s="10"/>
      <c r="V18" s="10"/>
      <c r="W18" s="10"/>
      <c r="X18" s="10"/>
      <c r="Y18" s="10"/>
      <c r="Z18" s="10"/>
    </row>
    <row r="19" spans="1:26" x14ac:dyDescent="0.2">
      <c r="A19" s="16"/>
      <c r="B19" s="35" t="s">
        <v>337</v>
      </c>
      <c r="C19" s="10"/>
      <c r="D19" s="109"/>
      <c r="E19" s="18"/>
      <c r="F19" s="10"/>
      <c r="G19" s="10"/>
      <c r="H19" s="10"/>
      <c r="I19" s="10"/>
      <c r="J19" s="10"/>
      <c r="K19" s="10"/>
      <c r="L19" s="10"/>
      <c r="M19" s="10"/>
      <c r="N19" s="10"/>
      <c r="O19" s="10"/>
      <c r="P19" s="10"/>
      <c r="Q19" s="10"/>
      <c r="R19" s="10"/>
      <c r="S19" s="10"/>
      <c r="T19" s="10"/>
      <c r="U19" s="10"/>
      <c r="V19" s="10"/>
      <c r="W19" s="10"/>
      <c r="X19" s="10"/>
      <c r="Y19" s="10"/>
      <c r="Z19" s="10"/>
    </row>
    <row r="20" spans="1:26" ht="15.75" x14ac:dyDescent="0.25">
      <c r="B20" s="10" t="s">
        <v>331</v>
      </c>
      <c r="C20" s="30"/>
      <c r="D20" s="10"/>
      <c r="E20" s="18"/>
      <c r="F20" s="10"/>
      <c r="G20" s="29"/>
      <c r="H20" s="10"/>
      <c r="I20" s="10"/>
      <c r="J20" s="10"/>
      <c r="K20" s="10"/>
      <c r="L20" s="10"/>
      <c r="M20" s="10"/>
      <c r="N20" s="10"/>
      <c r="O20" s="10"/>
      <c r="P20" s="10"/>
      <c r="Q20" s="10"/>
      <c r="R20" s="10"/>
      <c r="S20" s="10"/>
      <c r="T20" s="10"/>
      <c r="U20" s="10"/>
      <c r="V20" s="10"/>
      <c r="W20" s="10"/>
      <c r="X20" s="10"/>
      <c r="Y20" s="10"/>
      <c r="Z20" s="10"/>
    </row>
    <row r="21" spans="1:26" x14ac:dyDescent="0.2">
      <c r="A21" s="10"/>
      <c r="B21" s="10"/>
      <c r="C21" s="19" t="s">
        <v>332</v>
      </c>
      <c r="D21" s="45">
        <v>0.84699999999999998</v>
      </c>
      <c r="H21" s="30"/>
      <c r="I21" s="30"/>
      <c r="J21" s="241"/>
      <c r="K21" s="10"/>
      <c r="L21" s="10"/>
      <c r="M21" s="10"/>
      <c r="N21" s="10"/>
      <c r="O21" s="10"/>
      <c r="P21" s="10"/>
      <c r="Q21" s="10"/>
      <c r="R21" s="10"/>
      <c r="S21" s="10"/>
      <c r="T21" s="10"/>
      <c r="U21" s="10"/>
      <c r="V21" s="10"/>
      <c r="W21" s="10"/>
      <c r="X21" s="10"/>
      <c r="Y21" s="10"/>
      <c r="Z21" s="10"/>
    </row>
    <row r="22" spans="1:26" x14ac:dyDescent="0.2">
      <c r="A22" s="10"/>
      <c r="B22" s="30"/>
      <c r="C22" s="30"/>
      <c r="D22" s="10"/>
      <c r="E22" s="10"/>
      <c r="H22" s="30"/>
      <c r="I22" s="30"/>
      <c r="J22" s="10"/>
      <c r="K22" s="10"/>
      <c r="L22" s="10"/>
      <c r="M22" s="10"/>
      <c r="N22" s="10"/>
      <c r="O22" s="10"/>
      <c r="P22" s="10"/>
      <c r="Q22" s="10"/>
      <c r="R22" s="10"/>
      <c r="S22" s="10"/>
      <c r="T22" s="10"/>
      <c r="U22" s="10"/>
      <c r="V22" s="10"/>
      <c r="W22" s="10"/>
      <c r="X22" s="10"/>
      <c r="Y22" s="10"/>
      <c r="Z22" s="10"/>
    </row>
    <row r="23" spans="1:26" x14ac:dyDescent="0.2">
      <c r="A23" s="10"/>
      <c r="B23" s="30"/>
      <c r="C23" s="30"/>
      <c r="D23" s="10"/>
      <c r="E23" s="10"/>
      <c r="H23" s="30"/>
      <c r="I23" s="30"/>
      <c r="J23" s="241"/>
      <c r="K23" s="10"/>
      <c r="L23" s="10"/>
      <c r="M23" s="10"/>
      <c r="N23" s="10"/>
      <c r="O23" s="10"/>
      <c r="P23" s="10"/>
      <c r="Q23" s="10"/>
      <c r="R23" s="10"/>
      <c r="S23" s="10"/>
      <c r="T23" s="10"/>
      <c r="U23" s="10"/>
      <c r="V23" s="10"/>
      <c r="W23" s="10"/>
      <c r="X23" s="10"/>
      <c r="Y23" s="10"/>
      <c r="Z23" s="10"/>
    </row>
    <row r="24" spans="1:26" x14ac:dyDescent="0.2">
      <c r="A24" s="10"/>
      <c r="B24" s="18"/>
      <c r="C24" s="192"/>
      <c r="E24" s="278"/>
      <c r="I24" s="10"/>
      <c r="J24" s="222"/>
      <c r="K24" s="1"/>
      <c r="L24" s="10"/>
      <c r="M24" s="10"/>
      <c r="N24" s="10"/>
      <c r="O24" s="10"/>
      <c r="P24" s="10"/>
      <c r="Q24" s="10"/>
      <c r="R24" s="10"/>
      <c r="S24" s="10"/>
      <c r="T24" s="10"/>
      <c r="U24" s="10"/>
      <c r="V24" s="10"/>
      <c r="W24" s="10"/>
      <c r="X24" s="10"/>
      <c r="Y24" s="10"/>
      <c r="Z24" s="10"/>
    </row>
    <row r="25" spans="1:26" x14ac:dyDescent="0.2">
      <c r="A25" s="10"/>
      <c r="B25" s="18"/>
      <c r="C25" s="18"/>
      <c r="D25" s="18"/>
      <c r="E25" s="18"/>
      <c r="G25" s="10"/>
      <c r="H25" s="10"/>
      <c r="I25" s="10"/>
      <c r="J25" s="10"/>
      <c r="K25" s="10"/>
      <c r="L25" s="10"/>
      <c r="M25" s="10"/>
      <c r="N25" s="10"/>
      <c r="O25" s="10"/>
      <c r="P25" s="10"/>
      <c r="Q25" s="10"/>
      <c r="R25" s="10"/>
      <c r="S25" s="10"/>
      <c r="T25" s="10"/>
      <c r="U25" s="10"/>
      <c r="V25" s="10"/>
      <c r="W25" s="10"/>
      <c r="X25" s="10"/>
      <c r="Y25" s="10"/>
      <c r="Z25" s="10"/>
    </row>
    <row r="26" spans="1:26" x14ac:dyDescent="0.2">
      <c r="A26" s="10"/>
      <c r="B26" s="18"/>
      <c r="C26" s="18"/>
      <c r="D26" s="18"/>
      <c r="E26" s="18"/>
      <c r="G26" s="10"/>
      <c r="H26" s="10"/>
      <c r="I26" s="10"/>
      <c r="J26" s="10"/>
      <c r="K26" s="10"/>
      <c r="L26" s="10"/>
      <c r="M26" s="10"/>
      <c r="N26" s="10"/>
      <c r="O26" s="10"/>
      <c r="P26" s="10"/>
      <c r="Q26" s="10"/>
      <c r="R26" s="10"/>
      <c r="S26" s="10"/>
      <c r="T26" s="10"/>
      <c r="U26" s="10"/>
      <c r="V26" s="10"/>
      <c r="W26" s="10"/>
      <c r="X26" s="10"/>
      <c r="Y26" s="10"/>
      <c r="Z26" s="10"/>
    </row>
    <row r="27" spans="1:26" x14ac:dyDescent="0.2">
      <c r="A27" s="10"/>
      <c r="B27" s="18"/>
      <c r="C27" s="18"/>
      <c r="D27" s="18"/>
      <c r="E27" s="18"/>
      <c r="G27" s="10"/>
      <c r="H27" s="10"/>
      <c r="I27" s="10"/>
      <c r="J27" s="10"/>
      <c r="K27" s="10"/>
      <c r="L27" s="10"/>
      <c r="M27" s="10"/>
      <c r="N27" s="10"/>
      <c r="O27" s="10"/>
      <c r="P27" s="10"/>
      <c r="Q27" s="10"/>
      <c r="R27" s="10"/>
      <c r="S27" s="10"/>
      <c r="T27" s="10"/>
      <c r="U27" s="10"/>
      <c r="V27" s="10"/>
      <c r="W27" s="10"/>
      <c r="X27" s="10"/>
      <c r="Y27" s="10"/>
      <c r="Z27" s="10"/>
    </row>
    <row r="28" spans="1:26" x14ac:dyDescent="0.2">
      <c r="A28" s="10"/>
      <c r="B28" s="18"/>
      <c r="C28" s="18"/>
      <c r="D28" s="18"/>
      <c r="E28" s="18"/>
      <c r="G28" s="10"/>
      <c r="H28" s="10"/>
      <c r="I28" s="10"/>
      <c r="J28" s="10"/>
      <c r="K28" s="10"/>
      <c r="L28" s="10"/>
      <c r="M28" s="10"/>
      <c r="N28" s="10"/>
      <c r="O28" s="10"/>
      <c r="P28" s="10"/>
      <c r="Q28" s="10"/>
      <c r="R28" s="10"/>
      <c r="S28" s="10"/>
      <c r="T28" s="10"/>
      <c r="U28" s="10"/>
      <c r="V28" s="10"/>
      <c r="W28" s="10"/>
      <c r="X28" s="10"/>
      <c r="Y28" s="10"/>
      <c r="Z28" s="10"/>
    </row>
    <row r="29" spans="1:26" x14ac:dyDescent="0.2">
      <c r="A29" s="30"/>
      <c r="B29" s="18"/>
      <c r="C29" s="18"/>
      <c r="D29" s="18"/>
      <c r="E29" s="18"/>
      <c r="G29" s="10"/>
      <c r="H29" s="10"/>
      <c r="I29" s="291"/>
      <c r="K29" s="10"/>
      <c r="L29" s="10"/>
      <c r="M29" s="10"/>
      <c r="N29" s="10"/>
      <c r="O29" s="10"/>
      <c r="P29" s="10"/>
      <c r="Q29" s="10"/>
      <c r="R29" s="10"/>
      <c r="S29" s="10"/>
      <c r="T29" s="10"/>
      <c r="U29" s="10"/>
      <c r="V29" s="10"/>
      <c r="W29" s="10"/>
      <c r="X29" s="10"/>
      <c r="Y29" s="10"/>
    </row>
    <row r="30" spans="1:26" x14ac:dyDescent="0.2">
      <c r="F30" s="10"/>
      <c r="G30" s="10"/>
      <c r="M30" s="10"/>
      <c r="N30" s="10"/>
      <c r="O30" s="10"/>
      <c r="P30" s="10"/>
      <c r="Q30" s="10"/>
      <c r="R30" s="10"/>
      <c r="S30" s="10"/>
      <c r="T30" s="10"/>
      <c r="U30" s="10"/>
      <c r="V30" s="10"/>
      <c r="W30" s="10"/>
      <c r="X30" s="10"/>
      <c r="Y30" s="10"/>
      <c r="Z30" s="10"/>
    </row>
    <row r="31" spans="1:26" x14ac:dyDescent="0.2">
      <c r="F31" s="10"/>
      <c r="G31" s="10"/>
      <c r="H31" s="10"/>
      <c r="I31" s="10"/>
      <c r="J31" s="10"/>
      <c r="K31" s="10"/>
      <c r="L31" s="10"/>
      <c r="M31" s="10"/>
      <c r="N31" s="10"/>
      <c r="O31" s="10"/>
      <c r="P31" s="10"/>
      <c r="Q31" s="10"/>
      <c r="R31" s="10"/>
      <c r="S31" s="10"/>
      <c r="T31" s="10"/>
      <c r="U31" s="10"/>
      <c r="V31" s="10"/>
      <c r="W31" s="10"/>
      <c r="X31" s="10"/>
      <c r="Y31" s="10"/>
      <c r="Z31" s="10"/>
    </row>
    <row r="32" spans="1:26" x14ac:dyDescent="0.2">
      <c r="F32" s="10"/>
      <c r="G32" s="10"/>
      <c r="H32" s="234"/>
      <c r="I32" s="234"/>
      <c r="J32" s="10"/>
      <c r="K32" s="10"/>
      <c r="L32" s="10"/>
      <c r="M32" s="10"/>
      <c r="N32" s="10"/>
      <c r="O32" s="10"/>
      <c r="P32" s="10"/>
      <c r="Q32" s="10"/>
      <c r="R32" s="10"/>
      <c r="S32" s="10"/>
      <c r="T32" s="10"/>
      <c r="U32" s="10"/>
      <c r="V32" s="10"/>
      <c r="W32" s="10"/>
      <c r="X32" s="10"/>
      <c r="Y32" s="10"/>
      <c r="Z32" s="10"/>
    </row>
    <row r="33" spans="1:26" x14ac:dyDescent="0.2">
      <c r="F33" s="10"/>
      <c r="G33" s="10"/>
      <c r="H33" s="235"/>
      <c r="I33" s="235"/>
      <c r="J33" s="10"/>
      <c r="K33" s="10"/>
      <c r="L33" s="10"/>
      <c r="M33" s="10"/>
      <c r="N33" s="10"/>
      <c r="O33" s="10"/>
      <c r="P33" s="10"/>
      <c r="Q33" s="10"/>
      <c r="R33" s="10"/>
      <c r="S33" s="10"/>
      <c r="T33" s="10"/>
      <c r="U33" s="10"/>
      <c r="V33" s="10"/>
      <c r="W33" s="10"/>
      <c r="X33" s="10"/>
      <c r="Y33" s="10"/>
      <c r="Z33" s="10"/>
    </row>
    <row r="34" spans="1:26" x14ac:dyDescent="0.2">
      <c r="F34" s="10"/>
      <c r="G34" s="10"/>
      <c r="H34" s="235"/>
      <c r="I34" s="235"/>
      <c r="J34" s="10"/>
      <c r="K34" s="10"/>
      <c r="L34" s="10"/>
      <c r="M34" s="10"/>
      <c r="N34" s="10"/>
      <c r="O34" s="10"/>
      <c r="P34" s="10"/>
      <c r="Q34" s="10"/>
      <c r="R34" s="10"/>
      <c r="S34" s="10"/>
      <c r="T34" s="10"/>
      <c r="U34" s="10"/>
      <c r="V34" s="10"/>
      <c r="W34" s="10"/>
      <c r="X34" s="10"/>
      <c r="Y34" s="10"/>
      <c r="Z34" s="10"/>
    </row>
    <row r="35" spans="1:26" x14ac:dyDescent="0.2">
      <c r="F35" s="10"/>
      <c r="G35" s="10"/>
      <c r="H35" s="208"/>
      <c r="I35" s="208"/>
      <c r="J35" s="10"/>
      <c r="K35" s="10"/>
      <c r="L35" s="10"/>
      <c r="M35" s="10"/>
      <c r="N35" s="10"/>
      <c r="O35" s="10"/>
      <c r="P35" s="10"/>
      <c r="Q35" s="10"/>
      <c r="R35" s="10"/>
      <c r="S35" s="10"/>
      <c r="T35" s="10"/>
      <c r="U35" s="10"/>
      <c r="V35" s="10"/>
      <c r="W35" s="10"/>
      <c r="X35" s="10"/>
      <c r="Y35" s="10"/>
      <c r="Z35" s="10"/>
    </row>
    <row r="36" spans="1:26" x14ac:dyDescent="0.2">
      <c r="F36" s="10"/>
      <c r="G36" s="10"/>
      <c r="H36" s="10"/>
      <c r="I36" s="10"/>
      <c r="J36" s="10"/>
      <c r="K36" s="10"/>
      <c r="L36" s="10"/>
      <c r="M36" s="10"/>
      <c r="N36" s="10"/>
      <c r="O36" s="10"/>
      <c r="P36" s="10"/>
      <c r="Q36" s="10"/>
      <c r="R36" s="10"/>
      <c r="S36" s="10"/>
      <c r="T36" s="10"/>
      <c r="U36" s="10"/>
      <c r="V36" s="10"/>
      <c r="W36" s="10"/>
      <c r="X36" s="10"/>
      <c r="Y36" s="10"/>
      <c r="Z36" s="10"/>
    </row>
    <row r="37" spans="1:26" x14ac:dyDescent="0.2">
      <c r="F37" s="10"/>
      <c r="G37" s="10"/>
      <c r="H37" s="10"/>
      <c r="I37" s="10"/>
      <c r="J37" s="10"/>
      <c r="K37" s="10"/>
      <c r="L37" s="10"/>
      <c r="M37" s="10"/>
      <c r="N37" s="10"/>
      <c r="O37" s="10"/>
      <c r="P37" s="10"/>
      <c r="Q37" s="10"/>
      <c r="R37" s="10"/>
      <c r="S37" s="10"/>
      <c r="T37" s="10"/>
      <c r="U37" s="10"/>
      <c r="V37" s="10"/>
      <c r="W37" s="10"/>
      <c r="X37" s="10"/>
      <c r="Y37" s="10"/>
      <c r="Z37" s="10"/>
    </row>
    <row r="38" spans="1:26" x14ac:dyDescent="0.2">
      <c r="F38" s="10"/>
      <c r="G38" s="10"/>
      <c r="H38" s="10"/>
      <c r="I38" s="10"/>
      <c r="J38" s="10"/>
      <c r="K38" s="10"/>
      <c r="L38" s="10"/>
      <c r="M38" s="10"/>
      <c r="N38" s="10"/>
      <c r="O38" s="10"/>
      <c r="P38" s="10"/>
      <c r="Q38" s="10"/>
      <c r="R38" s="10"/>
      <c r="S38" s="10"/>
      <c r="T38" s="10"/>
      <c r="U38" s="10"/>
      <c r="V38" s="10"/>
      <c r="W38" s="10"/>
      <c r="X38" s="10"/>
      <c r="Y38" s="10"/>
      <c r="Z38" s="10"/>
    </row>
    <row r="39" spans="1:26" x14ac:dyDescent="0.2">
      <c r="F39" s="10"/>
      <c r="G39" s="10"/>
      <c r="H39" s="10"/>
      <c r="I39" s="10"/>
      <c r="J39" s="10"/>
      <c r="K39" s="10"/>
      <c r="L39" s="10"/>
      <c r="M39" s="10"/>
      <c r="N39" s="10"/>
      <c r="O39" s="10"/>
      <c r="P39" s="10"/>
      <c r="Q39" s="10"/>
      <c r="R39" s="10"/>
      <c r="S39" s="10"/>
      <c r="T39" s="10"/>
      <c r="U39" s="10"/>
      <c r="V39" s="10"/>
      <c r="W39" s="10"/>
      <c r="X39" s="10"/>
      <c r="Y39" s="10"/>
      <c r="Z39" s="10"/>
    </row>
    <row r="40" spans="1:26" x14ac:dyDescent="0.2">
      <c r="F40" s="10"/>
      <c r="G40" s="10"/>
      <c r="H40" s="10"/>
      <c r="I40" s="10"/>
      <c r="J40" s="10"/>
      <c r="K40" s="10"/>
      <c r="L40" s="10"/>
      <c r="M40" s="10"/>
      <c r="N40" s="10"/>
      <c r="O40" s="10"/>
      <c r="P40" s="10"/>
      <c r="Q40" s="10"/>
      <c r="R40" s="10"/>
      <c r="S40" s="10"/>
      <c r="T40" s="10"/>
      <c r="U40" s="10"/>
      <c r="V40" s="10"/>
      <c r="W40" s="10"/>
      <c r="X40" s="10"/>
      <c r="Y40" s="10"/>
      <c r="Z40" s="10"/>
    </row>
    <row r="41" spans="1:26" x14ac:dyDescent="0.2">
      <c r="F41" s="10"/>
      <c r="G41" s="10"/>
      <c r="H41" s="10"/>
      <c r="I41" s="10"/>
      <c r="J41" s="10"/>
      <c r="K41" s="10"/>
      <c r="L41" s="10"/>
      <c r="M41" s="10"/>
      <c r="N41" s="10"/>
      <c r="O41" s="10"/>
      <c r="P41" s="10"/>
      <c r="Q41" s="10"/>
      <c r="R41" s="10"/>
      <c r="S41" s="10"/>
      <c r="T41" s="10"/>
      <c r="U41" s="10"/>
      <c r="V41" s="10"/>
      <c r="W41" s="10"/>
      <c r="X41" s="10"/>
      <c r="Y41" s="10"/>
      <c r="Z41" s="10"/>
    </row>
    <row r="42" spans="1:26" x14ac:dyDescent="0.2">
      <c r="F42" s="10"/>
      <c r="G42" s="10"/>
      <c r="H42" s="10"/>
      <c r="I42" s="10"/>
      <c r="J42" s="10"/>
      <c r="K42" s="10"/>
      <c r="L42" s="10"/>
      <c r="M42" s="10"/>
      <c r="N42" s="10"/>
      <c r="O42" s="10"/>
      <c r="P42" s="10"/>
      <c r="Q42" s="10"/>
      <c r="R42" s="10"/>
      <c r="S42" s="10"/>
      <c r="T42" s="10"/>
      <c r="U42" s="10"/>
      <c r="V42" s="10"/>
      <c r="W42" s="10"/>
      <c r="X42" s="10"/>
      <c r="Y42" s="10"/>
      <c r="Z42" s="10"/>
    </row>
    <row r="43" spans="1:26" x14ac:dyDescent="0.2">
      <c r="F43" s="10"/>
      <c r="G43" s="10"/>
      <c r="H43" s="10"/>
      <c r="I43" s="10"/>
      <c r="J43" s="10"/>
      <c r="K43" s="10"/>
      <c r="L43" s="10"/>
      <c r="M43" s="10"/>
      <c r="N43" s="10"/>
      <c r="O43" s="10"/>
      <c r="P43" s="10"/>
      <c r="Q43" s="10"/>
      <c r="R43" s="10"/>
      <c r="S43" s="10"/>
      <c r="T43" s="10"/>
      <c r="U43" s="10"/>
      <c r="V43" s="10"/>
      <c r="W43" s="10"/>
      <c r="X43" s="10"/>
      <c r="Y43" s="10"/>
      <c r="Z43" s="10"/>
    </row>
    <row r="44" spans="1:26" x14ac:dyDescent="0.2">
      <c r="A44" s="10"/>
      <c r="B44" s="10"/>
      <c r="C44" s="10"/>
      <c r="D44" s="10"/>
      <c r="E44" s="18"/>
      <c r="F44" s="10"/>
      <c r="G44" s="10"/>
      <c r="H44" s="10"/>
      <c r="I44" s="10"/>
      <c r="J44" s="10"/>
      <c r="K44" s="10"/>
      <c r="L44" s="10"/>
      <c r="M44" s="10"/>
      <c r="N44" s="10"/>
      <c r="O44" s="10"/>
      <c r="P44" s="10"/>
      <c r="Q44" s="10"/>
      <c r="R44" s="10"/>
      <c r="S44" s="10"/>
      <c r="T44" s="10"/>
      <c r="U44" s="10"/>
      <c r="V44" s="10"/>
      <c r="W44" s="10"/>
      <c r="X44" s="10"/>
      <c r="Y44" s="10"/>
      <c r="Z44" s="10"/>
    </row>
    <row r="45" spans="1:26" x14ac:dyDescent="0.2">
      <c r="A45" s="10"/>
      <c r="B45" s="10"/>
      <c r="C45" s="10"/>
      <c r="D45" s="10"/>
      <c r="E45" s="18"/>
      <c r="F45" s="10"/>
      <c r="G45" s="10"/>
      <c r="H45" s="10"/>
      <c r="I45" s="10"/>
      <c r="J45" s="10"/>
      <c r="K45" s="10"/>
      <c r="L45" s="10"/>
      <c r="M45" s="10"/>
      <c r="N45" s="10"/>
      <c r="O45" s="10"/>
      <c r="P45" s="10"/>
      <c r="Q45" s="10"/>
      <c r="R45" s="10"/>
      <c r="S45" s="10"/>
      <c r="T45" s="10"/>
      <c r="U45" s="10"/>
      <c r="V45" s="10"/>
      <c r="W45" s="10"/>
      <c r="X45" s="10"/>
      <c r="Y45" s="10"/>
      <c r="Z45" s="10"/>
    </row>
    <row r="46" spans="1:26" x14ac:dyDescent="0.2">
      <c r="A46" s="10"/>
      <c r="B46" s="10"/>
      <c r="C46" s="10"/>
      <c r="D46" s="10"/>
      <c r="E46" s="18"/>
      <c r="F46" s="10"/>
      <c r="G46" s="10"/>
      <c r="H46" s="10"/>
      <c r="I46" s="10"/>
      <c r="J46" s="10"/>
      <c r="K46" s="10"/>
      <c r="L46" s="10"/>
      <c r="M46" s="10"/>
      <c r="N46" s="10"/>
      <c r="O46" s="10"/>
      <c r="P46" s="10"/>
      <c r="Q46" s="10"/>
      <c r="R46" s="10"/>
      <c r="S46" s="10"/>
      <c r="T46" s="10"/>
      <c r="U46" s="10"/>
      <c r="V46" s="10"/>
      <c r="W46" s="10"/>
      <c r="X46" s="10"/>
      <c r="Y46" s="10"/>
      <c r="Z46" s="10"/>
    </row>
    <row r="47" spans="1:26" x14ac:dyDescent="0.2">
      <c r="A47" s="10"/>
      <c r="B47" s="10"/>
      <c r="C47" s="10"/>
      <c r="D47" s="10"/>
      <c r="E47" s="18"/>
      <c r="F47" s="10"/>
      <c r="G47" s="10"/>
      <c r="H47" s="10"/>
      <c r="I47" s="10"/>
      <c r="J47" s="10"/>
      <c r="K47" s="10"/>
      <c r="L47" s="10"/>
      <c r="M47" s="10"/>
      <c r="N47" s="10"/>
      <c r="O47" s="10"/>
      <c r="P47" s="10"/>
      <c r="Q47" s="10"/>
      <c r="R47" s="10"/>
      <c r="S47" s="10"/>
      <c r="T47" s="10"/>
      <c r="U47" s="10"/>
      <c r="V47" s="10"/>
      <c r="W47" s="10"/>
      <c r="X47" s="10"/>
      <c r="Y47" s="10"/>
      <c r="Z47" s="10"/>
    </row>
    <row r="48" spans="1:26" x14ac:dyDescent="0.2">
      <c r="A48" s="10"/>
      <c r="B48" s="10"/>
      <c r="C48" s="10"/>
      <c r="D48" s="10"/>
      <c r="E48" s="18"/>
      <c r="F48" s="10"/>
      <c r="G48" s="10"/>
      <c r="H48" s="10"/>
      <c r="I48" s="10"/>
      <c r="J48" s="10"/>
      <c r="K48" s="10"/>
      <c r="L48" s="10"/>
      <c r="M48" s="10"/>
      <c r="N48" s="10"/>
      <c r="O48" s="10"/>
      <c r="P48" s="10"/>
      <c r="Q48" s="10"/>
      <c r="R48" s="10"/>
      <c r="S48" s="10"/>
      <c r="T48" s="10"/>
      <c r="U48" s="10"/>
      <c r="V48" s="10"/>
      <c r="W48" s="10"/>
      <c r="X48" s="10"/>
      <c r="Y48" s="10"/>
      <c r="Z48" s="10"/>
    </row>
    <row r="49" spans="1:26" x14ac:dyDescent="0.2">
      <c r="A49" s="10"/>
      <c r="B49" s="10"/>
      <c r="C49" s="10"/>
      <c r="D49" s="10"/>
      <c r="E49" s="18"/>
      <c r="F49" s="10"/>
      <c r="G49" s="10"/>
      <c r="H49" s="10"/>
      <c r="I49" s="10"/>
      <c r="J49" s="10"/>
      <c r="K49" s="10"/>
      <c r="L49" s="10"/>
      <c r="M49" s="10"/>
      <c r="N49" s="10"/>
      <c r="O49" s="10"/>
      <c r="P49" s="10"/>
      <c r="Q49" s="10"/>
      <c r="R49" s="10"/>
      <c r="S49" s="10"/>
      <c r="T49" s="10"/>
      <c r="U49" s="10"/>
      <c r="V49" s="10"/>
      <c r="W49" s="10"/>
      <c r="X49" s="10"/>
      <c r="Y49" s="10"/>
      <c r="Z49" s="10"/>
    </row>
    <row r="50" spans="1:26" x14ac:dyDescent="0.2">
      <c r="A50" s="10"/>
      <c r="B50" s="10"/>
      <c r="C50" s="10"/>
      <c r="D50" s="10"/>
      <c r="E50" s="18"/>
      <c r="F50" s="10"/>
      <c r="G50" s="10"/>
      <c r="H50" s="10"/>
      <c r="I50" s="10"/>
      <c r="J50" s="10"/>
      <c r="K50" s="10"/>
      <c r="L50" s="10"/>
      <c r="M50" s="10"/>
      <c r="N50" s="10"/>
      <c r="O50" s="10"/>
      <c r="P50" s="10"/>
      <c r="Q50" s="10"/>
      <c r="R50" s="10"/>
      <c r="S50" s="10"/>
      <c r="T50" s="10"/>
      <c r="U50" s="10"/>
      <c r="V50" s="10"/>
      <c r="W50" s="10"/>
      <c r="X50" s="10"/>
      <c r="Y50" s="10"/>
      <c r="Z50" s="10"/>
    </row>
    <row r="51" spans="1:26" x14ac:dyDescent="0.2">
      <c r="A51" s="10"/>
      <c r="B51" s="10"/>
      <c r="C51" s="10"/>
      <c r="D51" s="10"/>
      <c r="E51" s="18"/>
      <c r="F51" s="10"/>
      <c r="G51" s="10"/>
      <c r="H51" s="10"/>
      <c r="I51" s="10"/>
      <c r="J51" s="10"/>
      <c r="K51" s="10"/>
      <c r="L51" s="10"/>
      <c r="M51" s="10"/>
      <c r="N51" s="10"/>
      <c r="O51" s="10"/>
      <c r="P51" s="10"/>
      <c r="Q51" s="10"/>
      <c r="R51" s="10"/>
      <c r="S51" s="10"/>
      <c r="T51" s="10"/>
      <c r="U51" s="10"/>
      <c r="V51" s="10"/>
      <c r="W51" s="10"/>
      <c r="X51" s="10"/>
      <c r="Y51" s="10"/>
      <c r="Z51" s="10"/>
    </row>
    <row r="52" spans="1:26" x14ac:dyDescent="0.2">
      <c r="A52" s="10"/>
      <c r="B52" s="10"/>
      <c r="C52" s="10"/>
      <c r="D52" s="10"/>
      <c r="E52" s="18"/>
      <c r="F52" s="10"/>
      <c r="G52" s="10"/>
      <c r="H52" s="10"/>
      <c r="I52" s="10"/>
      <c r="J52" s="10"/>
      <c r="K52" s="10"/>
      <c r="L52" s="10"/>
      <c r="M52" s="10"/>
      <c r="N52" s="10"/>
      <c r="O52" s="10"/>
      <c r="P52" s="10"/>
      <c r="Q52" s="10"/>
      <c r="R52" s="10"/>
      <c r="S52" s="10"/>
      <c r="T52" s="10"/>
      <c r="U52" s="10"/>
      <c r="V52" s="10"/>
      <c r="W52" s="10"/>
      <c r="X52" s="10"/>
      <c r="Y52" s="10"/>
      <c r="Z52" s="10"/>
    </row>
    <row r="53" spans="1:26" x14ac:dyDescent="0.2">
      <c r="A53" s="10"/>
      <c r="B53" s="10"/>
      <c r="C53" s="10"/>
      <c r="D53" s="10"/>
      <c r="E53" s="18"/>
      <c r="F53" s="10"/>
      <c r="G53" s="10"/>
      <c r="H53" s="10"/>
      <c r="I53" s="10"/>
      <c r="J53" s="10"/>
      <c r="K53" s="10"/>
      <c r="L53" s="10"/>
      <c r="M53" s="10"/>
      <c r="N53" s="10"/>
      <c r="O53" s="10"/>
      <c r="P53" s="10"/>
      <c r="Q53" s="10"/>
      <c r="R53" s="10"/>
      <c r="S53" s="10"/>
      <c r="T53" s="10"/>
      <c r="U53" s="10"/>
      <c r="V53" s="10"/>
      <c r="W53" s="10"/>
      <c r="X53" s="10"/>
      <c r="Y53" s="10"/>
      <c r="Z53" s="10"/>
    </row>
    <row r="54" spans="1:26" x14ac:dyDescent="0.2">
      <c r="A54" s="10"/>
      <c r="B54" s="10"/>
      <c r="C54" s="10"/>
      <c r="D54" s="10"/>
      <c r="E54" s="18"/>
      <c r="F54" s="10"/>
      <c r="G54" s="10"/>
      <c r="H54" s="10"/>
      <c r="I54" s="10"/>
      <c r="J54" s="10"/>
      <c r="K54" s="10"/>
      <c r="L54" s="10"/>
      <c r="M54" s="10"/>
      <c r="N54" s="10"/>
      <c r="O54" s="10"/>
      <c r="P54" s="10"/>
      <c r="Q54" s="10"/>
      <c r="R54" s="10"/>
      <c r="S54" s="10"/>
      <c r="T54" s="10"/>
      <c r="U54" s="10"/>
      <c r="V54" s="10"/>
      <c r="W54" s="10"/>
      <c r="X54" s="10"/>
      <c r="Y54" s="10"/>
      <c r="Z54" s="10"/>
    </row>
    <row r="55" spans="1:26" x14ac:dyDescent="0.2">
      <c r="A55" s="10"/>
      <c r="B55" s="10"/>
      <c r="C55" s="10"/>
      <c r="D55" s="10"/>
      <c r="E55" s="18"/>
      <c r="F55" s="10"/>
      <c r="G55" s="10"/>
      <c r="H55" s="10"/>
      <c r="I55" s="10"/>
      <c r="J55" s="10"/>
      <c r="K55" s="10"/>
      <c r="L55" s="10"/>
      <c r="M55" s="10"/>
      <c r="N55" s="10"/>
      <c r="O55" s="10"/>
      <c r="P55" s="10"/>
      <c r="Q55" s="10"/>
      <c r="R55" s="10"/>
      <c r="S55" s="10"/>
      <c r="T55" s="10"/>
      <c r="U55" s="10"/>
      <c r="V55" s="10"/>
      <c r="W55" s="10"/>
      <c r="X55" s="10"/>
      <c r="Y55" s="10"/>
      <c r="Z55" s="10"/>
    </row>
    <row r="56" spans="1:26" x14ac:dyDescent="0.2">
      <c r="A56" s="10"/>
      <c r="B56" s="10"/>
      <c r="C56" s="10"/>
      <c r="D56" s="10"/>
      <c r="E56" s="18"/>
      <c r="F56" s="10"/>
      <c r="G56" s="10"/>
      <c r="H56" s="10"/>
      <c r="I56" s="10"/>
      <c r="J56" s="10"/>
      <c r="K56" s="10"/>
      <c r="L56" s="10"/>
      <c r="M56" s="10"/>
      <c r="N56" s="10"/>
      <c r="O56" s="10"/>
      <c r="P56" s="10"/>
      <c r="Q56" s="10"/>
      <c r="R56" s="10"/>
      <c r="S56" s="10"/>
      <c r="T56" s="10"/>
      <c r="U56" s="10"/>
      <c r="V56" s="10"/>
      <c r="W56" s="10"/>
      <c r="X56" s="10"/>
      <c r="Y56" s="10"/>
      <c r="Z56" s="10"/>
    </row>
    <row r="57" spans="1:26" x14ac:dyDescent="0.2">
      <c r="H57" s="10"/>
      <c r="I57" s="10"/>
      <c r="J57" s="10"/>
      <c r="K57" s="10"/>
      <c r="L57" s="10"/>
      <c r="M57" s="10"/>
      <c r="N57" s="10"/>
      <c r="O57" s="10"/>
      <c r="P57" s="10"/>
      <c r="Q57" s="10"/>
      <c r="R57" s="10"/>
      <c r="S57" s="10"/>
      <c r="T57" s="10"/>
      <c r="U57" s="10"/>
      <c r="V57" s="10"/>
      <c r="W57" s="10"/>
      <c r="X57" s="10"/>
      <c r="Y57" s="10"/>
      <c r="Z57" s="10"/>
    </row>
    <row r="58" spans="1:26" x14ac:dyDescent="0.2">
      <c r="H58" s="10"/>
      <c r="I58" s="10"/>
      <c r="J58" s="10"/>
      <c r="K58" s="10"/>
      <c r="L58" s="10"/>
      <c r="M58" s="10"/>
    </row>
  </sheetData>
  <customSheetViews>
    <customSheetView guid="{022582FA-9605-4A7F-B587-E5659EE41F6B}" scale="75" colorId="22" showPageBreaks="1" printArea="1" showRuler="0" topLeftCell="B9">
      <selection activeCell="L41" sqref="L41"/>
      <rowBreaks count="1" manualBreakCount="1">
        <brk id="41" max="13" man="1"/>
      </rowBreaks>
      <colBreaks count="1" manualBreakCount="1">
        <brk id="7" max="137"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cale="75" colorId="22" hiddenRows="1" showRuler="0" topLeftCell="A13">
      <selection activeCell="F61" sqref="F61"/>
      <rowBreaks count="1" manualBreakCount="1">
        <brk id="47" max="13" man="1"/>
      </rowBreaks>
      <colBreaks count="1" manualBreakCount="1">
        <brk id="7" max="137"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0" type="noConversion"/>
  <printOptions horizontalCentered="1"/>
  <pageMargins left="0.35" right="0.3" top="0.5" bottom="0.8" header="0.5" footer="0.5"/>
  <pageSetup scale="49" pageOrder="overThenDown" orientation="landscape" r:id="rId3"/>
  <headerFooter alignWithMargins="0">
    <oddFooter>&amp;L
&amp;C&amp;F
&amp;   Mag Tails Sheet 15
&amp;
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3436" r:id="rId6" name="Button 124">
              <controlPr locked="0" defaultSize="0" autoFill="0" autoLine="0" autoPict="0">
                <anchor moveWithCells="1" sizeWithCells="1">
                  <from>
                    <xdr:col>0</xdr:col>
                    <xdr:colOff>0</xdr:colOff>
                    <xdr:row>12</xdr:row>
                    <xdr:rowOff>0</xdr:rowOff>
                  </from>
                  <to>
                    <xdr:col>0</xdr:col>
                    <xdr:colOff>0</xdr:colOff>
                    <xdr:row>12</xdr:row>
                    <xdr:rowOff>0</xdr:rowOff>
                  </to>
                </anchor>
              </controlPr>
            </control>
          </mc:Choice>
        </mc:AlternateContent>
        <mc:AlternateContent xmlns:mc="http://schemas.openxmlformats.org/markup-compatibility/2006">
          <mc:Choice Requires="x14">
            <control shapeId="13437" r:id="rId7" name="Button 125">
              <controlPr locked="0" defaultSize="0" autoFill="0" autoLine="0" autoPict="0">
                <anchor moveWithCells="1" sizeWithCells="1">
                  <from>
                    <xdr:col>0</xdr:col>
                    <xdr:colOff>0</xdr:colOff>
                    <xdr:row>12</xdr:row>
                    <xdr:rowOff>0</xdr:rowOff>
                  </from>
                  <to>
                    <xdr:col>0</xdr:col>
                    <xdr:colOff>0</xdr:colOff>
                    <xdr:row>12</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7">
    <pageSetUpPr fitToPage="1"/>
  </sheetPr>
  <dimension ref="A1:X124"/>
  <sheetViews>
    <sheetView defaultGridColor="0" view="pageBreakPreview" topLeftCell="A25" colorId="22" zoomScaleNormal="80" zoomScaleSheetLayoutView="100" workbookViewId="0">
      <selection activeCell="C41" sqref="C41"/>
    </sheetView>
  </sheetViews>
  <sheetFormatPr defaultColWidth="9.77734375" defaultRowHeight="15" x14ac:dyDescent="0.2"/>
  <cols>
    <col min="1" max="1" width="18.5546875" style="35" customWidth="1"/>
    <col min="2" max="2" width="31.88671875" style="35" customWidth="1"/>
    <col min="3" max="3" width="9.6640625" style="35" customWidth="1"/>
    <col min="4" max="4" width="14.6640625" style="35" customWidth="1"/>
    <col min="5" max="5" width="10.6640625" style="35" customWidth="1"/>
    <col min="6" max="6" width="18" style="35" customWidth="1"/>
    <col min="7" max="7" width="11.5546875" style="35" bestFit="1" customWidth="1"/>
    <col min="8" max="8" width="11.109375" style="35" customWidth="1"/>
    <col min="9" max="10" width="9.88671875" style="35" bestFit="1" customWidth="1"/>
    <col min="11" max="11" width="10.44140625" style="35" bestFit="1" customWidth="1"/>
    <col min="12" max="16384" width="9.77734375" style="35"/>
  </cols>
  <sheetData>
    <row r="1" spans="1:18" ht="13.9" customHeight="1" x14ac:dyDescent="0.2">
      <c r="A1" s="42"/>
      <c r="B1" s="42"/>
      <c r="C1" s="10"/>
      <c r="D1" s="10"/>
      <c r="E1" s="51" t="str">
        <f>'1 General'!C1</f>
        <v>Cobre</v>
      </c>
      <c r="F1" s="10"/>
      <c r="G1" s="11"/>
      <c r="H1" s="11"/>
      <c r="I1" s="11"/>
      <c r="J1" s="11"/>
      <c r="K1" s="11"/>
    </row>
    <row r="2" spans="1:18" ht="18" x14ac:dyDescent="0.25">
      <c r="A2" s="393"/>
      <c r="B2" s="42"/>
      <c r="C2" s="42"/>
      <c r="D2" s="10"/>
      <c r="E2" s="305" t="s">
        <v>295</v>
      </c>
      <c r="F2" s="10"/>
      <c r="G2" s="11"/>
      <c r="H2" s="11"/>
      <c r="I2" s="11"/>
      <c r="J2" s="11"/>
      <c r="K2" s="11"/>
    </row>
    <row r="3" spans="1:18" ht="15.75" x14ac:dyDescent="0.25">
      <c r="A3" s="69" t="s">
        <v>225</v>
      </c>
      <c r="B3" s="42"/>
      <c r="C3" s="42"/>
      <c r="D3" s="10"/>
      <c r="E3" s="236">
        <f>'1 General'!C3</f>
        <v>41955</v>
      </c>
      <c r="F3" s="10"/>
      <c r="G3" s="11"/>
      <c r="H3" s="11"/>
      <c r="I3" s="11"/>
      <c r="J3" s="11"/>
      <c r="K3" s="11"/>
    </row>
    <row r="4" spans="1:18" ht="13.9" customHeight="1" x14ac:dyDescent="0.2">
      <c r="A4" s="69"/>
      <c r="B4" s="42"/>
      <c r="C4" s="42"/>
      <c r="D4" s="70"/>
      <c r="E4" s="10"/>
      <c r="F4" s="3"/>
      <c r="G4" s="11"/>
      <c r="H4" s="11"/>
      <c r="I4" s="11"/>
      <c r="J4" s="11"/>
      <c r="K4" s="11"/>
    </row>
    <row r="5" spans="1:18" ht="13.9" customHeight="1" x14ac:dyDescent="0.2">
      <c r="A5" s="10"/>
      <c r="B5" s="42"/>
      <c r="C5" s="16"/>
      <c r="D5" s="71"/>
      <c r="E5" s="398"/>
      <c r="F5" s="10"/>
      <c r="G5" s="11"/>
      <c r="H5" s="11"/>
      <c r="I5" s="11"/>
      <c r="J5" s="11"/>
      <c r="K5" s="11"/>
    </row>
    <row r="6" spans="1:18" ht="18.75" x14ac:dyDescent="0.3">
      <c r="A6" s="33" t="s">
        <v>255</v>
      </c>
      <c r="B6" s="42"/>
      <c r="C6" s="10"/>
      <c r="D6" s="72"/>
      <c r="E6" s="398"/>
      <c r="F6" s="398"/>
      <c r="G6" s="11"/>
      <c r="H6" s="11"/>
      <c r="I6" s="11"/>
      <c r="J6" s="11"/>
      <c r="K6" s="73"/>
    </row>
    <row r="7" spans="1:18" x14ac:dyDescent="0.2">
      <c r="A7" s="10" t="s">
        <v>351</v>
      </c>
      <c r="C7" s="10"/>
      <c r="E7" s="398"/>
      <c r="F7" s="398"/>
      <c r="G7" s="11"/>
      <c r="H7" s="11"/>
      <c r="I7" s="11"/>
      <c r="J7" s="11"/>
      <c r="K7" s="73"/>
    </row>
    <row r="8" spans="1:18" ht="15.95" customHeight="1" x14ac:dyDescent="0.2">
      <c r="A8" s="307" t="str">
        <f>'1 General'!A20</f>
        <v>Based on Projected EOY 2019 Mine Plan</v>
      </c>
      <c r="B8" s="307"/>
      <c r="C8" s="10"/>
      <c r="D8" s="304" t="s">
        <v>264</v>
      </c>
      <c r="E8" s="317"/>
      <c r="F8" s="306"/>
      <c r="G8" s="11"/>
      <c r="H8" s="11"/>
      <c r="I8" s="11"/>
      <c r="J8" s="11"/>
      <c r="K8" s="73"/>
    </row>
    <row r="9" spans="1:18" x14ac:dyDescent="0.2">
      <c r="A9" s="2" t="s">
        <v>240</v>
      </c>
      <c r="B9" s="208" t="s">
        <v>263</v>
      </c>
      <c r="C9" s="3"/>
      <c r="D9" s="4">
        <v>0</v>
      </c>
      <c r="E9" s="56"/>
      <c r="F9" s="3"/>
      <c r="G9" s="74"/>
      <c r="H9" s="74"/>
      <c r="I9" s="74"/>
      <c r="J9" s="74"/>
      <c r="K9" s="74"/>
    </row>
    <row r="10" spans="1:18" x14ac:dyDescent="0.2">
      <c r="A10" s="10"/>
      <c r="B10" s="3" t="s">
        <v>3</v>
      </c>
      <c r="C10" s="3"/>
      <c r="D10" s="5">
        <f>'13   EarthSum'!K32</f>
        <v>873743.35232577717</v>
      </c>
      <c r="E10" s="56"/>
      <c r="F10" s="3"/>
      <c r="G10" s="74"/>
      <c r="H10" s="74"/>
      <c r="I10" s="74"/>
      <c r="J10" s="74"/>
      <c r="K10" s="74"/>
      <c r="M10" s="75"/>
    </row>
    <row r="11" spans="1:18" x14ac:dyDescent="0.2">
      <c r="A11" s="10"/>
      <c r="B11" s="3" t="s">
        <v>188</v>
      </c>
      <c r="C11" s="385"/>
      <c r="D11" s="5">
        <f>'14   Reveg'!E14</f>
        <v>56140.22603273578</v>
      </c>
      <c r="E11" s="56"/>
      <c r="F11" s="3"/>
      <c r="G11" s="76"/>
      <c r="H11" s="76"/>
      <c r="I11" s="76"/>
      <c r="J11" s="76"/>
      <c r="K11" s="76"/>
      <c r="M11" s="75"/>
    </row>
    <row r="12" spans="1:18" x14ac:dyDescent="0.2">
      <c r="A12" s="3"/>
      <c r="B12" s="3" t="s">
        <v>4</v>
      </c>
      <c r="C12" s="3"/>
      <c r="D12" s="5">
        <f>'15   Other'!F16</f>
        <v>85798.649160000001</v>
      </c>
      <c r="E12" s="56"/>
      <c r="F12" s="3"/>
      <c r="G12" s="76"/>
      <c r="H12" s="76"/>
      <c r="I12" s="76"/>
      <c r="J12" s="76"/>
      <c r="K12" s="76"/>
      <c r="M12" s="75"/>
      <c r="N12" s="75"/>
    </row>
    <row r="13" spans="1:18" ht="12" customHeight="1" x14ac:dyDescent="0.2">
      <c r="A13" s="3"/>
      <c r="B13" s="6" t="s">
        <v>147</v>
      </c>
      <c r="C13" s="7"/>
      <c r="D13" s="52">
        <f>SUM(D9:D12)</f>
        <v>1015682.227518513</v>
      </c>
      <c r="E13" s="56"/>
      <c r="F13" s="3"/>
      <c r="G13" s="76"/>
      <c r="H13" s="76"/>
      <c r="I13" s="76"/>
      <c r="J13" s="76"/>
      <c r="K13" s="76"/>
      <c r="M13" s="75"/>
      <c r="N13" s="75"/>
      <c r="O13" s="75"/>
    </row>
    <row r="14" spans="1:18" ht="12" customHeight="1" x14ac:dyDescent="0.2">
      <c r="A14" s="3"/>
      <c r="B14" s="3"/>
      <c r="C14" s="8"/>
      <c r="D14" s="3"/>
      <c r="E14" s="57"/>
      <c r="F14" s="3"/>
      <c r="G14" s="76"/>
      <c r="H14" s="76"/>
      <c r="I14" s="76"/>
      <c r="J14" s="76"/>
      <c r="K14" s="76"/>
      <c r="M14" s="75"/>
      <c r="N14" s="75"/>
      <c r="O14" s="75"/>
      <c r="P14" s="75"/>
    </row>
    <row r="15" spans="1:18" ht="12" customHeight="1" x14ac:dyDescent="0.2">
      <c r="A15" s="2" t="s">
        <v>279</v>
      </c>
      <c r="B15" s="208" t="s">
        <v>267</v>
      </c>
      <c r="C15" s="386">
        <v>3.7999999999999999E-2</v>
      </c>
      <c r="D15" s="201">
        <f t="shared" ref="D15:D20" si="0">C15*$D$13</f>
        <v>38595.92464570349</v>
      </c>
      <c r="E15" s="5"/>
      <c r="F15" s="3"/>
      <c r="G15" s="76"/>
      <c r="H15" s="76"/>
      <c r="I15" s="76"/>
      <c r="J15" s="76"/>
      <c r="K15" s="76"/>
      <c r="M15" s="75"/>
      <c r="N15" s="75"/>
      <c r="O15" s="75"/>
      <c r="P15" s="75"/>
      <c r="Q15" s="75"/>
    </row>
    <row r="16" spans="1:18" ht="12" customHeight="1" x14ac:dyDescent="0.2">
      <c r="A16" s="3"/>
      <c r="B16" s="208" t="s">
        <v>268</v>
      </c>
      <c r="C16" s="386">
        <v>0.04</v>
      </c>
      <c r="D16" s="5">
        <f t="shared" si="0"/>
        <v>40627.28910074052</v>
      </c>
      <c r="E16" s="5"/>
      <c r="F16" s="3"/>
      <c r="G16" s="76"/>
      <c r="H16" s="76"/>
      <c r="I16" s="76"/>
      <c r="J16" s="76"/>
      <c r="K16" s="76"/>
      <c r="M16" s="75"/>
      <c r="N16" s="75"/>
      <c r="O16" s="75"/>
      <c r="P16" s="75"/>
      <c r="Q16" s="75"/>
      <c r="R16" s="75"/>
    </row>
    <row r="17" spans="1:24" ht="12" customHeight="1" x14ac:dyDescent="0.2">
      <c r="A17" s="3"/>
      <c r="B17" s="208" t="s">
        <v>269</v>
      </c>
      <c r="C17" s="386">
        <v>2.5000000000000001E-2</v>
      </c>
      <c r="D17" s="5">
        <f t="shared" si="0"/>
        <v>25392.055687962828</v>
      </c>
      <c r="E17" s="5"/>
      <c r="F17" s="3"/>
      <c r="G17" s="76"/>
      <c r="H17" s="76"/>
      <c r="I17" s="76"/>
      <c r="J17" s="76"/>
      <c r="K17" s="76"/>
      <c r="M17" s="75"/>
      <c r="N17" s="75"/>
      <c r="O17" s="75"/>
      <c r="P17" s="75"/>
      <c r="Q17" s="75"/>
      <c r="R17" s="75"/>
      <c r="S17" s="75"/>
    </row>
    <row r="18" spans="1:24" ht="19.5" customHeight="1" x14ac:dyDescent="0.2">
      <c r="A18" s="3"/>
      <c r="B18" s="208" t="s">
        <v>270</v>
      </c>
      <c r="C18" s="386">
        <v>0.15</v>
      </c>
      <c r="D18" s="5">
        <f t="shared" si="0"/>
        <v>152352.33412777694</v>
      </c>
      <c r="E18" s="5"/>
      <c r="F18" s="3"/>
      <c r="G18" s="76"/>
      <c r="H18" s="76"/>
      <c r="I18" s="76"/>
      <c r="J18" s="76"/>
      <c r="K18" s="76"/>
      <c r="M18" s="75"/>
      <c r="N18" s="75"/>
      <c r="O18" s="75"/>
      <c r="P18" s="75"/>
      <c r="Q18" s="75"/>
      <c r="R18" s="75"/>
      <c r="S18" s="75"/>
      <c r="T18" s="75"/>
    </row>
    <row r="19" spans="1:24" ht="12" customHeight="1" x14ac:dyDescent="0.2">
      <c r="A19" s="3"/>
      <c r="B19" s="208" t="s">
        <v>271</v>
      </c>
      <c r="C19" s="386">
        <v>0.03</v>
      </c>
      <c r="D19" s="5">
        <f t="shared" si="0"/>
        <v>30470.466825555388</v>
      </c>
      <c r="E19" s="5"/>
      <c r="F19" s="3"/>
      <c r="G19" s="76"/>
      <c r="H19" s="76"/>
      <c r="I19" s="76"/>
      <c r="J19" s="76"/>
      <c r="K19" s="76"/>
      <c r="M19" s="75"/>
      <c r="N19" s="75"/>
      <c r="O19" s="75"/>
      <c r="P19" s="75"/>
      <c r="Q19" s="75"/>
      <c r="R19" s="75"/>
      <c r="S19" s="75"/>
      <c r="T19" s="75"/>
      <c r="U19" s="75"/>
    </row>
    <row r="20" spans="1:24" ht="12" customHeight="1" x14ac:dyDescent="0.2">
      <c r="A20" s="3"/>
      <c r="B20" s="3" t="s">
        <v>146</v>
      </c>
      <c r="C20" s="386">
        <v>0</v>
      </c>
      <c r="D20" s="5">
        <f t="shared" si="0"/>
        <v>0</v>
      </c>
      <c r="E20" s="5"/>
      <c r="F20" s="3"/>
      <c r="G20" s="76"/>
      <c r="H20" s="76"/>
      <c r="I20" s="76"/>
      <c r="J20" s="76"/>
      <c r="K20" s="76"/>
      <c r="M20" s="75"/>
      <c r="N20" s="75"/>
      <c r="O20" s="75"/>
      <c r="P20" s="75"/>
      <c r="Q20" s="75"/>
      <c r="R20" s="75"/>
      <c r="S20" s="75"/>
      <c r="T20" s="75"/>
      <c r="U20" s="75"/>
      <c r="V20" s="75"/>
    </row>
    <row r="21" spans="1:24" ht="12" customHeight="1" x14ac:dyDescent="0.2">
      <c r="A21" s="10"/>
      <c r="B21" s="11" t="s">
        <v>66</v>
      </c>
      <c r="C21" s="12">
        <f>SUM(C15:C20)</f>
        <v>0.28300000000000003</v>
      </c>
      <c r="D21" s="10"/>
      <c r="E21" s="57"/>
      <c r="F21" s="3"/>
      <c r="G21" s="76"/>
      <c r="H21" s="76"/>
      <c r="I21" s="76"/>
      <c r="J21" s="76"/>
      <c r="K21" s="76"/>
      <c r="M21" s="75"/>
      <c r="N21" s="75"/>
      <c r="O21" s="75"/>
      <c r="P21" s="75"/>
      <c r="Q21" s="75"/>
      <c r="R21" s="75"/>
      <c r="S21" s="75"/>
      <c r="T21" s="75"/>
      <c r="U21" s="75"/>
      <c r="V21" s="75"/>
      <c r="W21" s="75"/>
    </row>
    <row r="22" spans="1:24" ht="12" customHeight="1" x14ac:dyDescent="0.2">
      <c r="A22" s="10"/>
      <c r="B22" s="6" t="s">
        <v>148</v>
      </c>
      <c r="C22" s="12"/>
      <c r="D22" s="52">
        <f>SUM(D15:D21)</f>
        <v>287438.07038773916</v>
      </c>
      <c r="E22" s="57"/>
      <c r="F22" s="3"/>
      <c r="G22" s="76"/>
      <c r="H22" s="76"/>
      <c r="I22" s="76"/>
      <c r="J22" s="76"/>
      <c r="K22" s="76"/>
      <c r="M22" s="75"/>
      <c r="N22" s="75"/>
      <c r="O22" s="75"/>
      <c r="P22" s="75"/>
      <c r="Q22" s="75"/>
      <c r="R22" s="75"/>
      <c r="S22" s="75"/>
      <c r="T22" s="75"/>
      <c r="U22" s="75"/>
      <c r="V22" s="75"/>
      <c r="W22" s="75"/>
      <c r="X22" s="75"/>
    </row>
    <row r="23" spans="1:24" ht="12" customHeight="1" x14ac:dyDescent="0.2">
      <c r="A23" s="10"/>
      <c r="B23" s="6"/>
      <c r="C23" s="12"/>
      <c r="D23" s="10"/>
      <c r="E23" s="57"/>
      <c r="F23" s="3"/>
      <c r="G23" s="76"/>
      <c r="H23" s="76"/>
      <c r="I23" s="10"/>
      <c r="J23" s="76"/>
      <c r="K23" s="76"/>
      <c r="M23" s="75"/>
      <c r="N23" s="75"/>
      <c r="O23" s="75"/>
      <c r="P23" s="75"/>
      <c r="Q23" s="75"/>
      <c r="R23" s="75"/>
      <c r="S23" s="75"/>
      <c r="T23" s="75"/>
      <c r="U23" s="75"/>
      <c r="V23" s="75"/>
      <c r="W23" s="75"/>
      <c r="X23" s="75"/>
    </row>
    <row r="24" spans="1:24" x14ac:dyDescent="0.2">
      <c r="A24" s="2"/>
      <c r="B24" s="3"/>
      <c r="C24" s="14"/>
      <c r="D24" s="13"/>
      <c r="E24" s="5"/>
      <c r="F24" s="3"/>
      <c r="G24" s="10"/>
      <c r="H24" s="10"/>
      <c r="I24" s="10"/>
      <c r="J24" s="76"/>
      <c r="K24" s="10"/>
      <c r="N24" s="75"/>
      <c r="O24" s="75"/>
      <c r="P24" s="75"/>
      <c r="Q24" s="75"/>
      <c r="R24" s="75"/>
      <c r="S24" s="75"/>
      <c r="T24" s="75"/>
      <c r="U24" s="75"/>
      <c r="V24" s="75"/>
      <c r="W24" s="75"/>
      <c r="X24" s="75"/>
    </row>
    <row r="25" spans="1:24" x14ac:dyDescent="0.2">
      <c r="A25" s="3"/>
      <c r="B25" s="58"/>
      <c r="C25" s="3"/>
      <c r="D25" s="3"/>
      <c r="E25" s="3"/>
      <c r="F25" s="3"/>
      <c r="G25" s="76"/>
      <c r="H25" s="76"/>
      <c r="I25" s="76"/>
      <c r="J25" s="76"/>
      <c r="K25" s="76"/>
      <c r="O25" s="75"/>
      <c r="P25" s="75"/>
      <c r="Q25" s="75"/>
      <c r="R25" s="75"/>
      <c r="S25" s="75"/>
      <c r="T25" s="75"/>
      <c r="U25" s="75"/>
      <c r="V25" s="75"/>
      <c r="W25" s="75"/>
      <c r="X25" s="75"/>
    </row>
    <row r="26" spans="1:24" x14ac:dyDescent="0.2">
      <c r="A26" s="3"/>
      <c r="B26" s="58"/>
      <c r="C26" s="3"/>
      <c r="D26" s="3"/>
      <c r="E26" s="3"/>
      <c r="F26" s="3"/>
      <c r="G26" s="76"/>
      <c r="H26" s="76"/>
      <c r="I26" s="76"/>
      <c r="J26" s="76"/>
      <c r="K26" s="76"/>
      <c r="P26" s="75"/>
      <c r="Q26" s="75"/>
      <c r="R26" s="75"/>
      <c r="S26" s="75"/>
      <c r="T26" s="75"/>
      <c r="U26" s="75"/>
      <c r="V26" s="75"/>
      <c r="W26" s="75"/>
      <c r="X26" s="75"/>
    </row>
    <row r="27" spans="1:24" x14ac:dyDescent="0.2">
      <c r="A27" s="2" t="s">
        <v>224</v>
      </c>
      <c r="B27" s="3"/>
      <c r="C27" s="9"/>
      <c r="D27" s="13">
        <f>D13+D22</f>
        <v>1303120.2979062521</v>
      </c>
      <c r="E27" s="57"/>
      <c r="F27" s="56"/>
      <c r="G27" s="76"/>
      <c r="H27" s="76"/>
      <c r="I27" s="76"/>
      <c r="J27" s="76"/>
      <c r="K27" s="76"/>
      <c r="Q27" s="75"/>
      <c r="R27" s="75"/>
      <c r="S27" s="75"/>
      <c r="T27" s="75"/>
      <c r="U27" s="75"/>
      <c r="V27" s="75"/>
      <c r="W27" s="75"/>
      <c r="X27" s="75"/>
    </row>
    <row r="28" spans="1:24" x14ac:dyDescent="0.2">
      <c r="A28" s="3"/>
      <c r="B28" s="58"/>
      <c r="C28" s="3"/>
      <c r="D28" s="3"/>
      <c r="E28" s="3"/>
      <c r="F28" s="3"/>
      <c r="G28" s="76"/>
      <c r="H28" s="76"/>
      <c r="I28" s="76"/>
      <c r="J28" s="76"/>
      <c r="K28" s="76"/>
      <c r="R28" s="75"/>
      <c r="S28" s="75"/>
      <c r="T28" s="75"/>
      <c r="U28" s="75"/>
      <c r="V28" s="75"/>
      <c r="W28" s="75"/>
      <c r="X28" s="75"/>
    </row>
    <row r="29" spans="1:24" x14ac:dyDescent="0.2">
      <c r="A29" s="208" t="s">
        <v>55</v>
      </c>
      <c r="B29" s="208"/>
      <c r="C29" s="3"/>
      <c r="D29" s="3"/>
      <c r="E29" s="3"/>
      <c r="F29" s="3"/>
      <c r="G29" s="76"/>
      <c r="H29" s="76"/>
      <c r="I29" s="76"/>
      <c r="J29" s="76"/>
      <c r="K29" s="76"/>
      <c r="S29" s="75"/>
      <c r="T29" s="75"/>
      <c r="U29" s="75"/>
      <c r="V29" s="75"/>
      <c r="W29" s="75"/>
      <c r="X29" s="75"/>
    </row>
    <row r="30" spans="1:24" x14ac:dyDescent="0.2">
      <c r="A30" s="208" t="s">
        <v>272</v>
      </c>
      <c r="B30" s="208"/>
      <c r="C30" s="3"/>
      <c r="D30" s="3"/>
      <c r="E30" s="3"/>
      <c r="F30" s="280"/>
      <c r="G30" s="76"/>
      <c r="H30" s="76"/>
      <c r="I30" s="76"/>
      <c r="J30" s="76"/>
      <c r="K30" s="76"/>
      <c r="T30" s="75"/>
      <c r="U30" s="75"/>
      <c r="V30" s="75"/>
      <c r="W30" s="75"/>
      <c r="X30" s="75"/>
    </row>
    <row r="31" spans="1:24" x14ac:dyDescent="0.2">
      <c r="A31" s="208" t="s">
        <v>273</v>
      </c>
      <c r="B31" s="208"/>
      <c r="C31" s="3"/>
      <c r="D31" s="3"/>
      <c r="E31" s="3"/>
      <c r="F31" s="3"/>
      <c r="G31" s="76"/>
      <c r="H31" s="76"/>
      <c r="I31" s="76"/>
      <c r="J31" s="76"/>
      <c r="K31" s="76"/>
      <c r="U31" s="75"/>
      <c r="V31" s="75"/>
      <c r="W31" s="75"/>
      <c r="X31" s="75"/>
    </row>
    <row r="32" spans="1:24" x14ac:dyDescent="0.2">
      <c r="A32" s="208" t="s">
        <v>274</v>
      </c>
      <c r="B32" s="208"/>
      <c r="C32" s="3"/>
      <c r="D32" s="3"/>
      <c r="E32" s="3"/>
      <c r="F32" s="3"/>
      <c r="G32" s="76"/>
      <c r="H32" s="76"/>
      <c r="I32" s="10"/>
      <c r="J32" s="76"/>
      <c r="K32" s="76"/>
      <c r="V32" s="75"/>
      <c r="W32" s="75"/>
      <c r="X32" s="75"/>
    </row>
    <row r="33" spans="1:24" x14ac:dyDescent="0.2">
      <c r="A33" s="208" t="s">
        <v>275</v>
      </c>
      <c r="B33" s="208"/>
      <c r="C33" s="3"/>
      <c r="D33" s="3"/>
      <c r="E33" s="10"/>
      <c r="F33" s="3"/>
      <c r="G33" s="10"/>
      <c r="H33" s="10"/>
      <c r="I33" s="10"/>
      <c r="J33" s="76"/>
      <c r="K33" s="10"/>
      <c r="W33" s="75"/>
      <c r="X33" s="75"/>
    </row>
    <row r="34" spans="1:24" x14ac:dyDescent="0.2">
      <c r="A34" s="208"/>
      <c r="B34" s="208"/>
      <c r="C34" s="3"/>
      <c r="D34" s="3"/>
      <c r="E34" s="10"/>
      <c r="F34" s="3"/>
      <c r="G34" s="10"/>
      <c r="H34" s="10"/>
      <c r="I34" s="10"/>
      <c r="J34" s="76"/>
      <c r="K34" s="10"/>
      <c r="X34" s="75"/>
    </row>
    <row r="35" spans="1:24" x14ac:dyDescent="0.2">
      <c r="A35" s="208" t="s">
        <v>276</v>
      </c>
      <c r="B35" s="208"/>
      <c r="C35" s="3"/>
      <c r="D35" s="3"/>
      <c r="E35" s="3"/>
      <c r="F35" s="3"/>
      <c r="G35" s="10"/>
      <c r="H35" s="10"/>
      <c r="I35" s="10"/>
      <c r="J35" s="76"/>
      <c r="K35" s="10"/>
    </row>
    <row r="36" spans="1:24" x14ac:dyDescent="0.2">
      <c r="A36" s="232" t="s">
        <v>277</v>
      </c>
      <c r="B36" s="233" t="s">
        <v>278</v>
      </c>
      <c r="C36" s="10"/>
      <c r="D36" s="77"/>
      <c r="E36" s="10"/>
      <c r="F36" s="3"/>
      <c r="G36" s="10"/>
      <c r="H36" s="10"/>
      <c r="I36" s="10"/>
      <c r="J36" s="76"/>
      <c r="K36" s="10"/>
    </row>
    <row r="37" spans="1:24" x14ac:dyDescent="0.2">
      <c r="A37" s="74"/>
      <c r="B37" s="3"/>
      <c r="C37" s="3"/>
      <c r="D37" s="77"/>
      <c r="E37" s="10"/>
      <c r="F37" s="3"/>
      <c r="G37" s="10"/>
      <c r="H37" s="10"/>
      <c r="I37" s="10"/>
      <c r="J37" s="10"/>
      <c r="K37" s="10"/>
    </row>
    <row r="38" spans="1:24" x14ac:dyDescent="0.2">
      <c r="A38" s="232"/>
      <c r="B38" s="233"/>
      <c r="C38" s="3"/>
      <c r="D38" s="77"/>
      <c r="E38" s="10"/>
      <c r="F38" s="10"/>
      <c r="G38" s="10"/>
      <c r="H38" s="10"/>
      <c r="I38" s="10"/>
      <c r="J38" s="10"/>
      <c r="K38" s="10"/>
    </row>
    <row r="39" spans="1:24" x14ac:dyDescent="0.2">
      <c r="B39" s="233"/>
      <c r="C39" s="79"/>
      <c r="D39" s="79"/>
      <c r="E39" s="79"/>
      <c r="F39" s="10"/>
      <c r="G39" s="57"/>
      <c r="H39" s="57"/>
      <c r="I39" s="57"/>
      <c r="J39" s="57"/>
      <c r="K39" s="57"/>
    </row>
    <row r="40" spans="1:24" x14ac:dyDescent="0.2">
      <c r="B40" s="233"/>
      <c r="C40" s="10"/>
      <c r="D40" s="10"/>
      <c r="E40" s="10"/>
      <c r="F40" s="10"/>
      <c r="G40" s="57"/>
      <c r="H40" s="57"/>
      <c r="I40" s="57"/>
      <c r="J40" s="57"/>
      <c r="K40" s="57"/>
    </row>
    <row r="41" spans="1:24" x14ac:dyDescent="0.2">
      <c r="B41" s="233"/>
      <c r="C41" s="10"/>
      <c r="D41" s="10"/>
      <c r="E41" s="10"/>
      <c r="F41" s="10"/>
      <c r="G41" s="10"/>
      <c r="H41" s="10"/>
      <c r="I41" s="3"/>
      <c r="J41" s="10"/>
      <c r="K41" s="56"/>
    </row>
    <row r="42" spans="1:24" x14ac:dyDescent="0.2">
      <c r="B42" s="233"/>
      <c r="C42" s="10"/>
      <c r="D42" s="10"/>
      <c r="E42" s="10"/>
      <c r="F42" s="10"/>
      <c r="G42" s="10"/>
      <c r="H42" s="10"/>
      <c r="I42" s="3"/>
      <c r="J42" s="10"/>
      <c r="K42" s="57"/>
    </row>
    <row r="43" spans="1:24" x14ac:dyDescent="0.2">
      <c r="B43" s="233"/>
      <c r="C43" s="10"/>
      <c r="D43" s="10"/>
      <c r="E43" s="10"/>
      <c r="F43" s="10"/>
      <c r="G43" s="10"/>
      <c r="H43" s="10"/>
      <c r="I43" s="10"/>
      <c r="J43" s="10"/>
      <c r="K43" s="10"/>
    </row>
    <row r="44" spans="1:24" x14ac:dyDescent="0.2">
      <c r="A44" s="10"/>
      <c r="B44" s="233"/>
      <c r="C44" s="10"/>
      <c r="D44" s="10"/>
      <c r="E44" s="10"/>
      <c r="F44" s="10"/>
      <c r="G44" s="10"/>
      <c r="H44" s="10"/>
      <c r="I44" s="10"/>
      <c r="J44" s="10"/>
      <c r="K44" s="10"/>
    </row>
    <row r="45" spans="1:24" x14ac:dyDescent="0.2">
      <c r="A45" s="208"/>
      <c r="B45" s="233"/>
      <c r="C45" s="3"/>
      <c r="D45" s="10"/>
      <c r="E45" s="10"/>
      <c r="F45" s="10"/>
      <c r="G45" s="10"/>
      <c r="H45" s="10"/>
      <c r="I45" s="10"/>
      <c r="J45" s="10"/>
      <c r="K45" s="10"/>
    </row>
    <row r="46" spans="1:24" x14ac:dyDescent="0.2">
      <c r="A46" s="232"/>
      <c r="B46" s="233"/>
      <c r="C46" s="3"/>
      <c r="D46" s="10"/>
      <c r="E46" s="10"/>
      <c r="F46" s="10"/>
      <c r="G46" s="10"/>
      <c r="H46" s="10"/>
      <c r="I46" s="10"/>
      <c r="J46" s="10"/>
      <c r="K46" s="10"/>
    </row>
    <row r="47" spans="1:24" x14ac:dyDescent="0.2">
      <c r="A47" s="10"/>
      <c r="B47" s="233"/>
      <c r="C47" s="3"/>
      <c r="D47" s="10"/>
      <c r="E47" s="10"/>
      <c r="F47" s="10"/>
      <c r="G47" s="10"/>
      <c r="H47" s="10"/>
      <c r="I47" s="10"/>
      <c r="J47" s="10"/>
      <c r="K47" s="10"/>
    </row>
    <row r="48" spans="1:24" x14ac:dyDescent="0.2">
      <c r="A48" s="10"/>
      <c r="B48" s="233"/>
      <c r="C48" s="3"/>
      <c r="D48" s="3"/>
      <c r="E48" s="10"/>
      <c r="F48" s="10"/>
      <c r="G48" s="10"/>
      <c r="H48" s="10"/>
      <c r="I48" s="10"/>
      <c r="J48" s="10"/>
      <c r="K48" s="10"/>
    </row>
    <row r="49" spans="1:11" x14ac:dyDescent="0.2">
      <c r="B49" s="233"/>
      <c r="C49" s="3"/>
      <c r="D49" s="3"/>
      <c r="E49" s="10"/>
      <c r="F49" s="10"/>
      <c r="G49" s="10"/>
      <c r="H49" s="10"/>
      <c r="I49" s="10"/>
      <c r="J49" s="10"/>
      <c r="K49" s="10"/>
    </row>
    <row r="50" spans="1:11" x14ac:dyDescent="0.2">
      <c r="C50" s="3"/>
      <c r="D50" s="3"/>
      <c r="E50" s="10"/>
      <c r="F50" s="10"/>
      <c r="G50" s="10"/>
      <c r="H50" s="10"/>
      <c r="I50" s="10"/>
      <c r="J50" s="10"/>
      <c r="K50" s="10"/>
    </row>
    <row r="51" spans="1:11" x14ac:dyDescent="0.2">
      <c r="C51" s="3"/>
      <c r="D51" s="3"/>
      <c r="E51" s="10"/>
      <c r="F51" s="10"/>
      <c r="G51" s="10"/>
      <c r="H51" s="10"/>
      <c r="I51" s="10"/>
      <c r="J51" s="10"/>
      <c r="K51" s="10"/>
    </row>
    <row r="52" spans="1:11" x14ac:dyDescent="0.2">
      <c r="C52" s="10"/>
      <c r="D52" s="10"/>
      <c r="E52" s="10"/>
      <c r="F52" s="10"/>
      <c r="G52" s="10"/>
      <c r="H52" s="10"/>
      <c r="I52" s="10"/>
      <c r="J52" s="10"/>
      <c r="K52" s="10"/>
    </row>
    <row r="53" spans="1:11" x14ac:dyDescent="0.2">
      <c r="A53" s="80"/>
      <c r="B53" s="80"/>
      <c r="C53" s="80"/>
      <c r="D53" s="80"/>
    </row>
    <row r="54" spans="1:11" x14ac:dyDescent="0.2">
      <c r="A54" s="80"/>
      <c r="B54" s="80"/>
      <c r="C54" s="80"/>
      <c r="D54" s="80"/>
    </row>
    <row r="55" spans="1:11" x14ac:dyDescent="0.2">
      <c r="A55" s="80"/>
      <c r="B55" s="80"/>
      <c r="C55" s="80"/>
      <c r="D55" s="80"/>
    </row>
    <row r="56" spans="1:11" x14ac:dyDescent="0.2">
      <c r="A56" s="80"/>
      <c r="B56" s="80"/>
      <c r="C56" s="80"/>
      <c r="D56" s="80"/>
    </row>
    <row r="57" spans="1:11" x14ac:dyDescent="0.2">
      <c r="A57" s="80"/>
      <c r="B57" s="80"/>
      <c r="C57" s="80"/>
      <c r="D57" s="80"/>
    </row>
    <row r="58" spans="1:11" x14ac:dyDescent="0.2">
      <c r="A58" s="80"/>
      <c r="B58" s="80"/>
      <c r="C58" s="80"/>
      <c r="D58" s="80"/>
    </row>
    <row r="59" spans="1:11" x14ac:dyDescent="0.2">
      <c r="A59" s="80"/>
      <c r="B59" s="80"/>
      <c r="C59" s="80"/>
      <c r="D59" s="80"/>
    </row>
    <row r="60" spans="1:11" x14ac:dyDescent="0.2">
      <c r="A60" s="80"/>
      <c r="B60" s="80"/>
      <c r="C60" s="80"/>
      <c r="D60" s="80"/>
    </row>
    <row r="61" spans="1:11" x14ac:dyDescent="0.2">
      <c r="A61" s="80"/>
      <c r="B61" s="80"/>
      <c r="C61" s="80"/>
      <c r="D61" s="80"/>
    </row>
    <row r="62" spans="1:11" x14ac:dyDescent="0.2">
      <c r="A62" s="80"/>
      <c r="B62" s="80"/>
      <c r="C62" s="80"/>
      <c r="D62" s="80"/>
    </row>
    <row r="63" spans="1:11" x14ac:dyDescent="0.2">
      <c r="A63" s="80"/>
      <c r="B63" s="80"/>
      <c r="C63" s="80"/>
      <c r="D63" s="80"/>
    </row>
    <row r="64" spans="1:11" x14ac:dyDescent="0.2">
      <c r="A64" s="80"/>
      <c r="B64" s="80"/>
      <c r="C64" s="80"/>
      <c r="D64" s="80"/>
    </row>
    <row r="65" spans="1:4" x14ac:dyDescent="0.2">
      <c r="A65" s="80"/>
      <c r="B65" s="80"/>
      <c r="C65" s="80"/>
      <c r="D65" s="80"/>
    </row>
    <row r="66" spans="1:4" x14ac:dyDescent="0.2">
      <c r="A66" s="80"/>
      <c r="B66" s="80"/>
      <c r="C66" s="80"/>
      <c r="D66" s="80"/>
    </row>
    <row r="67" spans="1:4" x14ac:dyDescent="0.2">
      <c r="A67" s="80"/>
      <c r="B67" s="80"/>
      <c r="C67" s="80"/>
      <c r="D67" s="80"/>
    </row>
    <row r="68" spans="1:4" x14ac:dyDescent="0.2">
      <c r="A68" s="80"/>
      <c r="B68" s="80"/>
      <c r="C68" s="80"/>
      <c r="D68" s="80"/>
    </row>
    <row r="69" spans="1:4" x14ac:dyDescent="0.2">
      <c r="A69" s="80"/>
      <c r="B69" s="80"/>
      <c r="C69" s="80"/>
      <c r="D69" s="80"/>
    </row>
    <row r="70" spans="1:4" x14ac:dyDescent="0.2">
      <c r="A70" s="80"/>
      <c r="B70" s="80"/>
      <c r="C70" s="80"/>
      <c r="D70" s="80"/>
    </row>
    <row r="71" spans="1:4" x14ac:dyDescent="0.2">
      <c r="A71" s="80"/>
      <c r="B71" s="80"/>
      <c r="C71" s="80"/>
      <c r="D71" s="80"/>
    </row>
    <row r="72" spans="1:4" x14ac:dyDescent="0.2">
      <c r="A72" s="80"/>
      <c r="B72" s="80"/>
      <c r="C72" s="80"/>
      <c r="D72" s="80"/>
    </row>
    <row r="73" spans="1:4" x14ac:dyDescent="0.2">
      <c r="A73" s="80"/>
      <c r="B73" s="80"/>
      <c r="C73" s="80"/>
      <c r="D73" s="80"/>
    </row>
    <row r="74" spans="1:4" x14ac:dyDescent="0.2">
      <c r="A74" s="80"/>
      <c r="B74" s="80"/>
      <c r="C74" s="80"/>
      <c r="D74" s="80"/>
    </row>
    <row r="75" spans="1:4" x14ac:dyDescent="0.2">
      <c r="A75" s="80"/>
      <c r="B75" s="80"/>
      <c r="C75" s="80"/>
      <c r="D75" s="80"/>
    </row>
    <row r="76" spans="1:4" x14ac:dyDescent="0.2">
      <c r="A76" s="80"/>
      <c r="B76" s="80"/>
      <c r="C76" s="80"/>
      <c r="D76" s="80"/>
    </row>
    <row r="77" spans="1:4" x14ac:dyDescent="0.2">
      <c r="A77" s="80"/>
      <c r="B77" s="80"/>
      <c r="C77" s="80"/>
      <c r="D77" s="80"/>
    </row>
    <row r="78" spans="1:4" x14ac:dyDescent="0.2">
      <c r="A78" s="80"/>
      <c r="B78" s="80"/>
      <c r="C78" s="80"/>
      <c r="D78" s="80"/>
    </row>
    <row r="79" spans="1:4" x14ac:dyDescent="0.2">
      <c r="A79" s="80"/>
      <c r="B79" s="80"/>
      <c r="C79" s="80"/>
      <c r="D79" s="80"/>
    </row>
    <row r="80" spans="1:4" x14ac:dyDescent="0.2">
      <c r="A80" s="80"/>
      <c r="B80" s="80"/>
      <c r="C80" s="80"/>
      <c r="D80" s="80"/>
    </row>
    <row r="81" spans="1:4" x14ac:dyDescent="0.2">
      <c r="A81" s="80"/>
      <c r="B81" s="80"/>
      <c r="C81" s="80"/>
      <c r="D81" s="80"/>
    </row>
    <row r="82" spans="1:4" x14ac:dyDescent="0.2">
      <c r="A82" s="80"/>
      <c r="B82" s="80"/>
      <c r="C82" s="80"/>
      <c r="D82" s="80"/>
    </row>
    <row r="83" spans="1:4" x14ac:dyDescent="0.2">
      <c r="A83" s="80"/>
      <c r="B83" s="80"/>
      <c r="C83" s="80"/>
      <c r="D83" s="80"/>
    </row>
    <row r="84" spans="1:4" x14ac:dyDescent="0.2">
      <c r="A84" s="80"/>
      <c r="B84" s="80"/>
      <c r="C84" s="80"/>
      <c r="D84" s="80"/>
    </row>
    <row r="85" spans="1:4" x14ac:dyDescent="0.2">
      <c r="A85" s="80"/>
      <c r="B85" s="80"/>
      <c r="C85" s="80"/>
      <c r="D85" s="80"/>
    </row>
    <row r="86" spans="1:4" x14ac:dyDescent="0.2">
      <c r="A86" s="80"/>
      <c r="B86" s="80"/>
      <c r="C86" s="80"/>
      <c r="D86" s="80"/>
    </row>
    <row r="87" spans="1:4" x14ac:dyDescent="0.2">
      <c r="A87" s="80"/>
      <c r="B87" s="80"/>
      <c r="C87" s="80"/>
      <c r="D87" s="80"/>
    </row>
    <row r="88" spans="1:4" x14ac:dyDescent="0.2">
      <c r="A88" s="80"/>
      <c r="B88" s="80"/>
      <c r="C88" s="80"/>
      <c r="D88" s="80"/>
    </row>
    <row r="89" spans="1:4" x14ac:dyDescent="0.2">
      <c r="A89" s="80"/>
      <c r="B89" s="80"/>
      <c r="C89" s="80"/>
      <c r="D89" s="80"/>
    </row>
    <row r="90" spans="1:4" x14ac:dyDescent="0.2">
      <c r="A90" s="80"/>
      <c r="B90" s="80"/>
      <c r="C90" s="80"/>
      <c r="D90" s="80"/>
    </row>
    <row r="91" spans="1:4" x14ac:dyDescent="0.2">
      <c r="A91" s="80"/>
      <c r="B91" s="80"/>
      <c r="C91" s="80"/>
      <c r="D91" s="80"/>
    </row>
    <row r="92" spans="1:4" x14ac:dyDescent="0.2">
      <c r="A92" s="80"/>
      <c r="B92" s="80"/>
      <c r="C92" s="80"/>
      <c r="D92" s="80"/>
    </row>
    <row r="93" spans="1:4" x14ac:dyDescent="0.2">
      <c r="A93" s="80"/>
      <c r="B93" s="80"/>
      <c r="C93" s="80"/>
      <c r="D93" s="80"/>
    </row>
    <row r="94" spans="1:4" x14ac:dyDescent="0.2">
      <c r="A94" s="80"/>
      <c r="B94" s="80"/>
      <c r="C94" s="80"/>
      <c r="D94" s="80"/>
    </row>
    <row r="95" spans="1:4" x14ac:dyDescent="0.2">
      <c r="A95" s="80"/>
      <c r="B95" s="80"/>
      <c r="C95" s="80"/>
      <c r="D95" s="80"/>
    </row>
    <row r="96" spans="1:4" x14ac:dyDescent="0.2">
      <c r="A96" s="80"/>
      <c r="B96" s="80"/>
      <c r="C96" s="80"/>
      <c r="D96" s="80"/>
    </row>
    <row r="97" spans="1:4" x14ac:dyDescent="0.2">
      <c r="A97" s="80"/>
      <c r="B97" s="80"/>
      <c r="C97" s="80"/>
      <c r="D97" s="80"/>
    </row>
    <row r="98" spans="1:4" x14ac:dyDescent="0.2">
      <c r="A98" s="80"/>
      <c r="B98" s="80"/>
      <c r="C98" s="80"/>
      <c r="D98" s="80"/>
    </row>
    <row r="99" spans="1:4" x14ac:dyDescent="0.2">
      <c r="A99" s="80"/>
      <c r="B99" s="80"/>
      <c r="C99" s="80"/>
      <c r="D99" s="80"/>
    </row>
    <row r="100" spans="1:4" x14ac:dyDescent="0.2">
      <c r="A100" s="80"/>
      <c r="B100" s="80"/>
      <c r="C100" s="80"/>
      <c r="D100" s="80"/>
    </row>
    <row r="101" spans="1:4" x14ac:dyDescent="0.2">
      <c r="A101" s="80"/>
      <c r="B101" s="80"/>
      <c r="C101" s="80"/>
      <c r="D101" s="80"/>
    </row>
    <row r="102" spans="1:4" x14ac:dyDescent="0.2">
      <c r="A102" s="80"/>
      <c r="B102" s="80"/>
      <c r="C102" s="80"/>
      <c r="D102" s="80"/>
    </row>
    <row r="103" spans="1:4" x14ac:dyDescent="0.2">
      <c r="A103" s="80"/>
      <c r="B103" s="80"/>
      <c r="C103" s="80"/>
      <c r="D103" s="80"/>
    </row>
    <row r="104" spans="1:4" x14ac:dyDescent="0.2">
      <c r="A104" s="80"/>
      <c r="B104" s="80"/>
      <c r="C104" s="80"/>
      <c r="D104" s="80"/>
    </row>
    <row r="105" spans="1:4" x14ac:dyDescent="0.2">
      <c r="A105" s="80"/>
      <c r="B105" s="80"/>
      <c r="C105" s="80"/>
      <c r="D105" s="80"/>
    </row>
    <row r="106" spans="1:4" x14ac:dyDescent="0.2">
      <c r="A106" s="80"/>
      <c r="B106" s="80"/>
      <c r="C106" s="80"/>
      <c r="D106" s="80"/>
    </row>
    <row r="107" spans="1:4" x14ac:dyDescent="0.2">
      <c r="A107" s="80"/>
      <c r="B107" s="80"/>
      <c r="C107" s="80"/>
      <c r="D107" s="80"/>
    </row>
    <row r="108" spans="1:4" x14ac:dyDescent="0.2">
      <c r="A108" s="80"/>
      <c r="B108" s="80"/>
      <c r="C108" s="80"/>
      <c r="D108" s="80"/>
    </row>
    <row r="109" spans="1:4" x14ac:dyDescent="0.2">
      <c r="A109" s="80"/>
      <c r="B109" s="80"/>
      <c r="C109" s="80"/>
      <c r="D109" s="80"/>
    </row>
    <row r="110" spans="1:4" x14ac:dyDescent="0.2">
      <c r="A110" s="80"/>
      <c r="B110" s="80"/>
      <c r="C110" s="80"/>
      <c r="D110" s="80"/>
    </row>
    <row r="111" spans="1:4" x14ac:dyDescent="0.2">
      <c r="A111" s="80"/>
      <c r="B111" s="80"/>
      <c r="C111" s="80"/>
      <c r="D111" s="80"/>
    </row>
    <row r="112" spans="1:4" x14ac:dyDescent="0.2">
      <c r="A112" s="80"/>
      <c r="B112" s="80"/>
      <c r="C112" s="80"/>
      <c r="D112" s="80"/>
    </row>
    <row r="113" spans="1:4" x14ac:dyDescent="0.2">
      <c r="A113" s="80"/>
      <c r="B113" s="80"/>
      <c r="C113" s="80"/>
      <c r="D113" s="80"/>
    </row>
    <row r="114" spans="1:4" x14ac:dyDescent="0.2">
      <c r="A114" s="80"/>
      <c r="B114" s="80"/>
      <c r="C114" s="80"/>
      <c r="D114" s="80"/>
    </row>
    <row r="115" spans="1:4" x14ac:dyDescent="0.2">
      <c r="A115" s="80"/>
      <c r="B115" s="80"/>
      <c r="C115" s="80"/>
      <c r="D115" s="80"/>
    </row>
    <row r="116" spans="1:4" x14ac:dyDescent="0.2">
      <c r="A116" s="80"/>
      <c r="B116" s="80"/>
      <c r="C116" s="80"/>
      <c r="D116" s="80"/>
    </row>
    <row r="117" spans="1:4" x14ac:dyDescent="0.2">
      <c r="A117" s="80"/>
      <c r="B117" s="80"/>
      <c r="C117" s="80"/>
      <c r="D117" s="80"/>
    </row>
    <row r="118" spans="1:4" x14ac:dyDescent="0.2">
      <c r="A118" s="80"/>
      <c r="B118" s="80"/>
      <c r="C118" s="80"/>
      <c r="D118" s="80"/>
    </row>
    <row r="119" spans="1:4" x14ac:dyDescent="0.2">
      <c r="A119" s="80"/>
      <c r="B119" s="80"/>
      <c r="C119" s="80"/>
      <c r="D119" s="80"/>
    </row>
    <row r="120" spans="1:4" x14ac:dyDescent="0.2">
      <c r="A120" s="80"/>
      <c r="B120" s="80"/>
      <c r="C120" s="80"/>
      <c r="D120" s="80"/>
    </row>
    <row r="121" spans="1:4" x14ac:dyDescent="0.2">
      <c r="A121" s="80"/>
      <c r="B121" s="80"/>
      <c r="C121" s="80"/>
      <c r="D121" s="80"/>
    </row>
    <row r="122" spans="1:4" x14ac:dyDescent="0.2">
      <c r="A122" s="80"/>
      <c r="B122" s="80"/>
      <c r="C122" s="80"/>
      <c r="D122" s="80"/>
    </row>
    <row r="123" spans="1:4" x14ac:dyDescent="0.2">
      <c r="A123" s="80"/>
      <c r="B123" s="80"/>
      <c r="C123" s="80"/>
      <c r="D123" s="80"/>
    </row>
    <row r="124" spans="1:4" x14ac:dyDescent="0.2">
      <c r="A124" s="80"/>
      <c r="B124" s="80"/>
      <c r="C124" s="80"/>
      <c r="D124" s="80"/>
    </row>
  </sheetData>
  <customSheetViews>
    <customSheetView guid="{022582FA-9605-4A7F-B587-E5659EE41F6B}" scale="80" colorId="22" showPageBreaks="1" printArea="1" showRuler="0">
      <selection activeCell="H31" sqref="H31"/>
      <colBreaks count="1" manualBreakCount="1">
        <brk id="5" max="52" man="1"/>
      </colBreaks>
      <pageMargins left="0.75" right="0.75" top="1" bottom="1" header="0.5" footer="0.5"/>
      <printOptions horizontalCentered="1"/>
      <pageSetup scale="75" orientation="landscape" r:id="rId1"/>
      <headerFooter alignWithMargins="0">
        <oddFooter>&amp;C&amp;F&amp;A (Page &amp;P of 1)</oddFooter>
      </headerFooter>
    </customSheetView>
    <customSheetView guid="{CFF26D3A-8717-40F2-B6BC-9E1EF0EFD095}" scale="80" colorId="22" showRuler="0">
      <selection activeCell="E17" sqref="E17"/>
      <colBreaks count="1" manualBreakCount="1">
        <brk id="5" max="52" man="1"/>
      </colBreaks>
      <pageMargins left="0.75" right="0.75" top="1" bottom="1" header="0.5" footer="0.5"/>
      <printOptions horizontalCentered="1"/>
      <pageSetup scale="75" orientation="landscape" r:id="rId2"/>
      <headerFooter alignWithMargins="0">
        <oddFooter>&amp;C&amp;F&amp;A (Page &amp;P of 1)</oddFooter>
      </headerFooter>
    </customSheetView>
  </customSheetViews>
  <mergeCells count="2">
    <mergeCell ref="E5:E7"/>
    <mergeCell ref="F6:F7"/>
  </mergeCells>
  <phoneticPr fontId="0" type="noConversion"/>
  <printOptions horizontalCentered="1"/>
  <pageMargins left="0.33" right="0.3" top="0.5" bottom="0.25" header="0.5" footer="0.5"/>
  <pageSetup scale="98" orientation="portrait" r:id="rId3"/>
  <headerFooter alignWithMargins="0">
    <oddFooter>&amp;C&amp;F
&amp;   Mag Tails Sheet 16
&amp;
Page &amp;P of &amp;N</oddFooter>
  </headerFooter>
  <colBreaks count="1" manualBreakCount="1">
    <brk id="5" max="52" man="1"/>
  </colBreaks>
  <drawing r:id="rId4"/>
  <legacyDrawing r:id="rId5"/>
  <mc:AlternateContent xmlns:mc="http://schemas.openxmlformats.org/markup-compatibility/2006">
    <mc:Choice Requires="x14">
      <controls>
        <mc:AlternateContent xmlns:mc="http://schemas.openxmlformats.org/markup-compatibility/2006">
          <mc:Choice Requires="x14">
            <control shapeId="14471" r:id="rId6" name="Button 135">
              <controlPr locked="0" defaultSize="0" autoFill="0" autoLine="0" autoPict="0">
                <anchor moveWithCells="1" sizeWithCells="1">
                  <from>
                    <xdr:col>0</xdr:col>
                    <xdr:colOff>0</xdr:colOff>
                    <xdr:row>14</xdr:row>
                    <xdr:rowOff>0</xdr:rowOff>
                  </from>
                  <to>
                    <xdr:col>0</xdr:col>
                    <xdr:colOff>0</xdr:colOff>
                    <xdr:row>14</xdr:row>
                    <xdr:rowOff>0</xdr:rowOff>
                  </to>
                </anchor>
              </controlPr>
            </control>
          </mc:Choice>
        </mc:AlternateContent>
        <mc:AlternateContent xmlns:mc="http://schemas.openxmlformats.org/markup-compatibility/2006">
          <mc:Choice Requires="x14">
            <control shapeId="14472" r:id="rId7" name="Button 136">
              <controlPr locked="0" defaultSize="0" autoFill="0" autoLine="0" autoPict="0">
                <anchor moveWithCells="1" sizeWithCells="1">
                  <from>
                    <xdr:col>0</xdr:col>
                    <xdr:colOff>0</xdr:colOff>
                    <xdr:row>14</xdr:row>
                    <xdr:rowOff>0</xdr:rowOff>
                  </from>
                  <to>
                    <xdr:col>0</xdr:col>
                    <xdr:colOff>0</xdr:colOff>
                    <xdr:row>14</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9"/>
  <sheetViews>
    <sheetView defaultGridColor="0" view="pageBreakPreview" colorId="22" zoomScale="85" zoomScaleNormal="70" workbookViewId="0">
      <pane xSplit="3" topLeftCell="D1" activePane="topRight" state="frozen"/>
      <selection activeCell="C41" sqref="C41"/>
      <selection pane="topRight" activeCell="C41" sqref="C41"/>
    </sheetView>
  </sheetViews>
  <sheetFormatPr defaultRowHeight="15" x14ac:dyDescent="0.2"/>
  <cols>
    <col min="1" max="1" width="17.33203125" customWidth="1"/>
    <col min="2" max="2" width="28.5546875" customWidth="1"/>
    <col min="3" max="3" width="6.21875" style="200" customWidth="1"/>
    <col min="4" max="4" width="12.5546875" style="204" bestFit="1" customWidth="1"/>
    <col min="5" max="5" width="10.21875" style="204" customWidth="1"/>
  </cols>
  <sheetData>
    <row r="1" spans="1:6" x14ac:dyDescent="0.2">
      <c r="A1" s="208"/>
      <c r="B1" s="208"/>
      <c r="C1" s="208"/>
      <c r="D1" s="211"/>
      <c r="E1" s="51" t="str">
        <f>'1 General'!C1</f>
        <v>Cobre</v>
      </c>
      <c r="F1" s="212"/>
    </row>
    <row r="2" spans="1:6" ht="18" x14ac:dyDescent="0.25">
      <c r="A2" s="393"/>
      <c r="B2" s="208"/>
      <c r="C2" s="208"/>
      <c r="D2" s="211"/>
      <c r="E2" s="305" t="s">
        <v>296</v>
      </c>
      <c r="F2" s="212"/>
    </row>
    <row r="3" spans="1:6" ht="15.75" x14ac:dyDescent="0.25">
      <c r="A3" s="69" t="s">
        <v>225</v>
      </c>
      <c r="B3" s="208"/>
      <c r="C3" s="208"/>
      <c r="D3" s="211"/>
      <c r="E3" s="236">
        <f>'1 General'!C3</f>
        <v>41955</v>
      </c>
      <c r="F3" s="212"/>
    </row>
    <row r="4" spans="1:6" x14ac:dyDescent="0.2">
      <c r="A4" s="212"/>
      <c r="B4" s="212"/>
      <c r="C4" s="213"/>
      <c r="D4" s="211"/>
      <c r="E4" s="211"/>
      <c r="F4" s="212"/>
    </row>
    <row r="5" spans="1:6" x14ac:dyDescent="0.2">
      <c r="A5" s="2" t="s">
        <v>240</v>
      </c>
      <c r="B5" s="212"/>
      <c r="C5" s="213"/>
      <c r="D5" s="248" t="str">
        <f>'3   Material'!C9</f>
        <v>Magnetite Tailings</v>
      </c>
      <c r="E5" s="248"/>
      <c r="F5" s="212"/>
    </row>
    <row r="6" spans="1:6" x14ac:dyDescent="0.2">
      <c r="A6" s="2"/>
      <c r="B6" s="208" t="s">
        <v>263</v>
      </c>
      <c r="C6" s="213"/>
      <c r="D6" s="251">
        <v>0</v>
      </c>
      <c r="E6" s="215"/>
      <c r="F6" s="212"/>
    </row>
    <row r="7" spans="1:6" x14ac:dyDescent="0.2">
      <c r="A7" s="208"/>
      <c r="B7" s="212" t="s">
        <v>3</v>
      </c>
      <c r="C7" s="213"/>
      <c r="D7" s="251">
        <f>'13   EarthSum'!K31</f>
        <v>873743.35232577717</v>
      </c>
      <c r="E7" s="215"/>
      <c r="F7" s="212"/>
    </row>
    <row r="8" spans="1:6" x14ac:dyDescent="0.2">
      <c r="A8" s="208"/>
      <c r="B8" s="212" t="s">
        <v>207</v>
      </c>
      <c r="C8" s="213"/>
      <c r="D8" s="251">
        <f>'14   Reveg'!E14</f>
        <v>56140.22603273578</v>
      </c>
      <c r="E8" s="215"/>
      <c r="F8" s="212"/>
    </row>
    <row r="9" spans="1:6" x14ac:dyDescent="0.2">
      <c r="A9" s="208"/>
      <c r="B9" s="212" t="s">
        <v>298</v>
      </c>
      <c r="C9" s="213"/>
      <c r="D9" s="251">
        <f>'15   Other'!F16</f>
        <v>85798.649160000001</v>
      </c>
      <c r="E9" s="215"/>
      <c r="F9" s="212"/>
    </row>
    <row r="10" spans="1:6" x14ac:dyDescent="0.2">
      <c r="A10" s="208"/>
      <c r="B10" s="202" t="s">
        <v>147</v>
      </c>
      <c r="C10" s="213"/>
      <c r="D10" s="257">
        <f>SUM(D6:D9)</f>
        <v>1015682.227518513</v>
      </c>
      <c r="E10" s="215"/>
      <c r="F10" s="212"/>
    </row>
    <row r="11" spans="1:6" x14ac:dyDescent="0.2">
      <c r="A11" s="208"/>
      <c r="B11" s="212"/>
      <c r="C11" s="213"/>
      <c r="D11" s="251"/>
      <c r="E11" s="215"/>
      <c r="F11" s="212"/>
    </row>
    <row r="12" spans="1:6" x14ac:dyDescent="0.2">
      <c r="A12" s="2" t="s">
        <v>58</v>
      </c>
      <c r="B12" s="212" t="s">
        <v>267</v>
      </c>
      <c r="C12" s="213">
        <f>'16   Sum'!C15</f>
        <v>3.7999999999999999E-2</v>
      </c>
      <c r="D12" s="251">
        <f t="shared" ref="D12:D17" si="0">$C12*D$10</f>
        <v>38595.92464570349</v>
      </c>
      <c r="E12" s="215"/>
      <c r="F12" s="212"/>
    </row>
    <row r="13" spans="1:6" x14ac:dyDescent="0.2">
      <c r="A13" s="208"/>
      <c r="B13" s="212" t="s">
        <v>299</v>
      </c>
      <c r="C13" s="213">
        <f>'16   Sum'!C16</f>
        <v>0.04</v>
      </c>
      <c r="D13" s="251">
        <f t="shared" si="0"/>
        <v>40627.28910074052</v>
      </c>
      <c r="E13" s="215"/>
      <c r="F13" s="212"/>
    </row>
    <row r="14" spans="1:6" x14ac:dyDescent="0.2">
      <c r="A14" s="208"/>
      <c r="B14" s="212" t="s">
        <v>269</v>
      </c>
      <c r="C14" s="213">
        <f>'16   Sum'!C17</f>
        <v>2.5000000000000001E-2</v>
      </c>
      <c r="D14" s="251">
        <f t="shared" si="0"/>
        <v>25392.055687962828</v>
      </c>
      <c r="E14" s="215"/>
      <c r="F14" s="212"/>
    </row>
    <row r="15" spans="1:6" x14ac:dyDescent="0.2">
      <c r="A15" s="208"/>
      <c r="B15" s="212" t="s">
        <v>270</v>
      </c>
      <c r="C15" s="213">
        <f>'16   Sum'!C18</f>
        <v>0.15</v>
      </c>
      <c r="D15" s="251">
        <f t="shared" si="0"/>
        <v>152352.33412777694</v>
      </c>
      <c r="E15" s="215"/>
      <c r="F15" s="212"/>
    </row>
    <row r="16" spans="1:6" x14ac:dyDescent="0.2">
      <c r="A16" s="208"/>
      <c r="B16" s="212" t="s">
        <v>300</v>
      </c>
      <c r="C16" s="213">
        <f>'16   Sum'!C19</f>
        <v>0.03</v>
      </c>
      <c r="D16" s="251">
        <f t="shared" si="0"/>
        <v>30470.466825555388</v>
      </c>
      <c r="E16" s="215"/>
      <c r="F16" s="212"/>
    </row>
    <row r="17" spans="1:6" x14ac:dyDescent="0.2">
      <c r="A17" s="208"/>
      <c r="B17" s="212" t="s">
        <v>146</v>
      </c>
      <c r="C17" s="213">
        <f>'16   Sum'!C20</f>
        <v>0</v>
      </c>
      <c r="D17" s="251">
        <f t="shared" si="0"/>
        <v>0</v>
      </c>
      <c r="E17" s="215"/>
      <c r="F17" s="212"/>
    </row>
    <row r="18" spans="1:6" x14ac:dyDescent="0.2">
      <c r="A18" s="208"/>
      <c r="B18" s="212" t="s">
        <v>66</v>
      </c>
      <c r="C18" s="213">
        <f>'16   Sum'!C21</f>
        <v>0.28300000000000003</v>
      </c>
      <c r="D18" s="251"/>
      <c r="E18" s="215"/>
      <c r="F18" s="212"/>
    </row>
    <row r="19" spans="1:6" x14ac:dyDescent="0.2">
      <c r="A19" s="208"/>
      <c r="B19" s="202" t="s">
        <v>148</v>
      </c>
      <c r="C19" s="213"/>
      <c r="D19" s="257">
        <f>SUM(D12:D17)</f>
        <v>287438.07038773916</v>
      </c>
      <c r="E19" s="215"/>
      <c r="F19" s="212"/>
    </row>
    <row r="20" spans="1:6" x14ac:dyDescent="0.2">
      <c r="A20" s="208"/>
      <c r="B20" s="6"/>
      <c r="C20" s="213"/>
      <c r="D20" s="251"/>
      <c r="E20" s="215"/>
      <c r="F20" s="212"/>
    </row>
    <row r="21" spans="1:6" x14ac:dyDescent="0.2">
      <c r="A21" s="2" t="s">
        <v>149</v>
      </c>
      <c r="B21" s="208" t="s">
        <v>150</v>
      </c>
      <c r="C21" s="213">
        <f>'16   Sum'!C24</f>
        <v>0</v>
      </c>
      <c r="D21" s="257">
        <f>(D$19+D10)*$C21</f>
        <v>0</v>
      </c>
      <c r="E21" s="215"/>
      <c r="F21" s="212"/>
    </row>
    <row r="22" spans="1:6" x14ac:dyDescent="0.2">
      <c r="A22" s="208"/>
      <c r="B22" s="209" t="s">
        <v>151</v>
      </c>
      <c r="C22" s="213"/>
      <c r="D22" s="251"/>
      <c r="E22" s="215"/>
      <c r="F22" s="212"/>
    </row>
    <row r="23" spans="1:6" x14ac:dyDescent="0.2">
      <c r="A23" s="208"/>
      <c r="B23" s="209"/>
      <c r="C23" s="213"/>
      <c r="D23" s="251"/>
      <c r="E23" s="215"/>
      <c r="F23" s="212"/>
    </row>
    <row r="24" spans="1:6" x14ac:dyDescent="0.2">
      <c r="A24" s="202" t="s">
        <v>340</v>
      </c>
      <c r="B24" s="208"/>
      <c r="C24" s="213"/>
      <c r="D24" s="257">
        <f>D21+D19+D10</f>
        <v>1303120.2979062521</v>
      </c>
      <c r="E24" s="215"/>
      <c r="F24" s="212"/>
    </row>
    <row r="25" spans="1:6" x14ac:dyDescent="0.2">
      <c r="A25" s="2"/>
      <c r="B25" s="212"/>
      <c r="C25" s="213"/>
      <c r="D25" s="215"/>
      <c r="E25" s="214"/>
      <c r="F25" s="212"/>
    </row>
    <row r="26" spans="1:6" x14ac:dyDescent="0.2">
      <c r="A26" s="208" t="s">
        <v>353</v>
      </c>
      <c r="B26" s="3"/>
    </row>
    <row r="27" spans="1:6" x14ac:dyDescent="0.2">
      <c r="A27" s="74"/>
      <c r="B27" s="78"/>
    </row>
    <row r="28" spans="1:6" x14ac:dyDescent="0.2">
      <c r="A28" s="10"/>
      <c r="B28" s="3"/>
    </row>
    <row r="29" spans="1:6" x14ac:dyDescent="0.2">
      <c r="A29" s="10"/>
      <c r="B29" s="3"/>
    </row>
  </sheetData>
  <phoneticPr fontId="14" type="noConversion"/>
  <printOptions horizontalCentered="1"/>
  <pageMargins left="0.33" right="0.3" top="0.5" bottom="0.25" header="0.5" footer="0.5"/>
  <pageSetup orientation="portrait" r:id="rId1"/>
  <headerFooter alignWithMargins="0">
    <oddFooter>&amp;C&amp;F
&amp;   Mag Tails Sheet 17
&amp;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28"/>
  <sheetViews>
    <sheetView defaultGridColor="0" view="pageBreakPreview" colorId="22" zoomScale="85" zoomScaleNormal="100" workbookViewId="0">
      <pane xSplit="2" topLeftCell="C1" activePane="topRight" state="frozen"/>
      <selection activeCell="C41" sqref="C41"/>
      <selection pane="topRight" activeCell="C41" sqref="C41"/>
    </sheetView>
  </sheetViews>
  <sheetFormatPr defaultRowHeight="15" x14ac:dyDescent="0.2"/>
  <cols>
    <col min="1" max="1" width="7.77734375" customWidth="1"/>
    <col min="2" max="2" width="29.44140625" bestFit="1" customWidth="1"/>
    <col min="3" max="3" width="14.21875" bestFit="1" customWidth="1"/>
    <col min="4" max="4" width="10.88671875" customWidth="1"/>
  </cols>
  <sheetData>
    <row r="1" spans="1:4" x14ac:dyDescent="0.2">
      <c r="A1" s="62"/>
      <c r="B1" s="62"/>
      <c r="D1" s="51" t="str">
        <f>'1 General'!C1</f>
        <v>Cobre</v>
      </c>
    </row>
    <row r="2" spans="1:4" ht="18" x14ac:dyDescent="0.25">
      <c r="A2" s="393"/>
      <c r="B2" s="62"/>
      <c r="D2" s="305" t="s">
        <v>297</v>
      </c>
    </row>
    <row r="3" spans="1:4" ht="15.75" x14ac:dyDescent="0.25">
      <c r="A3" s="124" t="s">
        <v>216</v>
      </c>
      <c r="B3" s="62"/>
      <c r="D3" s="236">
        <f>'1 General'!C3</f>
        <v>41955</v>
      </c>
    </row>
    <row r="7" spans="1:4" x14ac:dyDescent="0.2">
      <c r="A7" s="35"/>
      <c r="B7" s="258" t="s">
        <v>217</v>
      </c>
      <c r="C7" s="258" t="str">
        <f>'17 Detailed Sum'!D5</f>
        <v>Magnetite Tailings</v>
      </c>
      <c r="D7" s="258"/>
    </row>
    <row r="8" spans="1:4" x14ac:dyDescent="0.2">
      <c r="A8" s="35"/>
      <c r="B8" s="235"/>
      <c r="C8" s="235"/>
    </row>
    <row r="9" spans="1:4" x14ac:dyDescent="0.2">
      <c r="B9" s="212"/>
      <c r="C9" s="235"/>
    </row>
    <row r="10" spans="1:4" x14ac:dyDescent="0.2">
      <c r="B10" s="237"/>
      <c r="C10" s="259"/>
    </row>
    <row r="11" spans="1:4" x14ac:dyDescent="0.2">
      <c r="B11" s="238" t="s">
        <v>218</v>
      </c>
      <c r="C11" s="301">
        <f>ROUND(SUM('14   Reveg'!C11:C12),1)</f>
        <v>62.5</v>
      </c>
      <c r="D11" s="301"/>
    </row>
    <row r="12" spans="1:4" x14ac:dyDescent="0.2">
      <c r="B12" s="239" t="s">
        <v>6</v>
      </c>
      <c r="C12" s="259" t="s">
        <v>219</v>
      </c>
      <c r="D12" s="259"/>
    </row>
    <row r="13" spans="1:4" x14ac:dyDescent="0.2">
      <c r="A13" s="264"/>
      <c r="B13" s="238" t="s">
        <v>349</v>
      </c>
      <c r="C13" s="302">
        <f>('17 Detailed Sum'!D7-(C14)/('17 Detailed Sum'!$C$18+1))*('17 Detailed Sum'!$C$18+1)</f>
        <v>991340.56467308174</v>
      </c>
      <c r="D13" s="302"/>
    </row>
    <row r="14" spans="1:4" x14ac:dyDescent="0.2">
      <c r="B14" s="238" t="s">
        <v>348</v>
      </c>
      <c r="C14" s="302">
        <f>SUM('13   EarthSum'!K10,'13   EarthSum'!K11)*('17 Detailed Sum'!$C$18+1)</f>
        <v>129672.15636089037</v>
      </c>
      <c r="D14" s="302"/>
    </row>
    <row r="15" spans="1:4" x14ac:dyDescent="0.2">
      <c r="B15" s="238" t="s">
        <v>220</v>
      </c>
      <c r="C15" s="302">
        <f>('17 Detailed Sum'!D8)*('17 Detailed Sum'!$C$18+1)</f>
        <v>72027.91</v>
      </c>
      <c r="D15" s="302"/>
    </row>
    <row r="16" spans="1:4" x14ac:dyDescent="0.2">
      <c r="A16" s="281"/>
      <c r="B16" s="238" t="s">
        <v>341</v>
      </c>
      <c r="C16" s="302">
        <f>'17 Detailed Sum'!D9*('17 Detailed Sum'!$C$18+1)</f>
        <v>110079.66687228</v>
      </c>
      <c r="D16" s="302"/>
    </row>
    <row r="17" spans="1:4" s="35" customFormat="1" x14ac:dyDescent="0.2">
      <c r="B17" s="262" t="s">
        <v>221</v>
      </c>
      <c r="C17" s="302">
        <f>SUM(C13:C16)</f>
        <v>1303120.2979062521</v>
      </c>
      <c r="D17" s="302"/>
    </row>
    <row r="18" spans="1:4" x14ac:dyDescent="0.2">
      <c r="B18" s="238" t="s">
        <v>222</v>
      </c>
      <c r="C18" s="302">
        <f>C17/C11</f>
        <v>20849.924766500033</v>
      </c>
      <c r="D18" s="303"/>
    </row>
    <row r="19" spans="1:4" x14ac:dyDescent="0.2">
      <c r="B19" s="240"/>
      <c r="C19" s="284"/>
      <c r="D19" s="285"/>
    </row>
    <row r="20" spans="1:4" x14ac:dyDescent="0.2">
      <c r="B20" s="212"/>
      <c r="C20" s="285"/>
      <c r="D20" s="286"/>
    </row>
    <row r="21" spans="1:4" x14ac:dyDescent="0.2">
      <c r="B21" s="212"/>
      <c r="C21" s="285"/>
      <c r="D21" s="285"/>
    </row>
    <row r="22" spans="1:4" x14ac:dyDescent="0.2">
      <c r="B22" s="212" t="s">
        <v>231</v>
      </c>
      <c r="C22" s="289">
        <f>C13/C$11</f>
        <v>15861.449034769308</v>
      </c>
      <c r="D22" s="287"/>
    </row>
    <row r="23" spans="1:4" x14ac:dyDescent="0.2">
      <c r="B23" s="212" t="s">
        <v>244</v>
      </c>
      <c r="C23" s="289">
        <f>C14/C$11</f>
        <v>2074.7545017742459</v>
      </c>
      <c r="D23" s="288"/>
    </row>
    <row r="24" spans="1:4" x14ac:dyDescent="0.2">
      <c r="B24" s="202" t="s">
        <v>232</v>
      </c>
      <c r="C24" s="289">
        <f>'17 Detailed Sum'!D7*('17 Detailed Sum'!$C$18+1)/C$11</f>
        <v>17936.203536543551</v>
      </c>
      <c r="D24" s="289"/>
    </row>
    <row r="25" spans="1:4" x14ac:dyDescent="0.2">
      <c r="B25" s="212" t="s">
        <v>233</v>
      </c>
      <c r="C25" s="289">
        <f>'17 Detailed Sum'!D8*('17 Detailed Sum'!$C$18+1)/C$11</f>
        <v>1152.4465600000001</v>
      </c>
      <c r="D25" s="289"/>
    </row>
    <row r="26" spans="1:4" x14ac:dyDescent="0.2">
      <c r="B26" s="212" t="s">
        <v>234</v>
      </c>
      <c r="C26" s="289">
        <f>'17 Detailed Sum'!D9*('17 Detailed Sum'!$C$18+1)/C$11</f>
        <v>1761.27466995648</v>
      </c>
      <c r="D26" s="289"/>
    </row>
    <row r="27" spans="1:4" x14ac:dyDescent="0.2">
      <c r="C27" s="212"/>
    </row>
    <row r="28" spans="1:4" x14ac:dyDescent="0.2">
      <c r="A28" s="212" t="s">
        <v>352</v>
      </c>
      <c r="B28" s="212"/>
      <c r="C28" s="263"/>
    </row>
  </sheetData>
  <phoneticPr fontId="14" type="noConversion"/>
  <pageMargins left="0.7" right="0.7" top="0.75" bottom="0.75" header="0.3" footer="0.3"/>
  <pageSetup orientation="portrait" r:id="rId1"/>
  <headerFooter alignWithMargins="0">
    <oddFooter>&amp;C&amp;F
&amp;   Mag Tails Sheet 18
&amp;
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5:C10"/>
  <sheetViews>
    <sheetView defaultGridColor="0" topLeftCell="A53" colorId="22" workbookViewId="0">
      <selection activeCell="A8" sqref="A8"/>
    </sheetView>
  </sheetViews>
  <sheetFormatPr defaultColWidth="8.77734375" defaultRowHeight="15" x14ac:dyDescent="0.2"/>
  <cols>
    <col min="1" max="16384" width="8.77734375" style="35"/>
  </cols>
  <sheetData>
    <row r="5" spans="1:3" x14ac:dyDescent="0.2">
      <c r="C5" s="267"/>
    </row>
    <row r="6" spans="1:3" x14ac:dyDescent="0.2">
      <c r="C6" s="16"/>
    </row>
    <row r="7" spans="1:3" x14ac:dyDescent="0.2">
      <c r="C7" s="16"/>
    </row>
    <row r="8" spans="1:3" x14ac:dyDescent="0.2">
      <c r="A8" s="268"/>
    </row>
    <row r="9" spans="1:3" x14ac:dyDescent="0.2">
      <c r="A9" s="269"/>
    </row>
    <row r="10" spans="1:3" x14ac:dyDescent="0.2">
      <c r="A10" s="269"/>
    </row>
  </sheetData>
  <customSheetViews>
    <customSheetView guid="{022582FA-9605-4A7F-B587-E5659EE41F6B}" showRuler="0">
      <selection activeCell="G3" sqref="G3"/>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howRuler="0">
      <selection activeCell="G3" sqref="G3"/>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17" type="noConversion"/>
  <printOptions horizontalCentered="1"/>
  <pageMargins left="0.75" right="0.75" top="1" bottom="1" header="0.5" footer="0.5"/>
  <pageSetup scale="75" orientation="landscape" r:id="rId3"/>
  <headerFooter alignWithMargins="0">
    <oddFooter>&amp;C&amp;F&amp;A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3:C10"/>
  <sheetViews>
    <sheetView defaultGridColor="0" colorId="22" workbookViewId="0">
      <selection activeCell="A8" sqref="A8"/>
    </sheetView>
  </sheetViews>
  <sheetFormatPr defaultColWidth="7.21875" defaultRowHeight="12.75" x14ac:dyDescent="0.2"/>
  <cols>
    <col min="1" max="16384" width="7.21875" style="82"/>
  </cols>
  <sheetData>
    <row r="3" spans="1:3" ht="26.25" x14ac:dyDescent="0.4">
      <c r="B3" s="223" t="s">
        <v>210</v>
      </c>
    </row>
    <row r="5" spans="1:3" ht="15" x14ac:dyDescent="0.2">
      <c r="C5" s="187"/>
    </row>
    <row r="6" spans="1:3" ht="15" x14ac:dyDescent="0.2">
      <c r="C6" s="187"/>
    </row>
    <row r="7" spans="1:3" ht="15" x14ac:dyDescent="0.2">
      <c r="C7" s="187"/>
    </row>
    <row r="8" spans="1:3" ht="15" x14ac:dyDescent="0.2">
      <c r="A8"/>
    </row>
    <row r="9" spans="1:3" ht="15" x14ac:dyDescent="0.2">
      <c r="A9"/>
    </row>
    <row r="10" spans="1:3" ht="15" x14ac:dyDescent="0.2">
      <c r="A10"/>
    </row>
  </sheetData>
  <customSheetViews>
    <customSheetView guid="{022582FA-9605-4A7F-B587-E5659EE41F6B}" showRuler="0">
      <selection activeCell="G3" sqref="G3"/>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howRuler="0">
      <selection activeCell="G3" sqref="G3"/>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17" type="noConversion"/>
  <printOptions horizontalCentered="1"/>
  <pageMargins left="0.75" right="0.75" top="1" bottom="1" header="0.5" footer="0.5"/>
  <pageSetup scale="75" orientation="landscape" r:id="rId3"/>
  <headerFooter alignWithMargins="0">
    <oddFooter>&amp;C&amp;F&amp;A (Page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15"/>
  <sheetViews>
    <sheetView defaultGridColor="0" colorId="22" zoomScale="55" zoomScaleNormal="55" zoomScaleSheetLayoutView="100" workbookViewId="0">
      <selection activeCell="D21" sqref="D21"/>
    </sheetView>
  </sheetViews>
  <sheetFormatPr defaultColWidth="7.21875" defaultRowHeight="12.75" x14ac:dyDescent="0.2"/>
  <cols>
    <col min="1" max="1" width="20.21875" style="82" customWidth="1"/>
    <col min="2" max="2" width="15.77734375" style="82" customWidth="1"/>
    <col min="3" max="3" width="23.21875" style="82" customWidth="1"/>
    <col min="4" max="4" width="8.6640625" style="82" customWidth="1"/>
    <col min="5" max="28" width="10.33203125" style="82" customWidth="1"/>
    <col min="29" max="16384" width="7.21875" style="82"/>
  </cols>
  <sheetData>
    <row r="1" spans="1:31" ht="15" x14ac:dyDescent="0.2">
      <c r="A1" s="62"/>
      <c r="B1" s="103"/>
      <c r="C1" s="103"/>
      <c r="D1" s="103"/>
      <c r="E1" s="163"/>
      <c r="F1" s="103"/>
      <c r="G1" s="103"/>
      <c r="H1" s="103"/>
      <c r="J1" s="106" t="str">
        <f>'1 General'!$C$1</f>
        <v>Cobre</v>
      </c>
      <c r="K1" s="83"/>
      <c r="L1" s="83"/>
      <c r="M1" s="83"/>
      <c r="N1" s="83"/>
      <c r="P1" s="83"/>
      <c r="Q1" s="83"/>
      <c r="R1" s="83"/>
      <c r="S1" s="83"/>
      <c r="T1" s="83"/>
      <c r="U1" s="83"/>
      <c r="V1" s="83"/>
      <c r="W1" s="83"/>
      <c r="X1" s="83"/>
      <c r="Y1" s="83"/>
      <c r="Z1" s="83"/>
      <c r="AA1" s="83"/>
      <c r="AB1" s="83"/>
      <c r="AC1" s="81"/>
      <c r="AD1" s="81"/>
      <c r="AE1" s="81"/>
    </row>
    <row r="2" spans="1:31" ht="15" x14ac:dyDescent="0.2">
      <c r="A2" s="62"/>
      <c r="B2" s="103"/>
      <c r="C2" s="103"/>
      <c r="D2" s="103"/>
      <c r="E2" s="103"/>
      <c r="F2" s="103"/>
      <c r="G2" s="103"/>
      <c r="H2" s="103"/>
      <c r="J2" s="273" t="s">
        <v>301</v>
      </c>
      <c r="K2" s="83"/>
      <c r="L2" s="83"/>
      <c r="M2" s="83"/>
      <c r="N2" s="83"/>
      <c r="P2" s="83"/>
      <c r="Q2" s="83"/>
      <c r="R2" s="83"/>
      <c r="S2" s="83"/>
      <c r="T2" s="83"/>
      <c r="U2" s="83"/>
      <c r="V2" s="83"/>
      <c r="W2" s="83"/>
      <c r="X2" s="83"/>
      <c r="Y2" s="83"/>
      <c r="Z2" s="83"/>
      <c r="AA2" s="83"/>
      <c r="AB2" s="83"/>
      <c r="AC2" s="81"/>
      <c r="AD2" s="81"/>
      <c r="AE2" s="81"/>
    </row>
    <row r="3" spans="1:31" x14ac:dyDescent="0.2">
      <c r="A3" s="104" t="s">
        <v>157</v>
      </c>
      <c r="B3" s="104"/>
      <c r="C3" s="104"/>
      <c r="D3" s="104"/>
      <c r="E3" s="103"/>
      <c r="F3" s="103"/>
      <c r="G3" s="103"/>
      <c r="H3" s="103"/>
      <c r="J3" s="107">
        <f>'1 General'!$C$3</f>
        <v>41955</v>
      </c>
      <c r="K3" s="83"/>
      <c r="L3" s="83"/>
      <c r="M3" s="83"/>
      <c r="N3" s="83"/>
      <c r="P3" s="83"/>
      <c r="Q3" s="83"/>
      <c r="R3" s="83"/>
      <c r="S3" s="83"/>
      <c r="T3" s="83"/>
      <c r="U3" s="83"/>
      <c r="V3" s="83"/>
      <c r="W3" s="83"/>
      <c r="X3" s="83"/>
      <c r="Y3" s="83"/>
      <c r="Z3" s="83"/>
      <c r="AA3" s="83"/>
      <c r="AB3" s="83"/>
      <c r="AC3" s="81"/>
      <c r="AD3" s="81"/>
      <c r="AE3" s="81"/>
    </row>
    <row r="4" spans="1:31" ht="26.25" x14ac:dyDescent="0.4">
      <c r="A4" s="223"/>
      <c r="B4" s="104"/>
      <c r="C4" s="104"/>
      <c r="D4" s="104"/>
      <c r="E4" s="103"/>
      <c r="F4" s="103"/>
      <c r="G4" s="103"/>
      <c r="H4" s="103"/>
      <c r="J4" s="83"/>
      <c r="K4" s="83"/>
      <c r="L4" s="83"/>
      <c r="M4" s="83"/>
      <c r="N4" s="83"/>
      <c r="O4" s="107"/>
      <c r="P4" s="83"/>
      <c r="Q4" s="83"/>
      <c r="R4" s="83"/>
      <c r="S4" s="83"/>
      <c r="T4" s="83"/>
      <c r="U4" s="83"/>
      <c r="V4" s="83"/>
      <c r="W4" s="83"/>
      <c r="X4" s="83"/>
      <c r="Y4" s="83"/>
      <c r="Z4" s="83"/>
      <c r="AA4" s="83"/>
      <c r="AB4" s="83"/>
      <c r="AC4" s="81"/>
      <c r="AD4" s="81"/>
      <c r="AE4" s="81"/>
    </row>
    <row r="5" spans="1:31" ht="15" x14ac:dyDescent="0.2">
      <c r="A5" s="103"/>
      <c r="B5" s="103"/>
      <c r="C5" s="16"/>
      <c r="D5" s="103"/>
      <c r="E5" s="103"/>
      <c r="F5" s="103"/>
      <c r="G5" s="103"/>
      <c r="H5" s="103"/>
      <c r="I5" s="98"/>
      <c r="J5" s="83"/>
      <c r="K5" s="83"/>
      <c r="L5" s="83"/>
      <c r="M5" s="83"/>
      <c r="N5" s="83"/>
      <c r="O5" s="83"/>
      <c r="P5" s="83"/>
      <c r="Q5" s="83"/>
      <c r="R5" s="83"/>
      <c r="S5" s="83"/>
      <c r="T5" s="83"/>
      <c r="U5" s="83"/>
      <c r="V5" s="83"/>
      <c r="W5" s="83"/>
      <c r="X5" s="83"/>
      <c r="Y5" s="83"/>
      <c r="Z5" s="83"/>
      <c r="AA5" s="83"/>
      <c r="AB5" s="83"/>
      <c r="AC5" s="81"/>
      <c r="AD5" s="81"/>
      <c r="AE5" s="81"/>
    </row>
    <row r="6" spans="1:31" ht="15" x14ac:dyDescent="0.2">
      <c r="A6" s="98" t="s">
        <v>158</v>
      </c>
      <c r="B6" s="103" t="s">
        <v>159</v>
      </c>
      <c r="C6" s="16" t="s">
        <v>45</v>
      </c>
      <c r="D6" s="103"/>
      <c r="E6" s="103"/>
      <c r="F6" s="103"/>
      <c r="G6" s="103"/>
      <c r="H6" s="103"/>
      <c r="I6" s="98"/>
      <c r="J6" s="83"/>
      <c r="K6" s="83"/>
      <c r="L6" s="83"/>
      <c r="M6" s="83"/>
      <c r="N6" s="83"/>
      <c r="O6" s="83"/>
      <c r="P6" s="83"/>
      <c r="Q6" s="83"/>
      <c r="R6" s="83"/>
      <c r="S6" s="83"/>
      <c r="T6" s="83"/>
      <c r="U6" s="83"/>
      <c r="V6" s="83"/>
      <c r="W6" s="83"/>
      <c r="X6" s="83"/>
      <c r="Y6" s="83"/>
      <c r="Z6" s="83"/>
      <c r="AA6" s="83"/>
      <c r="AB6" s="83"/>
      <c r="AC6" s="81"/>
      <c r="AD6" s="81"/>
      <c r="AE6" s="81"/>
    </row>
    <row r="7" spans="1:31" ht="15" x14ac:dyDescent="0.2">
      <c r="A7" s="103"/>
      <c r="B7" s="103"/>
      <c r="C7" s="16"/>
      <c r="D7" s="103"/>
      <c r="E7" s="103"/>
      <c r="F7" s="103"/>
      <c r="G7" s="103"/>
      <c r="H7" s="103"/>
      <c r="I7" s="98"/>
      <c r="J7" s="83"/>
      <c r="K7" s="83"/>
      <c r="L7" s="83"/>
      <c r="M7" s="83"/>
      <c r="N7" s="83"/>
      <c r="O7" s="83"/>
      <c r="P7" s="83"/>
      <c r="Q7" s="83"/>
      <c r="R7" s="83"/>
      <c r="S7" s="83"/>
      <c r="T7" s="83"/>
      <c r="U7" s="83"/>
      <c r="V7" s="83"/>
      <c r="W7" s="83"/>
      <c r="X7" s="83"/>
      <c r="Y7" s="83"/>
      <c r="Z7" s="83"/>
      <c r="AA7" s="83"/>
      <c r="AB7" s="83"/>
      <c r="AC7" s="81"/>
      <c r="AD7" s="81"/>
      <c r="AE7" s="81"/>
    </row>
    <row r="8" spans="1:31" x14ac:dyDescent="0.2">
      <c r="A8" s="273" t="s">
        <v>160</v>
      </c>
      <c r="B8" s="103" t="s">
        <v>161</v>
      </c>
      <c r="C8" s="103"/>
      <c r="D8" s="103"/>
      <c r="E8" s="103"/>
      <c r="F8" s="103"/>
      <c r="G8" s="103"/>
      <c r="H8" s="103"/>
      <c r="I8" s="98"/>
      <c r="J8" s="83"/>
      <c r="K8" s="83"/>
      <c r="L8" s="83"/>
      <c r="M8" s="83"/>
      <c r="N8" s="83"/>
      <c r="O8" s="83"/>
      <c r="P8" s="83"/>
      <c r="Q8" s="83"/>
      <c r="R8" s="83"/>
      <c r="S8" s="83"/>
      <c r="T8" s="83"/>
      <c r="U8" s="83"/>
      <c r="V8" s="83"/>
      <c r="W8" s="83"/>
      <c r="X8" s="83"/>
      <c r="Y8" s="83"/>
      <c r="Z8" s="83"/>
      <c r="AA8" s="83"/>
      <c r="AB8" s="83"/>
      <c r="AC8" s="81"/>
      <c r="AD8" s="81"/>
      <c r="AE8" s="81"/>
    </row>
    <row r="9" spans="1:31" ht="15" x14ac:dyDescent="0.2">
      <c r="A9" s="16"/>
      <c r="B9" s="103"/>
      <c r="C9" s="83"/>
      <c r="D9" s="103"/>
      <c r="E9" s="103"/>
      <c r="F9" s="103"/>
      <c r="G9" s="103"/>
      <c r="H9" s="103"/>
      <c r="I9" s="98"/>
      <c r="J9" s="83"/>
      <c r="K9" s="83"/>
      <c r="L9" s="83"/>
      <c r="M9" s="83"/>
      <c r="N9" s="83"/>
      <c r="O9" s="83"/>
      <c r="P9" s="83"/>
      <c r="Q9" s="83"/>
      <c r="R9" s="83"/>
      <c r="S9" s="83"/>
      <c r="T9" s="83"/>
      <c r="U9" s="83"/>
      <c r="V9" s="83"/>
      <c r="W9" s="83"/>
      <c r="X9" s="83"/>
      <c r="Y9" s="83"/>
      <c r="Z9" s="83"/>
      <c r="AA9" s="83"/>
      <c r="AB9" s="83"/>
      <c r="AC9" s="81"/>
      <c r="AD9" s="81"/>
      <c r="AE9" s="81"/>
    </row>
    <row r="10" spans="1:31" ht="15" x14ac:dyDescent="0.2">
      <c r="A10" s="16"/>
      <c r="B10" s="83"/>
      <c r="C10" s="83"/>
      <c r="D10" s="83"/>
      <c r="E10" s="83" t="s">
        <v>162</v>
      </c>
      <c r="F10" s="83"/>
      <c r="G10" s="83"/>
      <c r="H10" s="83"/>
      <c r="I10" s="83"/>
      <c r="J10" s="83"/>
      <c r="K10" s="83"/>
      <c r="L10" s="83"/>
      <c r="M10" s="83"/>
      <c r="N10" s="83"/>
      <c r="O10" s="83"/>
      <c r="P10" s="83"/>
      <c r="Q10" s="83"/>
      <c r="R10" s="83"/>
      <c r="S10" s="83"/>
      <c r="T10" s="83"/>
      <c r="U10" s="83"/>
      <c r="V10" s="83"/>
      <c r="W10" s="83"/>
      <c r="X10" s="83"/>
      <c r="Y10" s="83"/>
      <c r="Z10" s="83"/>
      <c r="AA10" s="83"/>
      <c r="AB10" s="83"/>
      <c r="AC10" s="81"/>
      <c r="AD10" s="81"/>
      <c r="AE10" s="81"/>
    </row>
    <row r="11" spans="1:31" x14ac:dyDescent="0.2">
      <c r="A11" s="83" t="s">
        <v>91</v>
      </c>
      <c r="B11" s="83" t="s">
        <v>116</v>
      </c>
      <c r="C11" s="83" t="s">
        <v>117</v>
      </c>
      <c r="D11" s="83" t="s">
        <v>20</v>
      </c>
      <c r="E11" s="83">
        <v>2</v>
      </c>
      <c r="F11" s="83">
        <f>E11+1</f>
        <v>3</v>
      </c>
      <c r="G11" s="83">
        <f t="shared" ref="G11:AB11" si="0">F11+1</f>
        <v>4</v>
      </c>
      <c r="H11" s="83">
        <f t="shared" si="0"/>
        <v>5</v>
      </c>
      <c r="I11" s="83">
        <f t="shared" si="0"/>
        <v>6</v>
      </c>
      <c r="J11" s="83">
        <f t="shared" si="0"/>
        <v>7</v>
      </c>
      <c r="K11" s="83">
        <f t="shared" si="0"/>
        <v>8</v>
      </c>
      <c r="L11" s="83">
        <f t="shared" si="0"/>
        <v>9</v>
      </c>
      <c r="M11" s="83">
        <f t="shared" si="0"/>
        <v>10</v>
      </c>
      <c r="N11" s="83">
        <f t="shared" si="0"/>
        <v>11</v>
      </c>
      <c r="O11" s="83">
        <f t="shared" si="0"/>
        <v>12</v>
      </c>
      <c r="P11" s="83">
        <f t="shared" si="0"/>
        <v>13</v>
      </c>
      <c r="Q11" s="83">
        <f t="shared" si="0"/>
        <v>14</v>
      </c>
      <c r="R11" s="83">
        <f t="shared" si="0"/>
        <v>15</v>
      </c>
      <c r="S11" s="83">
        <f t="shared" si="0"/>
        <v>16</v>
      </c>
      <c r="T11" s="83">
        <f t="shared" si="0"/>
        <v>17</v>
      </c>
      <c r="U11" s="83">
        <f t="shared" si="0"/>
        <v>18</v>
      </c>
      <c r="V11" s="83">
        <f t="shared" si="0"/>
        <v>19</v>
      </c>
      <c r="W11" s="83">
        <f t="shared" si="0"/>
        <v>20</v>
      </c>
      <c r="X11" s="83">
        <f t="shared" si="0"/>
        <v>21</v>
      </c>
      <c r="Y11" s="83">
        <f t="shared" si="0"/>
        <v>22</v>
      </c>
      <c r="Z11" s="83">
        <f t="shared" si="0"/>
        <v>23</v>
      </c>
      <c r="AA11" s="83">
        <f t="shared" si="0"/>
        <v>24</v>
      </c>
      <c r="AB11" s="83">
        <f t="shared" si="0"/>
        <v>25</v>
      </c>
      <c r="AC11" s="81"/>
      <c r="AD11" s="81"/>
      <c r="AE11" s="81"/>
    </row>
    <row r="12" spans="1:31" x14ac:dyDescent="0.2">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1"/>
      <c r="AD12" s="81"/>
      <c r="AE12" s="81"/>
    </row>
    <row r="13" spans="1:31" ht="15" x14ac:dyDescent="0.2">
      <c r="A13" s="102"/>
      <c r="B13" s="83"/>
      <c r="C13" s="83"/>
      <c r="D13" s="83"/>
      <c r="E13" s="101"/>
      <c r="F13" s="83"/>
      <c r="G13" s="83"/>
      <c r="H13" s="83"/>
      <c r="I13" s="83"/>
      <c r="J13" s="83"/>
      <c r="K13" s="83"/>
      <c r="L13" s="83"/>
      <c r="M13" s="83"/>
      <c r="N13" s="83"/>
      <c r="O13" s="83"/>
      <c r="P13" s="83"/>
      <c r="Q13" s="83"/>
      <c r="R13" s="83"/>
      <c r="S13" s="83"/>
      <c r="T13" s="83"/>
      <c r="U13" s="83"/>
      <c r="V13" s="83"/>
      <c r="W13" s="83"/>
      <c r="X13" s="83"/>
      <c r="Y13" s="83"/>
      <c r="Z13" s="83"/>
      <c r="AA13" s="83"/>
      <c r="AB13" s="83"/>
      <c r="AC13" s="81"/>
      <c r="AD13" s="81"/>
      <c r="AE13" s="81"/>
    </row>
    <row r="14" spans="1:31" x14ac:dyDescent="0.2">
      <c r="A14" s="293" t="str">
        <f>'4   Earthwork'!B15</f>
        <v>Haul cover soil</v>
      </c>
      <c r="B14" s="293" t="str">
        <f>'4   Earthwork'!C15</f>
        <v>North OB Stockpile, OB-5 Stockpile</v>
      </c>
      <c r="C14" s="293" t="str">
        <f>'4   Earthwork'!D15</f>
        <v xml:space="preserve">Magnetite Tailings Top </v>
      </c>
      <c r="D14" s="293" t="str">
        <f>'3   Material'!G15</f>
        <v>777F</v>
      </c>
      <c r="E14" s="294">
        <f>'9   Trucks'!$AI13*'9   Trucks'!$L13*'10   Loader'!$F10*E$11/'9   Trucks'!$F13</f>
        <v>672.05362046441485</v>
      </c>
      <c r="F14" s="294">
        <f>'9   Trucks'!$AI13*'9   Trucks'!$L13*'10   Loader'!$F10*F$11/'9   Trucks'!$F13</f>
        <v>1008.0804306966222</v>
      </c>
      <c r="G14" s="294">
        <f>'9   Trucks'!$AI13*'9   Trucks'!$L13*'10   Loader'!$F10*G$11/'9   Trucks'!$F13</f>
        <v>1344.1072409288297</v>
      </c>
      <c r="H14" s="294">
        <f>'9   Trucks'!$AI13*'9   Trucks'!$L13*'10   Loader'!$F10*H$11/'9   Trucks'!$F13</f>
        <v>1680.134051161037</v>
      </c>
      <c r="I14" s="294">
        <f>'9   Trucks'!$AI13*'9   Trucks'!$L13*'10   Loader'!$F10*I$11/'9   Trucks'!$F13</f>
        <v>2016.1608613932444</v>
      </c>
      <c r="J14" s="294">
        <f>'9   Trucks'!$AI13*'9   Trucks'!$L13*'10   Loader'!$F10*J$11/'9   Trucks'!$F13</f>
        <v>2352.1876716254519</v>
      </c>
      <c r="K14" s="294">
        <f>'9   Trucks'!$AI13*'9   Trucks'!$L13*'10   Loader'!$F10*K$11/'9   Trucks'!$F13</f>
        <v>2688.2144818576594</v>
      </c>
      <c r="L14" s="294">
        <f>'9   Trucks'!$AI13*'9   Trucks'!$L13*'10   Loader'!$F10*L$11/'9   Trucks'!$F13</f>
        <v>3024.2412920898664</v>
      </c>
      <c r="M14" s="294">
        <f>'9   Trucks'!$AI13*'9   Trucks'!$L13*'10   Loader'!$F10*M$11/'9   Trucks'!$F13</f>
        <v>3360.2681023220739</v>
      </c>
      <c r="N14" s="294">
        <f>'9   Trucks'!$AI13*'9   Trucks'!$L13*'10   Loader'!$F10*N$11/'9   Trucks'!$F13</f>
        <v>3696.2949125542814</v>
      </c>
      <c r="O14" s="294">
        <f>'9   Trucks'!$AI13*'9   Trucks'!$L13*'10   Loader'!$F10*O$11/'9   Trucks'!$F13</f>
        <v>4032.3217227864889</v>
      </c>
      <c r="P14" s="294">
        <f>'9   Trucks'!$AI13*'9   Trucks'!$L13*'10   Loader'!$F10*P$11/'9   Trucks'!$F13</f>
        <v>4368.3485330186959</v>
      </c>
      <c r="Q14" s="294">
        <f>'9   Trucks'!$AI13*'9   Trucks'!$L13*'10   Loader'!$F10*Q$11/'9   Trucks'!$F13</f>
        <v>4704.3753432509038</v>
      </c>
      <c r="R14" s="294">
        <f>'9   Trucks'!$AI13*'9   Trucks'!$L13*'10   Loader'!$F10*R$11/'9   Trucks'!$F13</f>
        <v>5040.4021534831109</v>
      </c>
      <c r="S14" s="294">
        <f>'9   Trucks'!$AI13*'9   Trucks'!$L13*'10   Loader'!$F10*S$11/'9   Trucks'!$F13</f>
        <v>5376.4289637153188</v>
      </c>
      <c r="T14" s="294">
        <f>'9   Trucks'!$AI13*'9   Trucks'!$L13*'10   Loader'!$F10*T$11/'9   Trucks'!$F13</f>
        <v>5712.4557739475258</v>
      </c>
      <c r="U14" s="294">
        <f>'9   Trucks'!$AI13*'9   Trucks'!$L13*'10   Loader'!$F10*U$11/'9   Trucks'!$F13</f>
        <v>6048.4825841797328</v>
      </c>
      <c r="V14" s="294">
        <f>'9   Trucks'!$AI13*'9   Trucks'!$L13*'10   Loader'!$F10*V$11/'9   Trucks'!$F13</f>
        <v>6384.5093944119408</v>
      </c>
      <c r="W14" s="294">
        <f>'9   Trucks'!$AI13*'9   Trucks'!$L13*'10   Loader'!$F10*W$11/'9   Trucks'!$F13</f>
        <v>6720.5362046441478</v>
      </c>
      <c r="X14" s="294">
        <f>'9   Trucks'!$AI13*'9   Trucks'!$L13*'10   Loader'!$F10*X$11/'9   Trucks'!$F13</f>
        <v>7056.5630148763557</v>
      </c>
      <c r="Y14" s="294">
        <f>'9   Trucks'!$AI13*'9   Trucks'!$L13*'10   Loader'!$F10*Y$11/'9   Trucks'!$F13</f>
        <v>7392.5898251085628</v>
      </c>
      <c r="Z14" s="294">
        <f>'9   Trucks'!$AI13*'9   Trucks'!$L13*'10   Loader'!$F10*Z$11/'9   Trucks'!$F13</f>
        <v>7728.6166353407698</v>
      </c>
      <c r="AA14" s="294">
        <f>'9   Trucks'!$AI13*'9   Trucks'!$L13*'10   Loader'!$F10*AA$11/'9   Trucks'!$F13</f>
        <v>8064.6434455729777</v>
      </c>
      <c r="AB14" s="294">
        <f>'9   Trucks'!$AI13*'9   Trucks'!$L13*'10   Loader'!$F10*AB$11/'9   Trucks'!$F13</f>
        <v>8400.6702558051857</v>
      </c>
    </row>
    <row r="15" spans="1:31" x14ac:dyDescent="0.2">
      <c r="A15" s="293" t="str">
        <f>'4   Earthwork'!B16</f>
        <v>Haul cover soil</v>
      </c>
      <c r="B15" s="293" t="str">
        <f>'4   Earthwork'!C16</f>
        <v>North OB Stockpile, OB-5 Stockpile</v>
      </c>
      <c r="C15" s="293" t="str">
        <f>'4   Earthwork'!D16</f>
        <v>Magnetite Tailings Outslopes</v>
      </c>
      <c r="D15" s="293" t="str">
        <f>'3   Material'!G16</f>
        <v>777F</v>
      </c>
      <c r="E15" s="294">
        <f>'9   Trucks'!$AI14*'9   Trucks'!$L14*'10   Loader'!$F11*E$11/'9   Trucks'!$F14</f>
        <v>674.49167544892896</v>
      </c>
      <c r="F15" s="294">
        <f>'9   Trucks'!$AI14*'9   Trucks'!$L14*'10   Loader'!$F11*F$11/'9   Trucks'!$F14</f>
        <v>1011.7375131733935</v>
      </c>
      <c r="G15" s="294">
        <f>'9   Trucks'!$AI14*'9   Trucks'!$L14*'10   Loader'!$F11*G$11/'9   Trucks'!$F14</f>
        <v>1348.9833508978579</v>
      </c>
      <c r="H15" s="294">
        <f>'9   Trucks'!$AI14*'9   Trucks'!$L14*'10   Loader'!$F11*H$11/'9   Trucks'!$F14</f>
        <v>1686.2291886223225</v>
      </c>
      <c r="I15" s="294">
        <f>'9   Trucks'!$AI14*'9   Trucks'!$L14*'10   Loader'!$F11*I$11/'9   Trucks'!$F14</f>
        <v>2023.475026346787</v>
      </c>
      <c r="J15" s="294">
        <f>'9   Trucks'!$AI14*'9   Trucks'!$L14*'10   Loader'!$F11*J$11/'9   Trucks'!$F14</f>
        <v>2360.7208640712515</v>
      </c>
      <c r="K15" s="294">
        <f>'9   Trucks'!$AI14*'9   Trucks'!$L14*'10   Loader'!$F11*K$11/'9   Trucks'!$F14</f>
        <v>2697.9667017957158</v>
      </c>
      <c r="L15" s="294">
        <f>'9   Trucks'!$AI14*'9   Trucks'!$L14*'10   Loader'!$F11*L$11/'9   Trucks'!$F14</f>
        <v>3035.2125395201806</v>
      </c>
      <c r="M15" s="294">
        <f>'9   Trucks'!$AI14*'9   Trucks'!$L14*'10   Loader'!$F11*M$11/'9   Trucks'!$F14</f>
        <v>3372.4583772446449</v>
      </c>
      <c r="N15" s="294">
        <f>'9   Trucks'!$AI14*'9   Trucks'!$L14*'10   Loader'!$F11*N$11/'9   Trucks'!$F14</f>
        <v>3709.7042149691097</v>
      </c>
      <c r="O15" s="294">
        <f>'9   Trucks'!$AI14*'9   Trucks'!$L14*'10   Loader'!$F11*O$11/'9   Trucks'!$F14</f>
        <v>4046.950052693574</v>
      </c>
      <c r="P15" s="294">
        <f>'9   Trucks'!$AI14*'9   Trucks'!$L14*'10   Loader'!$F11*P$11/'9   Trucks'!$F14</f>
        <v>4384.1958904180383</v>
      </c>
      <c r="Q15" s="294">
        <f>'9   Trucks'!$AI14*'9   Trucks'!$L14*'10   Loader'!$F11*Q$11/'9   Trucks'!$F14</f>
        <v>4721.4417281425031</v>
      </c>
      <c r="R15" s="294">
        <f>'9   Trucks'!$AI14*'9   Trucks'!$L14*'10   Loader'!$F11*R$11/'9   Trucks'!$F14</f>
        <v>5058.6875658669678</v>
      </c>
      <c r="S15" s="294">
        <f>'9   Trucks'!$AI14*'9   Trucks'!$L14*'10   Loader'!$F11*S$11/'9   Trucks'!$F14</f>
        <v>5395.9334035914317</v>
      </c>
      <c r="T15" s="294">
        <f>'9   Trucks'!$AI14*'9   Trucks'!$L14*'10   Loader'!$F11*T$11/'9   Trucks'!$F14</f>
        <v>5733.1792413158964</v>
      </c>
      <c r="U15" s="294">
        <f>'9   Trucks'!$AI14*'9   Trucks'!$L14*'10   Loader'!$F11*U$11/'9   Trucks'!$F14</f>
        <v>6070.4250790403612</v>
      </c>
      <c r="V15" s="294">
        <f>'9   Trucks'!$AI14*'9   Trucks'!$L14*'10   Loader'!$F11*V$11/'9   Trucks'!$F14</f>
        <v>6407.670916764826</v>
      </c>
      <c r="W15" s="294">
        <f>'9   Trucks'!$AI14*'9   Trucks'!$L14*'10   Loader'!$F11*W$11/'9   Trucks'!$F14</f>
        <v>6744.9167544892898</v>
      </c>
      <c r="X15" s="294">
        <f>'9   Trucks'!$AI14*'9   Trucks'!$L14*'10   Loader'!$F11*X$11/'9   Trucks'!$F14</f>
        <v>7082.1625922137546</v>
      </c>
      <c r="Y15" s="294">
        <f>'9   Trucks'!$AI14*'9   Trucks'!$L14*'10   Loader'!$F11*Y$11/'9   Trucks'!$F14</f>
        <v>7419.4084299382193</v>
      </c>
      <c r="Z15" s="294">
        <f>'9   Trucks'!$AI14*'9   Trucks'!$L14*'10   Loader'!$F11*Z$11/'9   Trucks'!$F14</f>
        <v>7756.6542676626832</v>
      </c>
      <c r="AA15" s="294">
        <f>'9   Trucks'!$AI14*'9   Trucks'!$L14*'10   Loader'!$F11*AA$11/'9   Trucks'!$F14</f>
        <v>8093.900105387148</v>
      </c>
      <c r="AB15" s="294">
        <f>'9   Trucks'!$AI14*'9   Trucks'!$L14*'10   Loader'!$F11*AB$11/'9   Trucks'!$F14</f>
        <v>8431.1459431116127</v>
      </c>
    </row>
  </sheetData>
  <customSheetViews>
    <customSheetView guid="{022582FA-9605-4A7F-B587-E5659EE41F6B}" showPageBreaks="1" printArea="1" showRuler="0">
      <selection activeCell="A14" sqref="A14"/>
      <colBreaks count="3" manualBreakCount="3">
        <brk id="10" max="43" man="1"/>
        <brk id="17" max="39" man="1"/>
        <brk id="24" max="39"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howRuler="0">
      <selection activeCell="A14" sqref="A14"/>
      <colBreaks count="1" manualBreakCount="1">
        <brk id="10" max="43"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1" type="noConversion"/>
  <printOptions horizontalCentered="1"/>
  <pageMargins left="0.75" right="0.75" top="1" bottom="1" header="0.5" footer="0.5"/>
  <pageSetup paperSize="17" scale="44" orientation="landscape" r:id="rId3"/>
  <headerFooter alignWithMargins="0">
    <oddFooter>&amp;C&amp;F
&amp;   Mag Tails Sheet 9a
&amp;
Page &amp;P of &amp;N</oddFooter>
  </headerFooter>
  <colBreaks count="3" manualBreakCount="3">
    <brk id="10" max="43" man="1"/>
    <brk id="17" max="39" man="1"/>
    <brk id="24" max="3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B15"/>
  <sheetViews>
    <sheetView defaultGridColor="0" colorId="22" zoomScale="70" zoomScaleNormal="70" zoomScaleSheetLayoutView="75" workbookViewId="0">
      <selection activeCell="P2" sqref="P2"/>
    </sheetView>
  </sheetViews>
  <sheetFormatPr defaultColWidth="7.21875" defaultRowHeight="12.75" x14ac:dyDescent="0.2"/>
  <cols>
    <col min="1" max="1" width="13.88671875" style="82" customWidth="1"/>
    <col min="2" max="2" width="15.21875" style="82" customWidth="1"/>
    <col min="3" max="3" width="23.77734375" style="82" customWidth="1"/>
    <col min="4" max="4" width="7.21875" style="82" customWidth="1"/>
    <col min="5" max="14" width="7.109375" style="82" customWidth="1"/>
    <col min="15" max="15" width="9.21875" style="82" customWidth="1"/>
    <col min="16" max="28" width="7.109375" style="82" customWidth="1"/>
    <col min="29" max="16384" width="7.21875" style="82"/>
  </cols>
  <sheetData>
    <row r="1" spans="1:28" ht="15" x14ac:dyDescent="0.2">
      <c r="A1" s="62"/>
      <c r="B1" s="103"/>
      <c r="C1" s="103"/>
      <c r="D1" s="103"/>
      <c r="E1" s="103"/>
      <c r="F1" s="103"/>
      <c r="G1" s="103"/>
      <c r="H1" s="103"/>
      <c r="I1" s="84"/>
      <c r="J1" s="83"/>
      <c r="K1" s="83"/>
      <c r="L1" s="83"/>
      <c r="M1" s="83"/>
      <c r="N1" s="83"/>
      <c r="P1" s="98" t="str">
        <f>Productivity!J1</f>
        <v>Cobre</v>
      </c>
      <c r="Q1" s="83"/>
      <c r="R1" s="83"/>
      <c r="S1" s="83"/>
      <c r="T1" s="83"/>
      <c r="U1" s="83"/>
      <c r="V1" s="83"/>
      <c r="W1" s="83"/>
      <c r="X1" s="83"/>
      <c r="Y1" s="83"/>
      <c r="Z1" s="83"/>
      <c r="AA1" s="83"/>
      <c r="AB1" s="83"/>
    </row>
    <row r="2" spans="1:28" ht="15" x14ac:dyDescent="0.2">
      <c r="A2" s="62"/>
      <c r="B2" s="103"/>
      <c r="C2" s="103"/>
      <c r="D2" s="103"/>
      <c r="E2" s="103"/>
      <c r="F2" s="103"/>
      <c r="G2" s="103"/>
      <c r="H2" s="103"/>
      <c r="I2" s="84"/>
      <c r="J2" s="83"/>
      <c r="K2" s="83"/>
      <c r="L2" s="83"/>
      <c r="M2" s="83"/>
      <c r="N2" s="83"/>
      <c r="P2" s="273" t="s">
        <v>303</v>
      </c>
      <c r="Q2" s="83"/>
      <c r="R2" s="83"/>
      <c r="S2" s="83"/>
      <c r="T2" s="83"/>
      <c r="U2" s="83"/>
      <c r="V2" s="83"/>
      <c r="W2" s="83"/>
      <c r="X2" s="83"/>
      <c r="Y2" s="83"/>
      <c r="Z2" s="83"/>
      <c r="AA2" s="83"/>
      <c r="AB2" s="83"/>
    </row>
    <row r="3" spans="1:28" x14ac:dyDescent="0.2">
      <c r="A3" s="104" t="s">
        <v>163</v>
      </c>
      <c r="B3" s="104"/>
      <c r="C3" s="104"/>
      <c r="D3" s="104"/>
      <c r="E3" s="103"/>
      <c r="F3" s="103"/>
      <c r="G3" s="103"/>
      <c r="H3" s="103"/>
      <c r="I3" s="84"/>
      <c r="J3" s="83"/>
      <c r="K3" s="83"/>
      <c r="L3" s="83"/>
      <c r="M3" s="83"/>
      <c r="N3" s="83"/>
      <c r="P3" s="105">
        <f>Productivity!J3</f>
        <v>41955</v>
      </c>
      <c r="Q3" s="83"/>
      <c r="R3" s="83"/>
      <c r="S3" s="83"/>
      <c r="T3" s="83"/>
      <c r="U3" s="83"/>
      <c r="V3" s="83"/>
      <c r="W3" s="83"/>
      <c r="X3" s="83"/>
      <c r="Y3" s="83"/>
      <c r="Z3" s="83"/>
      <c r="AA3" s="83"/>
      <c r="AB3" s="83"/>
    </row>
    <row r="4" spans="1:28" ht="26.25" x14ac:dyDescent="0.4">
      <c r="A4" s="223"/>
      <c r="B4" s="103"/>
      <c r="C4" s="103"/>
      <c r="D4" s="103"/>
      <c r="E4" s="103"/>
      <c r="F4" s="103"/>
      <c r="G4" s="103"/>
      <c r="H4" s="103"/>
      <c r="I4" s="98"/>
      <c r="J4" s="83"/>
      <c r="K4" s="83"/>
      <c r="L4" s="83"/>
      <c r="M4" s="83"/>
      <c r="N4" s="83"/>
      <c r="O4" s="83"/>
      <c r="P4" s="83"/>
      <c r="Q4" s="83"/>
      <c r="R4" s="83"/>
      <c r="S4" s="83"/>
      <c r="T4" s="83"/>
      <c r="U4" s="83"/>
      <c r="V4" s="83"/>
      <c r="W4" s="83"/>
      <c r="X4" s="83"/>
      <c r="Y4" s="83"/>
      <c r="Z4" s="83"/>
      <c r="AA4" s="83"/>
      <c r="AB4" s="83"/>
    </row>
    <row r="5" spans="1:28" ht="15.75" x14ac:dyDescent="0.25">
      <c r="A5" s="103"/>
      <c r="B5" s="103"/>
      <c r="C5" s="266"/>
      <c r="D5" s="103"/>
      <c r="E5" s="103"/>
      <c r="F5" s="103"/>
      <c r="G5" s="103"/>
      <c r="H5" s="103"/>
      <c r="I5" s="98"/>
      <c r="J5" s="83"/>
      <c r="K5" s="83"/>
      <c r="L5" s="83"/>
      <c r="M5" s="83"/>
      <c r="N5" s="83"/>
      <c r="O5" s="83"/>
      <c r="P5" s="83"/>
      <c r="Q5" s="83"/>
      <c r="R5" s="83"/>
      <c r="S5" s="83"/>
      <c r="T5" s="83"/>
      <c r="U5" s="83"/>
      <c r="V5" s="83"/>
      <c r="W5" s="83"/>
      <c r="X5" s="83"/>
      <c r="Y5" s="83"/>
      <c r="Z5" s="83"/>
      <c r="AA5" s="83"/>
      <c r="AB5" s="83"/>
    </row>
    <row r="6" spans="1:28" ht="15" x14ac:dyDescent="0.2">
      <c r="A6" s="98" t="s">
        <v>164</v>
      </c>
      <c r="B6" s="103" t="s">
        <v>165</v>
      </c>
      <c r="C6" s="267"/>
      <c r="D6" s="103"/>
      <c r="E6" s="103"/>
      <c r="F6" s="103"/>
      <c r="G6" s="103"/>
      <c r="H6" s="103"/>
      <c r="I6" s="98"/>
      <c r="J6" s="83"/>
      <c r="K6" s="83"/>
      <c r="L6" s="83"/>
      <c r="M6" s="83"/>
      <c r="N6" s="83"/>
      <c r="O6" s="83"/>
      <c r="P6" s="83"/>
      <c r="Q6" s="83"/>
      <c r="R6" s="83"/>
      <c r="S6" s="83"/>
      <c r="T6" s="83"/>
      <c r="U6" s="83"/>
      <c r="V6" s="83"/>
      <c r="W6" s="83"/>
      <c r="X6" s="83"/>
      <c r="Y6" s="83"/>
      <c r="Z6" s="83"/>
      <c r="AA6" s="83"/>
      <c r="AB6" s="83"/>
    </row>
    <row r="7" spans="1:28" ht="15" x14ac:dyDescent="0.2">
      <c r="A7" s="98"/>
      <c r="B7" s="103"/>
      <c r="C7" s="267"/>
      <c r="D7" s="103"/>
      <c r="E7" s="103"/>
      <c r="F7" s="103"/>
      <c r="G7" s="103"/>
      <c r="H7" s="103"/>
      <c r="I7" s="98"/>
      <c r="J7" s="83"/>
      <c r="K7" s="83"/>
      <c r="L7" s="83"/>
      <c r="M7" s="83"/>
      <c r="N7" s="83"/>
      <c r="O7" s="83"/>
      <c r="P7" s="83"/>
      <c r="Q7" s="83"/>
      <c r="R7" s="83"/>
      <c r="S7" s="83"/>
      <c r="T7" s="83"/>
      <c r="U7" s="83"/>
      <c r="V7" s="83"/>
      <c r="W7" s="83"/>
      <c r="X7" s="83"/>
      <c r="Y7" s="83"/>
      <c r="Z7" s="83"/>
      <c r="AA7" s="83"/>
      <c r="AB7" s="83"/>
    </row>
    <row r="8" spans="1:28" x14ac:dyDescent="0.2">
      <c r="A8" s="273" t="s">
        <v>160</v>
      </c>
      <c r="B8" s="103" t="s">
        <v>166</v>
      </c>
      <c r="C8" s="103"/>
      <c r="D8" s="103"/>
      <c r="E8" s="103"/>
      <c r="F8" s="103"/>
      <c r="G8" s="103"/>
      <c r="H8" s="103"/>
      <c r="I8" s="98"/>
      <c r="J8" s="83"/>
      <c r="K8" s="83"/>
      <c r="L8" s="83"/>
      <c r="M8" s="83"/>
      <c r="N8" s="83"/>
      <c r="O8" s="83"/>
      <c r="P8" s="83"/>
      <c r="Q8" s="83"/>
      <c r="R8" s="83"/>
      <c r="S8" s="83"/>
      <c r="T8" s="83"/>
      <c r="U8" s="83"/>
      <c r="V8" s="83"/>
      <c r="W8" s="83"/>
      <c r="X8" s="83"/>
      <c r="Y8" s="83"/>
      <c r="Z8" s="83"/>
      <c r="AA8" s="83"/>
      <c r="AB8" s="83"/>
    </row>
    <row r="9" spans="1:28" ht="15" x14ac:dyDescent="0.2">
      <c r="A9" s="267"/>
      <c r="B9" s="103"/>
      <c r="C9" s="83"/>
      <c r="D9" s="103"/>
      <c r="E9" s="103"/>
      <c r="F9" s="103"/>
      <c r="G9" s="103"/>
      <c r="H9" s="103"/>
      <c r="I9" s="98"/>
      <c r="J9" s="83"/>
      <c r="K9" s="83"/>
      <c r="L9" s="83"/>
      <c r="M9" s="83"/>
      <c r="N9" s="83"/>
      <c r="O9" s="83"/>
      <c r="P9" s="83"/>
      <c r="Q9" s="83"/>
      <c r="R9" s="83"/>
      <c r="S9" s="83"/>
      <c r="T9" s="83"/>
      <c r="U9" s="83"/>
      <c r="V9" s="83"/>
      <c r="W9" s="83"/>
      <c r="X9" s="83"/>
      <c r="Y9" s="83"/>
      <c r="Z9" s="83"/>
      <c r="AA9" s="83"/>
      <c r="AB9" s="83"/>
    </row>
    <row r="10" spans="1:28" ht="15" x14ac:dyDescent="0.2">
      <c r="A10" s="267"/>
      <c r="B10" s="83"/>
      <c r="C10" s="83"/>
      <c r="D10" s="83"/>
      <c r="E10" s="83" t="s">
        <v>162</v>
      </c>
      <c r="F10" s="83"/>
      <c r="G10" s="83"/>
      <c r="H10" s="83"/>
      <c r="I10" s="83"/>
      <c r="J10" s="83"/>
      <c r="K10" s="83"/>
      <c r="L10" s="83"/>
      <c r="M10" s="83"/>
      <c r="N10" s="83"/>
      <c r="O10" s="83"/>
      <c r="P10" s="83"/>
      <c r="Q10" s="83"/>
      <c r="R10" s="83"/>
      <c r="S10" s="83"/>
      <c r="T10" s="83"/>
      <c r="U10" s="83"/>
      <c r="V10" s="83"/>
      <c r="W10" s="83"/>
      <c r="X10" s="83"/>
      <c r="Y10" s="83"/>
      <c r="Z10" s="83"/>
      <c r="AA10" s="83"/>
      <c r="AB10" s="83"/>
    </row>
    <row r="11" spans="1:28" x14ac:dyDescent="0.2">
      <c r="A11" s="83" t="s">
        <v>91</v>
      </c>
      <c r="B11" s="83" t="s">
        <v>116</v>
      </c>
      <c r="C11" s="83" t="s">
        <v>117</v>
      </c>
      <c r="D11" s="83" t="s">
        <v>20</v>
      </c>
      <c r="E11" s="83">
        <v>2</v>
      </c>
      <c r="F11" s="83">
        <f>E11+1</f>
        <v>3</v>
      </c>
      <c r="G11" s="83">
        <f t="shared" ref="G11:AB11" si="0">F11+1</f>
        <v>4</v>
      </c>
      <c r="H11" s="83">
        <f t="shared" si="0"/>
        <v>5</v>
      </c>
      <c r="I11" s="83">
        <f t="shared" si="0"/>
        <v>6</v>
      </c>
      <c r="J11" s="83">
        <f t="shared" si="0"/>
        <v>7</v>
      </c>
      <c r="K11" s="83">
        <f t="shared" si="0"/>
        <v>8</v>
      </c>
      <c r="L11" s="83">
        <f t="shared" si="0"/>
        <v>9</v>
      </c>
      <c r="M11" s="83">
        <f t="shared" si="0"/>
        <v>10</v>
      </c>
      <c r="N11" s="83">
        <f t="shared" si="0"/>
        <v>11</v>
      </c>
      <c r="O11" s="83">
        <f t="shared" si="0"/>
        <v>12</v>
      </c>
      <c r="P11" s="83">
        <f t="shared" si="0"/>
        <v>13</v>
      </c>
      <c r="Q11" s="83">
        <f t="shared" si="0"/>
        <v>14</v>
      </c>
      <c r="R11" s="83">
        <f t="shared" si="0"/>
        <v>15</v>
      </c>
      <c r="S11" s="83">
        <f t="shared" si="0"/>
        <v>16</v>
      </c>
      <c r="T11" s="83">
        <f t="shared" si="0"/>
        <v>17</v>
      </c>
      <c r="U11" s="83">
        <f t="shared" si="0"/>
        <v>18</v>
      </c>
      <c r="V11" s="83">
        <f t="shared" si="0"/>
        <v>19</v>
      </c>
      <c r="W11" s="83">
        <f t="shared" si="0"/>
        <v>20</v>
      </c>
      <c r="X11" s="83">
        <f t="shared" si="0"/>
        <v>21</v>
      </c>
      <c r="Y11" s="83">
        <f t="shared" si="0"/>
        <v>22</v>
      </c>
      <c r="Z11" s="83">
        <f t="shared" si="0"/>
        <v>23</v>
      </c>
      <c r="AA11" s="83">
        <f t="shared" si="0"/>
        <v>24</v>
      </c>
      <c r="AB11" s="83">
        <f t="shared" si="0"/>
        <v>25</v>
      </c>
    </row>
    <row r="12" spans="1:28" ht="15" x14ac:dyDescent="0.2">
      <c r="A12" s="102"/>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row>
    <row r="13" spans="1:28" ht="15" x14ac:dyDescent="0.2">
      <c r="A13" s="102"/>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row>
    <row r="14" spans="1:28" x14ac:dyDescent="0.2">
      <c r="A14" s="293" t="str">
        <f>Productivity!A14</f>
        <v>Haul cover soil</v>
      </c>
      <c r="B14" s="293" t="str">
        <f>Productivity!B14</f>
        <v>North OB Stockpile, OB-5 Stockpile</v>
      </c>
      <c r="C14" s="293" t="str">
        <f>Productivity!C14</f>
        <v xml:space="preserve">Magnetite Tailings Top </v>
      </c>
      <c r="D14" s="293" t="str">
        <f>Productivity!D14</f>
        <v>777F</v>
      </c>
      <c r="E14" s="295">
        <f>IF('9   Trucks'!$E13/Productivity!E14&lt;'10   Loader'!$I10,'10   Loader'!$I10,'9   Trucks'!$E13/Productivity!E14)</f>
        <v>411.59763384482318</v>
      </c>
      <c r="F14" s="295">
        <f>IF('9   Trucks'!$E13/Productivity!F14&lt;'10   Loader'!$I10,'10   Loader'!$I10,'9   Trucks'!$E13/Productivity!F14)</f>
        <v>274.39842256321549</v>
      </c>
      <c r="G14" s="295">
        <f>IF('9   Trucks'!$E13/Productivity!G14&lt;'10   Loader'!$I10,'10   Loader'!$I10,'9   Trucks'!$E13/Productivity!G14)</f>
        <v>256.85741714285712</v>
      </c>
      <c r="H14" s="295">
        <f>IF('9   Trucks'!$E13/Productivity!H14&lt;'10   Loader'!$I10,'10   Loader'!$I10,'9   Trucks'!$E13/Productivity!H14)</f>
        <v>256.85741714285712</v>
      </c>
      <c r="I14" s="295">
        <f>IF('9   Trucks'!$E13/Productivity!I14&lt;'10   Loader'!$I10,'10   Loader'!$I10,'9   Trucks'!$E13/Productivity!I14)</f>
        <v>256.85741714285712</v>
      </c>
      <c r="J14" s="295">
        <f>IF('9   Trucks'!$E13/Productivity!J14&lt;'10   Loader'!$I10,'10   Loader'!$I10,'9   Trucks'!$E13/Productivity!J14)</f>
        <v>256.85741714285712</v>
      </c>
      <c r="K14" s="295">
        <f>IF('9   Trucks'!$E13/Productivity!K14&lt;'10   Loader'!$I10,'10   Loader'!$I10,'9   Trucks'!$E13/Productivity!K14)</f>
        <v>256.85741714285712</v>
      </c>
      <c r="L14" s="295">
        <f>IF('9   Trucks'!$E13/Productivity!L14&lt;'10   Loader'!$I10,'10   Loader'!$I10,'9   Trucks'!$E13/Productivity!L14)</f>
        <v>256.85741714285712</v>
      </c>
      <c r="M14" s="295">
        <f>IF('9   Trucks'!$E13/Productivity!M14&lt;'10   Loader'!$I10,'10   Loader'!$I10,'9   Trucks'!$E13/Productivity!M14)</f>
        <v>256.85741714285712</v>
      </c>
      <c r="N14" s="295">
        <f>IF('9   Trucks'!$E13/Productivity!N14&lt;'10   Loader'!$I10,'10   Loader'!$I10,'9   Trucks'!$E13/Productivity!N14)</f>
        <v>256.85741714285712</v>
      </c>
      <c r="O14" s="295">
        <f>IF('9   Trucks'!$E13/Productivity!O14&lt;'10   Loader'!$I10,'10   Loader'!$I10,'9   Trucks'!$E13/Productivity!O14)</f>
        <v>256.85741714285712</v>
      </c>
      <c r="P14" s="295">
        <f>IF('9   Trucks'!$E13/Productivity!P14&lt;'10   Loader'!$I10,'10   Loader'!$I10,'9   Trucks'!$E13/Productivity!P14)</f>
        <v>256.85741714285712</v>
      </c>
      <c r="Q14" s="295">
        <f>IF('9   Trucks'!$E13/Productivity!Q14&lt;'10   Loader'!$I10,'10   Loader'!$I10,'9   Trucks'!$E13/Productivity!Q14)</f>
        <v>256.85741714285712</v>
      </c>
      <c r="R14" s="295">
        <f>IF('9   Trucks'!$E13/Productivity!R14&lt;'10   Loader'!$I10,'10   Loader'!$I10,'9   Trucks'!$E13/Productivity!R14)</f>
        <v>256.85741714285712</v>
      </c>
      <c r="S14" s="295">
        <f>IF('9   Trucks'!$E13/Productivity!S14&lt;'10   Loader'!$I10,'10   Loader'!$I10,'9   Trucks'!$E13/Productivity!S14)</f>
        <v>256.85741714285712</v>
      </c>
      <c r="T14" s="295">
        <f>IF('9   Trucks'!$E13/Productivity!T14&lt;'10   Loader'!$I10,'10   Loader'!$I10,'9   Trucks'!$E13/Productivity!T14)</f>
        <v>256.85741714285712</v>
      </c>
      <c r="U14" s="295">
        <f>IF('9   Trucks'!$E13/Productivity!U14&lt;'10   Loader'!$I10,'10   Loader'!$I10,'9   Trucks'!$E13/Productivity!U14)</f>
        <v>256.85741714285712</v>
      </c>
      <c r="V14" s="295">
        <f>IF('9   Trucks'!$E13/Productivity!V14&lt;'10   Loader'!$I10,'10   Loader'!$I10,'9   Trucks'!$E13/Productivity!V14)</f>
        <v>256.85741714285712</v>
      </c>
      <c r="W14" s="295">
        <f>IF('9   Trucks'!$E13/Productivity!W14&lt;'10   Loader'!$I10,'10   Loader'!$I10,'9   Trucks'!$E13/Productivity!W14)</f>
        <v>256.85741714285712</v>
      </c>
      <c r="X14" s="295">
        <f>IF('9   Trucks'!$E13/Productivity!X14&lt;'10   Loader'!$I10,'10   Loader'!$I10,'9   Trucks'!$E13/Productivity!X14)</f>
        <v>256.85741714285712</v>
      </c>
      <c r="Y14" s="295">
        <f>IF('9   Trucks'!$E13/Productivity!Y14&lt;'10   Loader'!$I10,'10   Loader'!$I10,'9   Trucks'!$E13/Productivity!Y14)</f>
        <v>256.85741714285712</v>
      </c>
      <c r="Z14" s="295">
        <f>IF('9   Trucks'!$E13/Productivity!Z14&lt;'10   Loader'!$I10,'10   Loader'!$I10,'9   Trucks'!$E13/Productivity!Z14)</f>
        <v>256.85741714285712</v>
      </c>
      <c r="AA14" s="295">
        <f>IF('9   Trucks'!$E13/Productivity!AA14&lt;'10   Loader'!$I10,'10   Loader'!$I10,'9   Trucks'!$E13/Productivity!AA14)</f>
        <v>256.85741714285712</v>
      </c>
      <c r="AB14" s="295">
        <f>IF('9   Trucks'!$E13/Productivity!AB14&lt;'10   Loader'!$I10,'10   Loader'!$I10,'9   Trucks'!$E13/Productivity!AB14)</f>
        <v>256.85741714285712</v>
      </c>
    </row>
    <row r="15" spans="1:28" x14ac:dyDescent="0.2">
      <c r="A15" s="293" t="str">
        <f>Productivity!A15</f>
        <v>Haul cover soil</v>
      </c>
      <c r="B15" s="293" t="str">
        <f>Productivity!B15</f>
        <v>North OB Stockpile, OB-5 Stockpile</v>
      </c>
      <c r="C15" s="293" t="str">
        <f>Productivity!C15</f>
        <v>Magnetite Tailings Outslopes</v>
      </c>
      <c r="D15" s="293" t="str">
        <f>Productivity!D15</f>
        <v>777F</v>
      </c>
      <c r="E15" s="295">
        <f>IF('9   Trucks'!$E14/Productivity!E15&lt;'10   Loader'!$I11,'10   Loader'!$I11,'9   Trucks'!$E14/Productivity!E15)</f>
        <v>38.160767488892319</v>
      </c>
      <c r="F15" s="295">
        <f>IF('9   Trucks'!$E14/Productivity!F15&lt;'10   Loader'!$I11,'10   Loader'!$I11,'9   Trucks'!$E14/Productivity!F15)</f>
        <v>25.440511659261546</v>
      </c>
      <c r="G15" s="295">
        <f>IF('9   Trucks'!$E14/Productivity!G15&lt;'10   Loader'!$I11,'10   Loader'!$I11,'9   Trucks'!$E14/Productivity!G15)</f>
        <v>23.900611428571427</v>
      </c>
      <c r="H15" s="295">
        <f>IF('9   Trucks'!$E14/Productivity!H15&lt;'10   Loader'!$I11,'10   Loader'!$I11,'9   Trucks'!$E14/Productivity!H15)</f>
        <v>23.900611428571427</v>
      </c>
      <c r="I15" s="295">
        <f>IF('9   Trucks'!$E14/Productivity!I15&lt;'10   Loader'!$I11,'10   Loader'!$I11,'9   Trucks'!$E14/Productivity!I15)</f>
        <v>23.900611428571427</v>
      </c>
      <c r="J15" s="295">
        <f>IF('9   Trucks'!$E14/Productivity!J15&lt;'10   Loader'!$I11,'10   Loader'!$I11,'9   Trucks'!$E14/Productivity!J15)</f>
        <v>23.900611428571427</v>
      </c>
      <c r="K15" s="295">
        <f>IF('9   Trucks'!$E14/Productivity!K15&lt;'10   Loader'!$I11,'10   Loader'!$I11,'9   Trucks'!$E14/Productivity!K15)</f>
        <v>23.900611428571427</v>
      </c>
      <c r="L15" s="295">
        <f>IF('9   Trucks'!$E14/Productivity!L15&lt;'10   Loader'!$I11,'10   Loader'!$I11,'9   Trucks'!$E14/Productivity!L15)</f>
        <v>23.900611428571427</v>
      </c>
      <c r="M15" s="295">
        <f>IF('9   Trucks'!$E14/Productivity!M15&lt;'10   Loader'!$I11,'10   Loader'!$I11,'9   Trucks'!$E14/Productivity!M15)</f>
        <v>23.900611428571427</v>
      </c>
      <c r="N15" s="295">
        <f>IF('9   Trucks'!$E14/Productivity!N15&lt;'10   Loader'!$I11,'10   Loader'!$I11,'9   Trucks'!$E14/Productivity!N15)</f>
        <v>23.900611428571427</v>
      </c>
      <c r="O15" s="295">
        <f>IF('9   Trucks'!$E14/Productivity!O15&lt;'10   Loader'!$I11,'10   Loader'!$I11,'9   Trucks'!$E14/Productivity!O15)</f>
        <v>23.900611428571427</v>
      </c>
      <c r="P15" s="295">
        <f>IF('9   Trucks'!$E14/Productivity!P15&lt;'10   Loader'!$I11,'10   Loader'!$I11,'9   Trucks'!$E14/Productivity!P15)</f>
        <v>23.900611428571427</v>
      </c>
      <c r="Q15" s="295">
        <f>IF('9   Trucks'!$E14/Productivity!Q15&lt;'10   Loader'!$I11,'10   Loader'!$I11,'9   Trucks'!$E14/Productivity!Q15)</f>
        <v>23.900611428571427</v>
      </c>
      <c r="R15" s="295">
        <f>IF('9   Trucks'!$E14/Productivity!R15&lt;'10   Loader'!$I11,'10   Loader'!$I11,'9   Trucks'!$E14/Productivity!R15)</f>
        <v>23.900611428571427</v>
      </c>
      <c r="S15" s="295">
        <f>IF('9   Trucks'!$E14/Productivity!S15&lt;'10   Loader'!$I11,'10   Loader'!$I11,'9   Trucks'!$E14/Productivity!S15)</f>
        <v>23.900611428571427</v>
      </c>
      <c r="T15" s="295">
        <f>IF('9   Trucks'!$E14/Productivity!T15&lt;'10   Loader'!$I11,'10   Loader'!$I11,'9   Trucks'!$E14/Productivity!T15)</f>
        <v>23.900611428571427</v>
      </c>
      <c r="U15" s="295">
        <f>IF('9   Trucks'!$E14/Productivity!U15&lt;'10   Loader'!$I11,'10   Loader'!$I11,'9   Trucks'!$E14/Productivity!U15)</f>
        <v>23.900611428571427</v>
      </c>
      <c r="V15" s="295">
        <f>IF('9   Trucks'!$E14/Productivity!V15&lt;'10   Loader'!$I11,'10   Loader'!$I11,'9   Trucks'!$E14/Productivity!V15)</f>
        <v>23.900611428571427</v>
      </c>
      <c r="W15" s="295">
        <f>IF('9   Trucks'!$E14/Productivity!W15&lt;'10   Loader'!$I11,'10   Loader'!$I11,'9   Trucks'!$E14/Productivity!W15)</f>
        <v>23.900611428571427</v>
      </c>
      <c r="X15" s="295">
        <f>IF('9   Trucks'!$E14/Productivity!X15&lt;'10   Loader'!$I11,'10   Loader'!$I11,'9   Trucks'!$E14/Productivity!X15)</f>
        <v>23.900611428571427</v>
      </c>
      <c r="Y15" s="295">
        <f>IF('9   Trucks'!$E14/Productivity!Y15&lt;'10   Loader'!$I11,'10   Loader'!$I11,'9   Trucks'!$E14/Productivity!Y15)</f>
        <v>23.900611428571427</v>
      </c>
      <c r="Z15" s="295">
        <f>IF('9   Trucks'!$E14/Productivity!Z15&lt;'10   Loader'!$I11,'10   Loader'!$I11,'9   Trucks'!$E14/Productivity!Z15)</f>
        <v>23.900611428571427</v>
      </c>
      <c r="AA15" s="295">
        <f>IF('9   Trucks'!$E14/Productivity!AA15&lt;'10   Loader'!$I11,'10   Loader'!$I11,'9   Trucks'!$E14/Productivity!AA15)</f>
        <v>23.900611428571427</v>
      </c>
      <c r="AB15" s="295">
        <f>IF('9   Trucks'!$E14/Productivity!AB15&lt;'10   Loader'!$I11,'10   Loader'!$I11,'9   Trucks'!$E14/Productivity!AB15)</f>
        <v>23.900611428571427</v>
      </c>
    </row>
  </sheetData>
  <customSheetViews>
    <customSheetView guid="{022582FA-9605-4A7F-B587-E5659EE41F6B}" showPageBreaks="1" printArea="1" showRuler="0">
      <selection activeCell="E14" sqref="E14"/>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howRuler="0">
      <selection activeCell="A25" sqref="A25"/>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1" type="noConversion"/>
  <printOptions horizontalCentered="1"/>
  <pageMargins left="0.75" right="0.75" top="1" bottom="1" header="0.5" footer="0.5"/>
  <pageSetup paperSize="17" scale="58" orientation="landscape" r:id="rId3"/>
  <headerFooter alignWithMargins="0">
    <oddFooter>&amp;C&amp;F
&amp;   Mag Tails Sheet 9b
&amp;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B13"/>
  <sheetViews>
    <sheetView defaultGridColor="0" colorId="22" zoomScaleNormal="75" zoomScaleSheetLayoutView="75" workbookViewId="0">
      <selection activeCell="L3" sqref="L3"/>
    </sheetView>
  </sheetViews>
  <sheetFormatPr defaultColWidth="7.21875" defaultRowHeight="12.75" x14ac:dyDescent="0.2"/>
  <cols>
    <col min="1" max="1" width="12.77734375" style="82" customWidth="1"/>
    <col min="2" max="2" width="15.88671875" style="82" customWidth="1"/>
    <col min="3" max="3" width="22.77734375" style="82" customWidth="1"/>
    <col min="4" max="4" width="8.44140625" style="82" customWidth="1"/>
    <col min="5" max="28" width="11.21875" style="82" customWidth="1"/>
    <col min="29" max="16384" width="7.21875" style="82"/>
  </cols>
  <sheetData>
    <row r="1" spans="1:28" ht="15" x14ac:dyDescent="0.2">
      <c r="A1" s="62"/>
      <c r="B1" s="96"/>
      <c r="C1" s="96"/>
      <c r="D1" s="96"/>
      <c r="E1" s="96"/>
      <c r="F1" s="96"/>
      <c r="G1" s="96"/>
      <c r="H1" s="96"/>
      <c r="J1" s="84"/>
      <c r="L1" s="97" t="str">
        <f>Productivity!J1</f>
        <v>Cobre</v>
      </c>
      <c r="M1" s="84"/>
      <c r="N1" s="84"/>
      <c r="O1" s="84"/>
      <c r="P1" s="84"/>
      <c r="Q1" s="84"/>
      <c r="R1" s="84"/>
      <c r="S1" s="84"/>
      <c r="T1" s="84"/>
      <c r="U1" s="84"/>
      <c r="V1" s="84"/>
      <c r="W1" s="84"/>
      <c r="X1" s="84"/>
      <c r="Y1" s="84"/>
      <c r="Z1" s="84"/>
      <c r="AA1" s="84"/>
      <c r="AB1" s="84"/>
    </row>
    <row r="2" spans="1:28" ht="15" x14ac:dyDescent="0.2">
      <c r="A2" s="62"/>
      <c r="B2" s="96"/>
      <c r="C2" s="96"/>
      <c r="D2" s="96"/>
      <c r="E2" s="96"/>
      <c r="F2" s="96"/>
      <c r="G2" s="96"/>
      <c r="H2" s="96"/>
      <c r="J2" s="84"/>
      <c r="L2" s="273" t="s">
        <v>304</v>
      </c>
      <c r="M2" s="84"/>
      <c r="N2" s="84"/>
      <c r="O2" s="84"/>
      <c r="P2" s="84"/>
      <c r="Q2" s="84"/>
      <c r="R2" s="84"/>
      <c r="S2" s="84"/>
      <c r="T2" s="84"/>
      <c r="U2" s="84"/>
      <c r="V2" s="84"/>
      <c r="W2" s="84"/>
      <c r="X2" s="84"/>
      <c r="Y2" s="84"/>
      <c r="Z2" s="84"/>
      <c r="AA2" s="84"/>
      <c r="AB2" s="84"/>
    </row>
    <row r="3" spans="1:28" ht="15" x14ac:dyDescent="0.2">
      <c r="A3" s="99" t="s">
        <v>167</v>
      </c>
      <c r="B3" s="99"/>
      <c r="C3" s="99"/>
      <c r="D3" s="99"/>
      <c r="E3" s="96"/>
      <c r="F3" s="96"/>
      <c r="G3" s="96"/>
      <c r="H3" s="96"/>
      <c r="J3" s="84"/>
      <c r="L3" s="100">
        <f>Productivity!J3</f>
        <v>41955</v>
      </c>
      <c r="M3" s="84"/>
      <c r="N3" s="84"/>
      <c r="O3" s="84"/>
      <c r="P3" s="84"/>
      <c r="Q3" s="84"/>
      <c r="R3" s="84"/>
      <c r="S3" s="84"/>
      <c r="T3" s="84"/>
      <c r="U3" s="84"/>
      <c r="V3" s="84"/>
      <c r="W3" s="84"/>
      <c r="X3" s="84"/>
      <c r="Y3" s="84"/>
      <c r="Z3" s="84"/>
      <c r="AA3" s="84"/>
      <c r="AB3" s="84"/>
    </row>
    <row r="4" spans="1:28" ht="26.25" x14ac:dyDescent="0.4">
      <c r="A4" s="223"/>
      <c r="B4" s="96"/>
      <c r="C4" s="96"/>
      <c r="D4" s="96"/>
      <c r="E4" s="96"/>
      <c r="F4" s="96"/>
      <c r="G4" s="96"/>
      <c r="H4" s="96"/>
      <c r="I4" s="97"/>
      <c r="J4" s="84"/>
      <c r="K4" s="84"/>
      <c r="L4" s="84"/>
      <c r="M4" s="84"/>
      <c r="N4" s="84"/>
      <c r="O4" s="84"/>
      <c r="P4" s="84"/>
      <c r="Q4" s="84"/>
      <c r="R4" s="84"/>
      <c r="S4" s="84"/>
      <c r="T4" s="84"/>
      <c r="U4" s="84"/>
      <c r="V4" s="84"/>
      <c r="W4" s="84"/>
      <c r="X4" s="84"/>
      <c r="Y4" s="84"/>
      <c r="Z4" s="84"/>
      <c r="AA4" s="84"/>
      <c r="AB4" s="84"/>
    </row>
    <row r="5" spans="1:28" ht="15" x14ac:dyDescent="0.2">
      <c r="A5" s="97" t="s">
        <v>168</v>
      </c>
      <c r="B5" s="96" t="s">
        <v>169</v>
      </c>
      <c r="C5" s="187"/>
      <c r="D5" s="96"/>
      <c r="E5" s="96"/>
      <c r="F5" s="96"/>
      <c r="G5" s="96"/>
      <c r="H5" s="96"/>
      <c r="I5" s="97"/>
      <c r="J5" s="84"/>
      <c r="K5" s="84"/>
      <c r="L5" s="84"/>
      <c r="M5" s="84"/>
      <c r="N5" s="84"/>
      <c r="O5" s="84"/>
      <c r="P5" s="84"/>
      <c r="Q5" s="84"/>
      <c r="R5" s="84"/>
      <c r="S5" s="84"/>
      <c r="T5" s="84"/>
      <c r="U5" s="84"/>
      <c r="V5" s="84"/>
      <c r="W5" s="84"/>
      <c r="X5" s="84"/>
      <c r="Y5" s="84"/>
      <c r="Z5" s="84"/>
      <c r="AA5" s="84"/>
      <c r="AB5" s="84"/>
    </row>
    <row r="6" spans="1:28" ht="15" x14ac:dyDescent="0.2">
      <c r="A6" s="97"/>
      <c r="B6" s="96"/>
      <c r="C6" s="187"/>
      <c r="D6" s="96"/>
      <c r="E6" s="96"/>
      <c r="F6" s="96"/>
      <c r="G6" s="96"/>
      <c r="H6" s="96"/>
      <c r="I6" s="97"/>
      <c r="J6" s="84"/>
      <c r="K6" s="84"/>
      <c r="L6" s="84"/>
      <c r="M6" s="84"/>
      <c r="N6" s="84"/>
      <c r="O6" s="84"/>
      <c r="P6" s="84"/>
      <c r="Q6" s="84"/>
      <c r="R6" s="84"/>
      <c r="S6" s="84"/>
      <c r="T6" s="84"/>
      <c r="U6" s="84"/>
      <c r="V6" s="84"/>
      <c r="W6" s="84"/>
      <c r="X6" s="84"/>
      <c r="Y6" s="84"/>
      <c r="Z6" s="84"/>
      <c r="AA6" s="84"/>
      <c r="AB6" s="84"/>
    </row>
    <row r="7" spans="1:28" ht="15" x14ac:dyDescent="0.2">
      <c r="A7" s="97" t="s">
        <v>160</v>
      </c>
      <c r="B7" s="96" t="s">
        <v>170</v>
      </c>
      <c r="C7" s="187"/>
      <c r="D7" s="96"/>
      <c r="E7" s="96"/>
      <c r="F7" s="96"/>
      <c r="G7" s="96"/>
      <c r="H7" s="96"/>
      <c r="I7" s="97"/>
      <c r="J7" s="84"/>
      <c r="K7" s="84"/>
      <c r="L7" s="84"/>
      <c r="M7" s="84"/>
      <c r="N7" s="84"/>
      <c r="O7" s="84"/>
      <c r="P7" s="84"/>
      <c r="Q7" s="84"/>
      <c r="R7" s="84"/>
      <c r="S7" s="84"/>
      <c r="T7" s="84"/>
      <c r="U7" s="84"/>
      <c r="V7" s="84"/>
      <c r="W7" s="84"/>
      <c r="X7" s="84"/>
      <c r="Y7" s="84"/>
      <c r="Z7" s="84"/>
      <c r="AA7" s="84"/>
      <c r="AB7" s="84"/>
    </row>
    <row r="8" spans="1:28" ht="15" x14ac:dyDescent="0.2">
      <c r="A8" s="187"/>
      <c r="B8" s="96"/>
      <c r="C8" s="96"/>
      <c r="D8" s="96"/>
      <c r="E8" s="96"/>
      <c r="F8" s="96"/>
      <c r="G8" s="96"/>
      <c r="H8" s="96"/>
      <c r="I8" s="97"/>
      <c r="J8" s="84"/>
      <c r="K8" s="84"/>
      <c r="L8" s="84"/>
      <c r="M8" s="84"/>
      <c r="N8" s="84"/>
      <c r="O8" s="84"/>
      <c r="P8" s="84"/>
      <c r="Q8" s="84"/>
      <c r="R8" s="84"/>
      <c r="S8" s="84"/>
      <c r="T8" s="84"/>
      <c r="U8" s="84"/>
      <c r="V8" s="84"/>
      <c r="W8" s="84"/>
      <c r="X8" s="84"/>
      <c r="Y8" s="84"/>
      <c r="Z8" s="84"/>
      <c r="AA8" s="84"/>
      <c r="AB8" s="84"/>
    </row>
    <row r="9" spans="1:28" ht="15" x14ac:dyDescent="0.2">
      <c r="A9" s="187"/>
      <c r="B9" s="84"/>
      <c r="C9" s="84"/>
      <c r="D9" s="84"/>
      <c r="E9" s="84" t="s">
        <v>162</v>
      </c>
      <c r="F9" s="84"/>
      <c r="G9" s="84"/>
      <c r="H9" s="84"/>
      <c r="I9" s="84"/>
      <c r="J9" s="84"/>
      <c r="K9" s="84"/>
      <c r="L9" s="84"/>
      <c r="M9" s="84"/>
      <c r="N9" s="84"/>
      <c r="O9" s="84"/>
      <c r="P9" s="84"/>
      <c r="Q9" s="84"/>
      <c r="R9" s="84"/>
      <c r="S9" s="84"/>
      <c r="T9" s="84"/>
      <c r="U9" s="84"/>
      <c r="V9" s="84"/>
      <c r="W9" s="84"/>
      <c r="X9" s="84"/>
      <c r="Y9" s="84"/>
      <c r="Z9" s="84"/>
      <c r="AA9" s="84"/>
      <c r="AB9" s="84"/>
    </row>
    <row r="10" spans="1:28" ht="15" x14ac:dyDescent="0.2">
      <c r="A10" s="187"/>
      <c r="B10" s="84" t="s">
        <v>116</v>
      </c>
      <c r="C10" s="84" t="s">
        <v>117</v>
      </c>
      <c r="D10" s="84" t="s">
        <v>20</v>
      </c>
      <c r="E10" s="84">
        <v>2</v>
      </c>
      <c r="F10" s="84">
        <f>E10+1</f>
        <v>3</v>
      </c>
      <c r="G10" s="84">
        <f t="shared" ref="G10:AB10" si="0">F10+1</f>
        <v>4</v>
      </c>
      <c r="H10" s="84">
        <f t="shared" si="0"/>
        <v>5</v>
      </c>
      <c r="I10" s="84">
        <f t="shared" si="0"/>
        <v>6</v>
      </c>
      <c r="J10" s="84">
        <f t="shared" si="0"/>
        <v>7</v>
      </c>
      <c r="K10" s="84">
        <f t="shared" si="0"/>
        <v>8</v>
      </c>
      <c r="L10" s="84">
        <f t="shared" si="0"/>
        <v>9</v>
      </c>
      <c r="M10" s="84">
        <f t="shared" si="0"/>
        <v>10</v>
      </c>
      <c r="N10" s="84">
        <f t="shared" si="0"/>
        <v>11</v>
      </c>
      <c r="O10" s="84">
        <f t="shared" si="0"/>
        <v>12</v>
      </c>
      <c r="P10" s="84">
        <f t="shared" si="0"/>
        <v>13</v>
      </c>
      <c r="Q10" s="84">
        <f t="shared" si="0"/>
        <v>14</v>
      </c>
      <c r="R10" s="84">
        <f t="shared" si="0"/>
        <v>15</v>
      </c>
      <c r="S10" s="84">
        <f t="shared" si="0"/>
        <v>16</v>
      </c>
      <c r="T10" s="84">
        <f t="shared" si="0"/>
        <v>17</v>
      </c>
      <c r="U10" s="84">
        <f t="shared" si="0"/>
        <v>18</v>
      </c>
      <c r="V10" s="84">
        <f t="shared" si="0"/>
        <v>19</v>
      </c>
      <c r="W10" s="84">
        <f t="shared" si="0"/>
        <v>20</v>
      </c>
      <c r="X10" s="84">
        <f t="shared" si="0"/>
        <v>21</v>
      </c>
      <c r="Y10" s="84">
        <f t="shared" si="0"/>
        <v>22</v>
      </c>
      <c r="Z10" s="84">
        <f t="shared" si="0"/>
        <v>23</v>
      </c>
      <c r="AA10" s="84">
        <f t="shared" si="0"/>
        <v>24</v>
      </c>
      <c r="AB10" s="84">
        <f t="shared" si="0"/>
        <v>25</v>
      </c>
    </row>
    <row r="11" spans="1:28" ht="15" x14ac:dyDescent="0.2">
      <c r="A11" s="102"/>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row>
    <row r="12" spans="1:28" x14ac:dyDescent="0.2">
      <c r="A12" s="84" t="str">
        <f>Productivity!A14</f>
        <v>Haul cover soil</v>
      </c>
      <c r="B12" s="84" t="str">
        <f>Productivity!B14</f>
        <v>North OB Stockpile, OB-5 Stockpile</v>
      </c>
      <c r="C12" s="84" t="str">
        <f>Productivity!C14</f>
        <v xml:space="preserve">Magnetite Tailings Top </v>
      </c>
      <c r="D12" s="84" t="str">
        <f>'13   EarthSum'!C24</f>
        <v>777F</v>
      </c>
      <c r="E12" s="296">
        <f>(Time!E14*('13   EarthSum'!$G24+'13   EarthSum'!$H24)*E$10)</f>
        <v>277597.90817030251</v>
      </c>
      <c r="F12" s="296">
        <f>(Time!F14*('13   EarthSum'!$G24+'13   EarthSum'!$H24)*F$10)</f>
        <v>277597.90817030251</v>
      </c>
      <c r="G12" s="296">
        <f>(Time!G14*('13   EarthSum'!$G24+'13   EarthSum'!$H24)*G$10)</f>
        <v>346469.83283565706</v>
      </c>
      <c r="H12" s="296">
        <f>(Time!H14*('13   EarthSum'!$G24+'13   EarthSum'!$H24)*H$10)</f>
        <v>433087.29104457132</v>
      </c>
      <c r="I12" s="296">
        <f>(Time!I14*('13   EarthSum'!$G24+'13   EarthSum'!$H24)*I$10)</f>
        <v>519704.74925348558</v>
      </c>
      <c r="J12" s="296">
        <f>(Time!J14*('13   EarthSum'!$G24+'13   EarthSum'!$H24)*J$10)</f>
        <v>606322.20746239985</v>
      </c>
      <c r="K12" s="296">
        <f>(Time!K14*('13   EarthSum'!$G24+'13   EarthSum'!$H24)*K$10)</f>
        <v>692939.66567131411</v>
      </c>
      <c r="L12" s="296">
        <f>(Time!L14*('13   EarthSum'!$G24+'13   EarthSum'!$H24)*L$10)</f>
        <v>779557.12388022838</v>
      </c>
      <c r="M12" s="296">
        <f>(Time!M14*('13   EarthSum'!$G24+'13   EarthSum'!$H24)*M$10)</f>
        <v>866174.58208914264</v>
      </c>
      <c r="N12" s="296">
        <f>(Time!N14*('13   EarthSum'!$G24+'13   EarthSum'!$H24)*N$10)</f>
        <v>952792.04029805691</v>
      </c>
      <c r="O12" s="296">
        <f>(Time!O14*('13   EarthSum'!$G24+'13   EarthSum'!$H24)*O$10)</f>
        <v>1039409.4985069712</v>
      </c>
      <c r="P12" s="296">
        <f>(Time!P14*('13   EarthSum'!$G24+'13   EarthSum'!$H24)*P$10)</f>
        <v>1126026.9567158855</v>
      </c>
      <c r="Q12" s="296">
        <f>(Time!Q14*('13   EarthSum'!$G24+'13   EarthSum'!$H24)*Q$10)</f>
        <v>1212644.4149247997</v>
      </c>
      <c r="R12" s="296">
        <f>(Time!R14*('13   EarthSum'!$G24+'13   EarthSum'!$H24)*R$10)</f>
        <v>1299261.8731337138</v>
      </c>
      <c r="S12" s="296">
        <f>(Time!S14*('13   EarthSum'!$G24+'13   EarthSum'!$H24)*S$10)</f>
        <v>1385879.3313426282</v>
      </c>
      <c r="T12" s="296">
        <f>(Time!T14*('13   EarthSum'!$G24+'13   EarthSum'!$H24)*T$10)</f>
        <v>1472496.7895515426</v>
      </c>
      <c r="U12" s="296">
        <f>(Time!U14*('13   EarthSum'!$G24+'13   EarthSum'!$H24)*U$10)</f>
        <v>1559114.2477604568</v>
      </c>
      <c r="V12" s="296">
        <f>(Time!V14*('13   EarthSum'!$G24+'13   EarthSum'!$H24)*V$10)</f>
        <v>1645731.7059693709</v>
      </c>
      <c r="W12" s="296">
        <f>(Time!W14*('13   EarthSum'!$G24+'13   EarthSum'!$H24)*W$10)</f>
        <v>1732349.1641782853</v>
      </c>
      <c r="X12" s="296">
        <f>(Time!X14*('13   EarthSum'!$G24+'13   EarthSum'!$H24)*X$10)</f>
        <v>1818966.6223871997</v>
      </c>
      <c r="Y12" s="296">
        <f>(Time!Y14*('13   EarthSum'!$G24+'13   EarthSum'!$H24)*Y$10)</f>
        <v>1905584.0805961138</v>
      </c>
      <c r="Z12" s="296">
        <f>(Time!Z14*('13   EarthSum'!$G24+'13   EarthSum'!$H24)*Z$10)</f>
        <v>1992201.538805028</v>
      </c>
      <c r="AA12" s="296">
        <f>(Time!AA14*('13   EarthSum'!$G24+'13   EarthSum'!$H24)*AA$10)</f>
        <v>2078818.9970139423</v>
      </c>
      <c r="AB12" s="296">
        <f>(Time!AB14*('13   EarthSum'!$G24+'13   EarthSum'!$H24)*AB$10)</f>
        <v>2165436.4552228567</v>
      </c>
    </row>
    <row r="13" spans="1:28" x14ac:dyDescent="0.2">
      <c r="A13" s="84" t="str">
        <f>Productivity!A15</f>
        <v>Haul cover soil</v>
      </c>
      <c r="B13" s="84" t="str">
        <f>Productivity!B15</f>
        <v>North OB Stockpile, OB-5 Stockpile</v>
      </c>
      <c r="C13" s="84" t="str">
        <f>Productivity!C15</f>
        <v>Magnetite Tailings Outslopes</v>
      </c>
      <c r="D13" s="84" t="str">
        <f>'13   EarthSum'!C25</f>
        <v>777F</v>
      </c>
      <c r="E13" s="296">
        <f>(Time!E15*('13   EarthSum'!$G25+'13   EarthSum'!$H25)*E$10)</f>
        <v>25737.148025208535</v>
      </c>
      <c r="F13" s="296">
        <f>(Time!F15*('13   EarthSum'!$G25+'13   EarthSum'!$H25)*F$10)</f>
        <v>25737.148025208531</v>
      </c>
      <c r="G13" s="296">
        <f>(Time!G15*('13   EarthSum'!$G25+'13   EarthSum'!$H25)*G$10)</f>
        <v>32239.056743771423</v>
      </c>
      <c r="H13" s="296">
        <f>(Time!H15*('13   EarthSum'!$G25+'13   EarthSum'!$H25)*H$10)</f>
        <v>40298.820929714282</v>
      </c>
      <c r="I13" s="296">
        <f>(Time!I15*('13   EarthSum'!$G25+'13   EarthSum'!$H25)*I$10)</f>
        <v>48358.585115657137</v>
      </c>
      <c r="J13" s="296">
        <f>(Time!J15*('13   EarthSum'!$G25+'13   EarthSum'!$H25)*J$10)</f>
        <v>56418.349301599992</v>
      </c>
      <c r="K13" s="296">
        <f>(Time!K15*('13   EarthSum'!$G25+'13   EarthSum'!$H25)*K$10)</f>
        <v>64478.113487542847</v>
      </c>
      <c r="L13" s="296">
        <f>(Time!L15*('13   EarthSum'!$G25+'13   EarthSum'!$H25)*L$10)</f>
        <v>72537.877673485709</v>
      </c>
      <c r="M13" s="296">
        <f>(Time!M15*('13   EarthSum'!$G25+'13   EarthSum'!$H25)*M$10)</f>
        <v>80597.641859428564</v>
      </c>
      <c r="N13" s="296">
        <f>(Time!N15*('13   EarthSum'!$G25+'13   EarthSum'!$H25)*N$10)</f>
        <v>88657.406045371419</v>
      </c>
      <c r="O13" s="296">
        <f>(Time!O15*('13   EarthSum'!$G25+'13   EarthSum'!$H25)*O$10)</f>
        <v>96717.170231314274</v>
      </c>
      <c r="P13" s="296">
        <f>(Time!P15*('13   EarthSum'!$G25+'13   EarthSum'!$H25)*P$10)</f>
        <v>104776.93441725713</v>
      </c>
      <c r="Q13" s="296">
        <f>(Time!Q15*('13   EarthSum'!$G25+'13   EarthSum'!$H25)*Q$10)</f>
        <v>112836.69860319998</v>
      </c>
      <c r="R13" s="296">
        <f>(Time!R15*('13   EarthSum'!$G25+'13   EarthSum'!$H25)*R$10)</f>
        <v>120896.46278914284</v>
      </c>
      <c r="S13" s="296">
        <f>(Time!S15*('13   EarthSum'!$G25+'13   EarthSum'!$H25)*S$10)</f>
        <v>128956.22697508569</v>
      </c>
      <c r="T13" s="296">
        <f>(Time!T15*('13   EarthSum'!$G25+'13   EarthSum'!$H25)*T$10)</f>
        <v>137015.99116102856</v>
      </c>
      <c r="U13" s="296">
        <f>(Time!U15*('13   EarthSum'!$G25+'13   EarthSum'!$H25)*U$10)</f>
        <v>145075.75534697142</v>
      </c>
      <c r="V13" s="296">
        <f>(Time!V15*('13   EarthSum'!$G25+'13   EarthSum'!$H25)*V$10)</f>
        <v>153135.51953291427</v>
      </c>
      <c r="W13" s="296">
        <f>(Time!W15*('13   EarthSum'!$G25+'13   EarthSum'!$H25)*W$10)</f>
        <v>161195.28371885713</v>
      </c>
      <c r="X13" s="296">
        <f>(Time!X15*('13   EarthSum'!$G25+'13   EarthSum'!$H25)*X$10)</f>
        <v>169255.04790479998</v>
      </c>
      <c r="Y13" s="296">
        <f>(Time!Y15*('13   EarthSum'!$G25+'13   EarthSum'!$H25)*Y$10)</f>
        <v>177314.81209074284</v>
      </c>
      <c r="Z13" s="296">
        <f>(Time!Z15*('13   EarthSum'!$G25+'13   EarthSum'!$H25)*Z$10)</f>
        <v>185374.57627668569</v>
      </c>
      <c r="AA13" s="296">
        <f>(Time!AA15*('13   EarthSum'!$G25+'13   EarthSum'!$H25)*AA$10)</f>
        <v>193434.34046262855</v>
      </c>
      <c r="AB13" s="296">
        <f>(Time!AB15*('13   EarthSum'!$G25+'13   EarthSum'!$H25)*AB$10)</f>
        <v>201494.1046485714</v>
      </c>
    </row>
  </sheetData>
  <customSheetViews>
    <customSheetView guid="{022582FA-9605-4A7F-B587-E5659EE41F6B}" showPageBreaks="1" printArea="1" showRuler="0">
      <selection activeCell="D25" sqref="D25"/>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howRuler="0">
      <selection activeCell="F23" sqref="F23"/>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1" type="noConversion"/>
  <printOptions horizontalCentered="1"/>
  <pageMargins left="0.75" right="0.75" top="1" bottom="1" header="0.5" footer="0.5"/>
  <pageSetup paperSize="17" scale="43" orientation="landscape" r:id="rId3"/>
  <headerFooter alignWithMargins="0">
    <oddFooter>&amp;C&amp;F
&amp;   Mag Tails Sheet 9c
&amp;
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B13"/>
  <sheetViews>
    <sheetView defaultGridColor="0" colorId="22" zoomScaleNormal="75" zoomScaleSheetLayoutView="100" workbookViewId="0">
      <selection activeCell="L3" sqref="L3"/>
    </sheetView>
  </sheetViews>
  <sheetFormatPr defaultColWidth="7.21875" defaultRowHeight="12.75" x14ac:dyDescent="0.2"/>
  <cols>
    <col min="1" max="1" width="12.5546875" style="82" customWidth="1"/>
    <col min="2" max="2" width="15.21875" style="82" customWidth="1"/>
    <col min="3" max="3" width="23.33203125" style="82" customWidth="1"/>
    <col min="4" max="4" width="10.33203125" style="82" customWidth="1"/>
    <col min="5" max="5" width="11.33203125" style="82" customWidth="1"/>
    <col min="6" max="8" width="10.33203125" style="82" customWidth="1"/>
    <col min="9" max="9" width="11.5546875" style="82" customWidth="1"/>
    <col min="10" max="28" width="10.33203125" style="82" customWidth="1"/>
    <col min="29" max="16384" width="7.21875" style="82"/>
  </cols>
  <sheetData>
    <row r="1" spans="1:28" ht="15" x14ac:dyDescent="0.2">
      <c r="A1" s="62"/>
      <c r="B1" s="96"/>
      <c r="C1" s="96"/>
      <c r="D1" s="96"/>
      <c r="E1" s="96"/>
      <c r="F1" s="96"/>
      <c r="G1" s="96"/>
      <c r="H1" s="96"/>
      <c r="J1" s="84"/>
      <c r="L1" s="97" t="str">
        <f>Productivity!J1</f>
        <v>Cobre</v>
      </c>
      <c r="M1" s="84"/>
      <c r="N1" s="84"/>
      <c r="O1" s="84"/>
      <c r="P1" s="84"/>
      <c r="Q1" s="84"/>
      <c r="R1" s="84"/>
      <c r="S1" s="84"/>
      <c r="T1" s="84"/>
      <c r="U1" s="84"/>
      <c r="V1" s="84"/>
      <c r="W1" s="84"/>
      <c r="X1" s="84"/>
      <c r="Y1" s="84"/>
      <c r="Z1" s="84"/>
      <c r="AA1" s="84"/>
      <c r="AB1" s="84"/>
    </row>
    <row r="2" spans="1:28" ht="15" x14ac:dyDescent="0.2">
      <c r="A2" s="62"/>
      <c r="B2" s="96"/>
      <c r="C2" s="96"/>
      <c r="D2" s="96"/>
      <c r="E2" s="96"/>
      <c r="F2" s="96"/>
      <c r="G2" s="96"/>
      <c r="H2" s="96"/>
      <c r="J2" s="84"/>
      <c r="L2" s="273" t="s">
        <v>305</v>
      </c>
      <c r="M2" s="84"/>
      <c r="N2" s="84"/>
      <c r="O2" s="84"/>
      <c r="P2" s="84"/>
      <c r="Q2" s="84"/>
      <c r="R2" s="84"/>
      <c r="S2" s="84"/>
      <c r="T2" s="84"/>
      <c r="U2" s="84"/>
      <c r="V2" s="84"/>
      <c r="W2" s="84"/>
      <c r="X2" s="84"/>
      <c r="Y2" s="84"/>
      <c r="Z2" s="84"/>
      <c r="AA2" s="84"/>
      <c r="AB2" s="84"/>
    </row>
    <row r="3" spans="1:28" ht="15" x14ac:dyDescent="0.2">
      <c r="A3" s="99" t="s">
        <v>171</v>
      </c>
      <c r="B3" s="99"/>
      <c r="C3" s="99"/>
      <c r="D3" s="99"/>
      <c r="E3" s="96"/>
      <c r="F3" s="96"/>
      <c r="G3" s="96"/>
      <c r="H3" s="96"/>
      <c r="J3" s="84"/>
      <c r="L3" s="100">
        <f>Productivity!J3</f>
        <v>41955</v>
      </c>
      <c r="M3" s="84"/>
      <c r="N3" s="84"/>
      <c r="O3" s="84"/>
      <c r="P3" s="84"/>
      <c r="Q3" s="84"/>
      <c r="R3" s="84"/>
      <c r="S3" s="84"/>
      <c r="T3" s="84"/>
      <c r="U3" s="84"/>
      <c r="V3" s="84"/>
      <c r="W3" s="84"/>
      <c r="X3" s="84"/>
      <c r="Y3" s="84"/>
      <c r="Z3" s="84"/>
      <c r="AA3" s="84"/>
      <c r="AB3" s="84"/>
    </row>
    <row r="4" spans="1:28" ht="26.25" x14ac:dyDescent="0.4">
      <c r="A4" s="223"/>
      <c r="B4" s="96"/>
      <c r="C4" s="96"/>
      <c r="D4" s="96"/>
      <c r="E4" s="96"/>
      <c r="F4" s="96"/>
      <c r="G4" s="96"/>
      <c r="H4" s="96"/>
      <c r="I4" s="97"/>
      <c r="J4" s="84"/>
      <c r="K4" s="84"/>
      <c r="L4" s="84"/>
      <c r="M4" s="84"/>
      <c r="N4" s="84"/>
      <c r="O4" s="84"/>
      <c r="P4" s="84"/>
      <c r="Q4" s="84"/>
      <c r="R4" s="84"/>
      <c r="S4" s="84"/>
      <c r="T4" s="84"/>
      <c r="U4" s="84"/>
      <c r="V4" s="84"/>
      <c r="W4" s="84"/>
      <c r="X4" s="84"/>
      <c r="Y4" s="84"/>
      <c r="Z4" s="84"/>
      <c r="AA4" s="84"/>
      <c r="AB4" s="84"/>
    </row>
    <row r="5" spans="1:28" ht="15" x14ac:dyDescent="0.2">
      <c r="A5" s="97" t="s">
        <v>172</v>
      </c>
      <c r="B5" s="96" t="s">
        <v>173</v>
      </c>
      <c r="C5" s="187"/>
      <c r="D5" s="96"/>
      <c r="E5" s="96"/>
      <c r="F5" s="96"/>
      <c r="G5" s="96"/>
      <c r="H5" s="96"/>
      <c r="I5" s="97"/>
      <c r="J5" s="84"/>
      <c r="K5" s="84"/>
      <c r="L5" s="84"/>
      <c r="M5" s="84"/>
      <c r="N5" s="84"/>
      <c r="O5" s="84"/>
      <c r="P5" s="84"/>
      <c r="Q5" s="84"/>
      <c r="R5" s="84"/>
      <c r="S5" s="84"/>
      <c r="T5" s="84"/>
      <c r="U5" s="84"/>
      <c r="V5" s="84"/>
      <c r="W5" s="84"/>
      <c r="X5" s="84"/>
      <c r="Y5" s="84"/>
      <c r="Z5" s="84"/>
      <c r="AA5" s="84"/>
      <c r="AB5" s="84"/>
    </row>
    <row r="6" spans="1:28" ht="15" x14ac:dyDescent="0.2">
      <c r="A6" s="97"/>
      <c r="B6" s="96"/>
      <c r="C6" s="187"/>
      <c r="D6" s="96"/>
      <c r="E6" s="96"/>
      <c r="F6" s="96"/>
      <c r="G6" s="96"/>
      <c r="H6" s="96"/>
      <c r="I6" s="97"/>
      <c r="J6" s="84"/>
      <c r="K6" s="84"/>
      <c r="L6" s="84"/>
      <c r="M6" s="84"/>
      <c r="N6" s="84"/>
      <c r="O6" s="84"/>
      <c r="P6" s="84"/>
      <c r="Q6" s="84"/>
      <c r="R6" s="84"/>
      <c r="S6" s="84"/>
      <c r="T6" s="84"/>
      <c r="U6" s="84"/>
      <c r="V6" s="84"/>
      <c r="W6" s="84"/>
      <c r="X6" s="84"/>
      <c r="Y6" s="84"/>
      <c r="Z6" s="84"/>
      <c r="AA6" s="84"/>
      <c r="AB6" s="84"/>
    </row>
    <row r="7" spans="1:28" ht="18.75" x14ac:dyDescent="0.3">
      <c r="A7" s="97" t="s">
        <v>160</v>
      </c>
      <c r="B7" s="96" t="s">
        <v>174</v>
      </c>
      <c r="C7" s="265"/>
      <c r="D7" s="96"/>
      <c r="E7" s="96"/>
      <c r="F7" s="96"/>
      <c r="G7" s="96"/>
      <c r="H7" s="96"/>
      <c r="I7" s="97"/>
      <c r="J7" s="84"/>
      <c r="K7" s="84"/>
      <c r="L7" s="84"/>
      <c r="M7" s="84"/>
      <c r="N7" s="84"/>
      <c r="O7" s="84"/>
      <c r="P7" s="84"/>
      <c r="Q7" s="84"/>
      <c r="R7" s="84"/>
      <c r="S7" s="84"/>
      <c r="T7" s="84"/>
      <c r="U7" s="84"/>
      <c r="V7" s="84"/>
      <c r="W7" s="84"/>
      <c r="X7" s="84"/>
      <c r="Y7" s="84"/>
      <c r="Z7" s="84"/>
      <c r="AA7" s="84"/>
      <c r="AB7" s="84"/>
    </row>
    <row r="8" spans="1:28" ht="15" x14ac:dyDescent="0.2">
      <c r="A8" s="187"/>
      <c r="B8" s="96"/>
      <c r="C8" s="96"/>
      <c r="D8" s="96"/>
      <c r="E8" s="96"/>
      <c r="F8" s="96"/>
      <c r="G8" s="96"/>
      <c r="H8" s="96"/>
      <c r="I8" s="97"/>
      <c r="J8" s="84"/>
      <c r="K8" s="84"/>
      <c r="L8" s="84"/>
      <c r="M8" s="84"/>
      <c r="N8" s="84"/>
      <c r="O8" s="84"/>
      <c r="P8" s="84"/>
      <c r="Q8" s="84"/>
      <c r="R8" s="84"/>
      <c r="S8" s="84"/>
      <c r="T8" s="84"/>
      <c r="U8" s="84"/>
      <c r="V8" s="84"/>
      <c r="W8" s="84"/>
      <c r="X8" s="84"/>
      <c r="Y8" s="84"/>
      <c r="Z8" s="84"/>
      <c r="AA8" s="84"/>
      <c r="AB8" s="84"/>
    </row>
    <row r="9" spans="1:28" ht="15" x14ac:dyDescent="0.2">
      <c r="A9" s="187"/>
      <c r="B9" s="84"/>
      <c r="C9" s="84"/>
      <c r="D9" s="84" t="s">
        <v>20</v>
      </c>
      <c r="E9" s="84" t="s">
        <v>162</v>
      </c>
      <c r="F9" s="84"/>
      <c r="G9" s="84"/>
      <c r="H9" s="84"/>
      <c r="I9" s="84"/>
      <c r="J9" s="84"/>
      <c r="K9" s="84"/>
      <c r="L9" s="84"/>
      <c r="M9" s="84"/>
      <c r="N9" s="84"/>
      <c r="O9" s="84"/>
      <c r="P9" s="84"/>
      <c r="Q9" s="84"/>
      <c r="R9" s="84"/>
      <c r="S9" s="84"/>
      <c r="T9" s="84"/>
      <c r="U9" s="84"/>
      <c r="V9" s="84"/>
      <c r="W9" s="84"/>
      <c r="X9" s="84"/>
      <c r="Y9" s="84"/>
      <c r="Z9" s="84"/>
      <c r="AA9" s="84"/>
      <c r="AB9" s="84"/>
    </row>
    <row r="10" spans="1:28" x14ac:dyDescent="0.2">
      <c r="A10" s="83" t="s">
        <v>91</v>
      </c>
      <c r="B10" s="84" t="s">
        <v>116</v>
      </c>
      <c r="C10" s="84" t="s">
        <v>117</v>
      </c>
      <c r="D10" s="163"/>
      <c r="E10" s="84">
        <v>2</v>
      </c>
      <c r="F10" s="84">
        <f>E10+1</f>
        <v>3</v>
      </c>
      <c r="G10" s="84">
        <f t="shared" ref="G10:AB10" si="0">F10+1</f>
        <v>4</v>
      </c>
      <c r="H10" s="84">
        <f t="shared" si="0"/>
        <v>5</v>
      </c>
      <c r="I10" s="84">
        <f t="shared" si="0"/>
        <v>6</v>
      </c>
      <c r="J10" s="84">
        <f t="shared" si="0"/>
        <v>7</v>
      </c>
      <c r="K10" s="84">
        <f t="shared" si="0"/>
        <v>8</v>
      </c>
      <c r="L10" s="84">
        <f t="shared" si="0"/>
        <v>9</v>
      </c>
      <c r="M10" s="84">
        <f t="shared" si="0"/>
        <v>10</v>
      </c>
      <c r="N10" s="84">
        <f t="shared" si="0"/>
        <v>11</v>
      </c>
      <c r="O10" s="84">
        <f t="shared" si="0"/>
        <v>12</v>
      </c>
      <c r="P10" s="84">
        <f t="shared" si="0"/>
        <v>13</v>
      </c>
      <c r="Q10" s="84">
        <f t="shared" si="0"/>
        <v>14</v>
      </c>
      <c r="R10" s="84">
        <f t="shared" si="0"/>
        <v>15</v>
      </c>
      <c r="S10" s="84">
        <f t="shared" si="0"/>
        <v>16</v>
      </c>
      <c r="T10" s="84">
        <f t="shared" si="0"/>
        <v>17</v>
      </c>
      <c r="U10" s="84">
        <f t="shared" si="0"/>
        <v>18</v>
      </c>
      <c r="V10" s="84">
        <f t="shared" si="0"/>
        <v>19</v>
      </c>
      <c r="W10" s="84">
        <f t="shared" si="0"/>
        <v>20</v>
      </c>
      <c r="X10" s="84">
        <f t="shared" si="0"/>
        <v>21</v>
      </c>
      <c r="Y10" s="84">
        <f t="shared" si="0"/>
        <v>22</v>
      </c>
      <c r="Z10" s="84">
        <f t="shared" si="0"/>
        <v>23</v>
      </c>
      <c r="AA10" s="84">
        <f t="shared" si="0"/>
        <v>24</v>
      </c>
      <c r="AB10" s="84">
        <f t="shared" si="0"/>
        <v>25</v>
      </c>
    </row>
    <row r="11" spans="1:28" ht="15" x14ac:dyDescent="0.2">
      <c r="A11" s="102"/>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row>
    <row r="12" spans="1:28" x14ac:dyDescent="0.2">
      <c r="A12" s="84" t="str">
        <f>Productivity!A14</f>
        <v>Haul cover soil</v>
      </c>
      <c r="B12" s="84" t="str">
        <f>Productivity!B14</f>
        <v>North OB Stockpile, OB-5 Stockpile</v>
      </c>
      <c r="C12" s="84" t="str">
        <f>Productivity!C14</f>
        <v xml:space="preserve">Magnetite Tailings Top </v>
      </c>
      <c r="D12" s="84" t="str">
        <f>'3   Material'!G13</f>
        <v>992K</v>
      </c>
      <c r="E12" s="296">
        <f>Time!E14*('13   EarthSum'!$G20+'13   EarthSum'!$H20)</f>
        <v>171932.56360965956</v>
      </c>
      <c r="F12" s="296">
        <f>Time!F14*('13   EarthSum'!$G20+'13   EarthSum'!$H20)</f>
        <v>114621.70907310638</v>
      </c>
      <c r="G12" s="296">
        <f>Time!G14*('13   EarthSum'!$G20+'13   EarthSum'!$H20)</f>
        <v>107294.48028891429</v>
      </c>
      <c r="H12" s="296">
        <f>Time!H14*('13   EarthSum'!$G20+'13   EarthSum'!$H20)</f>
        <v>107294.48028891429</v>
      </c>
      <c r="I12" s="296">
        <f>Time!I14*('13   EarthSum'!$G20+'13   EarthSum'!$H20)</f>
        <v>107294.48028891429</v>
      </c>
      <c r="J12" s="296">
        <f>Time!J14*('13   EarthSum'!$G20+'13   EarthSum'!$H20)</f>
        <v>107294.48028891429</v>
      </c>
      <c r="K12" s="296">
        <f>Time!K14*('13   EarthSum'!$G20+'13   EarthSum'!$H20)</f>
        <v>107294.48028891429</v>
      </c>
      <c r="L12" s="296">
        <f>Time!L14*('13   EarthSum'!$G20+'13   EarthSum'!$H20)</f>
        <v>107294.48028891429</v>
      </c>
      <c r="M12" s="296">
        <f>Time!M14*('13   EarthSum'!$G20+'13   EarthSum'!$H20)</f>
        <v>107294.48028891429</v>
      </c>
      <c r="N12" s="296">
        <f>Time!N14*('13   EarthSum'!$G20+'13   EarthSum'!$H20)</f>
        <v>107294.48028891429</v>
      </c>
      <c r="O12" s="296">
        <f>Time!O14*('13   EarthSum'!$G20+'13   EarthSum'!$H20)</f>
        <v>107294.48028891429</v>
      </c>
      <c r="P12" s="296">
        <f>Time!P14*('13   EarthSum'!$G20+'13   EarthSum'!$H20)</f>
        <v>107294.48028891429</v>
      </c>
      <c r="Q12" s="296">
        <f>Time!Q14*('13   EarthSum'!$G20+'13   EarthSum'!$H20)</f>
        <v>107294.48028891429</v>
      </c>
      <c r="R12" s="296">
        <f>Time!R14*('13   EarthSum'!$G20+'13   EarthSum'!$H20)</f>
        <v>107294.48028891429</v>
      </c>
      <c r="S12" s="296">
        <f>Time!S14*('13   EarthSum'!$G20+'13   EarthSum'!$H20)</f>
        <v>107294.48028891429</v>
      </c>
      <c r="T12" s="296">
        <f>Time!T14*('13   EarthSum'!$G20+'13   EarthSum'!$H20)</f>
        <v>107294.48028891429</v>
      </c>
      <c r="U12" s="296">
        <f>Time!U14*('13   EarthSum'!$G20+'13   EarthSum'!$H20)</f>
        <v>107294.48028891429</v>
      </c>
      <c r="V12" s="296">
        <f>Time!V14*('13   EarthSum'!$G20+'13   EarthSum'!$H20)</f>
        <v>107294.48028891429</v>
      </c>
      <c r="W12" s="296">
        <f>Time!W14*('13   EarthSum'!$G20+'13   EarthSum'!$H20)</f>
        <v>107294.48028891429</v>
      </c>
      <c r="X12" s="296">
        <f>Time!X14*('13   EarthSum'!$G20+'13   EarthSum'!$H20)</f>
        <v>107294.48028891429</v>
      </c>
      <c r="Y12" s="296">
        <f>Time!Y14*('13   EarthSum'!$G20+'13   EarthSum'!$H20)</f>
        <v>107294.48028891429</v>
      </c>
      <c r="Z12" s="296">
        <f>Time!Z14*('13   EarthSum'!$G20+'13   EarthSum'!$H20)</f>
        <v>107294.48028891429</v>
      </c>
      <c r="AA12" s="296">
        <f>Time!AA14*('13   EarthSum'!$G20+'13   EarthSum'!$H20)</f>
        <v>107294.48028891429</v>
      </c>
      <c r="AB12" s="296">
        <f>Time!AB14*('13   EarthSum'!$G20+'13   EarthSum'!$H20)</f>
        <v>107294.48028891429</v>
      </c>
    </row>
    <row r="13" spans="1:28" x14ac:dyDescent="0.2">
      <c r="A13" s="84" t="str">
        <f>Productivity!A15</f>
        <v>Haul cover soil</v>
      </c>
      <c r="B13" s="84" t="str">
        <f>Productivity!B15</f>
        <v>North OB Stockpile, OB-5 Stockpile</v>
      </c>
      <c r="C13" s="84" t="str">
        <f>Productivity!C15</f>
        <v>Magnetite Tailings Outslopes</v>
      </c>
      <c r="D13" s="84" t="str">
        <f>'3   Material'!G14</f>
        <v>992K</v>
      </c>
      <c r="E13" s="296">
        <f>Time!E15*('13   EarthSum'!$G21+'13   EarthSum'!$H21)</f>
        <v>15940.5157954601</v>
      </c>
      <c r="F13" s="296">
        <f>Time!F15*('13   EarthSum'!$G21+'13   EarthSum'!$H21)</f>
        <v>10627.010530306734</v>
      </c>
      <c r="G13" s="296">
        <f>Time!G15*('13   EarthSum'!$G21+'13   EarthSum'!$H21)</f>
        <v>9983.7634059428565</v>
      </c>
      <c r="H13" s="296">
        <f>Time!H15*('13   EarthSum'!$G21+'13   EarthSum'!$H21)</f>
        <v>9983.7634059428565</v>
      </c>
      <c r="I13" s="296">
        <f>Time!I15*('13   EarthSum'!$G21+'13   EarthSum'!$H21)</f>
        <v>9983.7634059428565</v>
      </c>
      <c r="J13" s="296">
        <f>Time!J15*('13   EarthSum'!$G21+'13   EarthSum'!$H21)</f>
        <v>9983.7634059428565</v>
      </c>
      <c r="K13" s="296">
        <f>Time!K15*('13   EarthSum'!$G21+'13   EarthSum'!$H21)</f>
        <v>9983.7634059428565</v>
      </c>
      <c r="L13" s="296">
        <f>Time!L15*('13   EarthSum'!$G21+'13   EarthSum'!$H21)</f>
        <v>9983.7634059428565</v>
      </c>
      <c r="M13" s="296">
        <f>Time!M15*('13   EarthSum'!$G21+'13   EarthSum'!$H21)</f>
        <v>9983.7634059428565</v>
      </c>
      <c r="N13" s="296">
        <f>Time!N15*('13   EarthSum'!$G21+'13   EarthSum'!$H21)</f>
        <v>9983.7634059428565</v>
      </c>
      <c r="O13" s="296">
        <f>Time!O15*('13   EarthSum'!$G21+'13   EarthSum'!$H21)</f>
        <v>9983.7634059428565</v>
      </c>
      <c r="P13" s="296">
        <f>Time!P15*('13   EarthSum'!$G21+'13   EarthSum'!$H21)</f>
        <v>9983.7634059428565</v>
      </c>
      <c r="Q13" s="296">
        <f>Time!Q15*('13   EarthSum'!$G21+'13   EarthSum'!$H21)</f>
        <v>9983.7634059428565</v>
      </c>
      <c r="R13" s="296">
        <f>Time!R15*('13   EarthSum'!$G21+'13   EarthSum'!$H21)</f>
        <v>9983.7634059428565</v>
      </c>
      <c r="S13" s="296">
        <f>Time!S15*('13   EarthSum'!$G21+'13   EarthSum'!$H21)</f>
        <v>9983.7634059428565</v>
      </c>
      <c r="T13" s="296">
        <f>Time!T15*('13   EarthSum'!$G21+'13   EarthSum'!$H21)</f>
        <v>9983.7634059428565</v>
      </c>
      <c r="U13" s="296">
        <f>Time!U15*('13   EarthSum'!$G21+'13   EarthSum'!$H21)</f>
        <v>9983.7634059428565</v>
      </c>
      <c r="V13" s="296">
        <f>Time!V15*('13   EarthSum'!$G21+'13   EarthSum'!$H21)</f>
        <v>9983.7634059428565</v>
      </c>
      <c r="W13" s="296">
        <f>Time!W15*('13   EarthSum'!$G21+'13   EarthSum'!$H21)</f>
        <v>9983.7634059428565</v>
      </c>
      <c r="X13" s="296">
        <f>Time!X15*('13   EarthSum'!$G21+'13   EarthSum'!$H21)</f>
        <v>9983.7634059428565</v>
      </c>
      <c r="Y13" s="296">
        <f>Time!Y15*('13   EarthSum'!$G21+'13   EarthSum'!$H21)</f>
        <v>9983.7634059428565</v>
      </c>
      <c r="Z13" s="296">
        <f>Time!Z15*('13   EarthSum'!$G21+'13   EarthSum'!$H21)</f>
        <v>9983.7634059428565</v>
      </c>
      <c r="AA13" s="296">
        <f>Time!AA15*('13   EarthSum'!$G21+'13   EarthSum'!$H21)</f>
        <v>9983.7634059428565</v>
      </c>
      <c r="AB13" s="296">
        <f>Time!AB15*('13   EarthSum'!$G21+'13   EarthSum'!$H21)</f>
        <v>9983.7634059428565</v>
      </c>
    </row>
  </sheetData>
  <customSheetViews>
    <customSheetView guid="{022582FA-9605-4A7F-B587-E5659EE41F6B}" showPageBreaks="1" printArea="1" showRuler="0">
      <selection activeCell="E12" sqref="E12"/>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howRuler="0">
      <selection activeCell="B16" sqref="B16"/>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1" type="noConversion"/>
  <printOptions horizontalCentered="1"/>
  <pageMargins left="0.75" right="0.75" top="1" bottom="1" header="0.5" footer="0.5"/>
  <pageSetup paperSize="17" scale="45" orientation="landscape" r:id="rId3"/>
  <headerFooter alignWithMargins="0">
    <oddFooter>&amp;C&amp;F
&amp;   Mag Tails Sheet 9d
&amp;
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C13"/>
  <sheetViews>
    <sheetView defaultGridColor="0" colorId="22" zoomScaleNormal="75" zoomScaleSheetLayoutView="75" workbookViewId="0">
      <selection activeCell="L3" sqref="L3"/>
    </sheetView>
  </sheetViews>
  <sheetFormatPr defaultColWidth="7.21875" defaultRowHeight="12.75" x14ac:dyDescent="0.2"/>
  <cols>
    <col min="1" max="1" width="13.109375" style="82" customWidth="1"/>
    <col min="2" max="2" width="15.109375" style="82" customWidth="1"/>
    <col min="3" max="3" width="22.77734375" style="82" customWidth="1"/>
    <col min="4" max="4" width="7.21875" style="82" customWidth="1"/>
    <col min="5" max="29" width="10.33203125" style="82" customWidth="1"/>
    <col min="30" max="16384" width="7.21875" style="82"/>
  </cols>
  <sheetData>
    <row r="1" spans="1:29" ht="15" x14ac:dyDescent="0.2">
      <c r="A1" s="62"/>
      <c r="B1" s="103"/>
      <c r="C1" s="103"/>
      <c r="D1" s="103"/>
      <c r="E1" s="103"/>
      <c r="F1" s="103"/>
      <c r="G1" s="103"/>
      <c r="H1" s="103"/>
      <c r="J1" s="83"/>
      <c r="K1" s="83"/>
      <c r="L1" s="98" t="str">
        <f>Productivity!J1</f>
        <v>Cobre</v>
      </c>
      <c r="M1" s="83"/>
      <c r="N1" s="83"/>
      <c r="O1" s="83"/>
      <c r="P1" s="83"/>
      <c r="Q1" s="83"/>
      <c r="R1" s="83"/>
      <c r="S1" s="83"/>
      <c r="T1" s="83"/>
      <c r="U1" s="83"/>
      <c r="V1" s="83"/>
      <c r="W1" s="83"/>
      <c r="X1" s="83"/>
      <c r="Y1" s="83"/>
      <c r="Z1" s="83"/>
      <c r="AA1" s="83"/>
      <c r="AB1" s="83"/>
      <c r="AC1" s="84"/>
    </row>
    <row r="2" spans="1:29" ht="15" x14ac:dyDescent="0.2">
      <c r="A2" s="62"/>
      <c r="B2" s="103"/>
      <c r="C2" s="103"/>
      <c r="D2" s="103"/>
      <c r="E2" s="103"/>
      <c r="F2" s="103"/>
      <c r="G2" s="103"/>
      <c r="H2" s="103"/>
      <c r="J2" s="83"/>
      <c r="K2" s="83"/>
      <c r="L2" s="273" t="s">
        <v>306</v>
      </c>
      <c r="M2" s="83"/>
      <c r="N2" s="83"/>
      <c r="O2" s="83"/>
      <c r="P2" s="83"/>
      <c r="Q2" s="83"/>
      <c r="R2" s="83"/>
      <c r="S2" s="83"/>
      <c r="T2" s="83"/>
      <c r="U2" s="83"/>
      <c r="V2" s="83"/>
      <c r="W2" s="83"/>
      <c r="X2" s="83"/>
      <c r="Y2" s="83"/>
      <c r="Z2" s="83"/>
      <c r="AA2" s="83"/>
      <c r="AB2" s="83"/>
      <c r="AC2" s="84"/>
    </row>
    <row r="3" spans="1:29" x14ac:dyDescent="0.2">
      <c r="A3" s="104" t="s">
        <v>175</v>
      </c>
      <c r="B3" s="104"/>
      <c r="C3" s="104"/>
      <c r="D3" s="104"/>
      <c r="E3" s="103"/>
      <c r="F3" s="103"/>
      <c r="G3" s="103"/>
      <c r="H3" s="103"/>
      <c r="J3" s="83"/>
      <c r="K3" s="83"/>
      <c r="L3" s="105">
        <f>Productivity!J3</f>
        <v>41955</v>
      </c>
      <c r="M3" s="83"/>
      <c r="N3" s="83"/>
      <c r="O3" s="83"/>
      <c r="P3" s="83"/>
      <c r="Q3" s="83"/>
      <c r="R3" s="83"/>
      <c r="S3" s="83"/>
      <c r="T3" s="83"/>
      <c r="U3" s="83"/>
      <c r="V3" s="83"/>
      <c r="W3" s="83"/>
      <c r="X3" s="83"/>
      <c r="Y3" s="83"/>
      <c r="Z3" s="83"/>
      <c r="AA3" s="83"/>
      <c r="AB3" s="83"/>
      <c r="AC3" s="84"/>
    </row>
    <row r="4" spans="1:29" ht="26.25" x14ac:dyDescent="0.4">
      <c r="A4" s="223"/>
      <c r="B4" s="103"/>
      <c r="C4" s="103"/>
      <c r="D4" s="103"/>
      <c r="E4" s="103"/>
      <c r="F4" s="103"/>
      <c r="G4" s="103"/>
      <c r="H4" s="103"/>
      <c r="I4" s="98"/>
      <c r="J4" s="83"/>
      <c r="K4" s="83"/>
      <c r="L4" s="83"/>
      <c r="M4" s="83"/>
      <c r="N4" s="83"/>
      <c r="O4" s="83"/>
      <c r="P4" s="83"/>
      <c r="Q4" s="83"/>
      <c r="R4" s="83"/>
      <c r="S4" s="83"/>
      <c r="T4" s="83"/>
      <c r="U4" s="83"/>
      <c r="V4" s="83"/>
      <c r="W4" s="83"/>
      <c r="X4" s="83"/>
      <c r="Y4" s="83"/>
      <c r="Z4" s="83"/>
      <c r="AA4" s="83"/>
      <c r="AB4" s="83"/>
      <c r="AC4" s="84"/>
    </row>
    <row r="5" spans="1:29" x14ac:dyDescent="0.2">
      <c r="A5" s="98" t="s">
        <v>176</v>
      </c>
      <c r="B5" s="103" t="s">
        <v>177</v>
      </c>
      <c r="C5" s="103"/>
      <c r="D5" s="103"/>
      <c r="E5" s="103"/>
      <c r="F5" s="103"/>
      <c r="G5" s="103"/>
      <c r="H5" s="103"/>
      <c r="I5" s="98"/>
      <c r="J5" s="83"/>
      <c r="K5" s="83"/>
      <c r="L5" s="83"/>
      <c r="M5" s="83"/>
      <c r="N5" s="83"/>
      <c r="O5" s="83"/>
      <c r="P5" s="83"/>
      <c r="Q5" s="83"/>
      <c r="R5" s="83"/>
      <c r="S5" s="83"/>
      <c r="T5" s="83"/>
      <c r="U5" s="83"/>
      <c r="V5" s="83"/>
      <c r="W5" s="83"/>
      <c r="X5" s="83"/>
      <c r="Y5" s="83"/>
      <c r="Z5" s="83"/>
      <c r="AA5" s="83"/>
      <c r="AB5" s="83"/>
      <c r="AC5" s="84"/>
    </row>
    <row r="6" spans="1:29" x14ac:dyDescent="0.2">
      <c r="A6" s="98"/>
      <c r="B6" s="103"/>
      <c r="C6" s="103"/>
      <c r="D6" s="103"/>
      <c r="E6" s="103"/>
      <c r="F6" s="103"/>
      <c r="G6" s="103"/>
      <c r="H6" s="103"/>
      <c r="I6" s="98"/>
      <c r="J6" s="83"/>
      <c r="K6" s="83"/>
      <c r="L6" s="83"/>
      <c r="M6" s="83"/>
      <c r="N6" s="83"/>
      <c r="O6" s="83"/>
      <c r="P6" s="83"/>
      <c r="Q6" s="83"/>
      <c r="R6" s="83"/>
      <c r="S6" s="83"/>
      <c r="T6" s="83"/>
      <c r="U6" s="83"/>
      <c r="V6" s="83"/>
      <c r="W6" s="83"/>
      <c r="X6" s="83"/>
      <c r="Y6" s="83"/>
      <c r="Z6" s="83"/>
      <c r="AA6" s="83"/>
      <c r="AB6" s="83"/>
      <c r="AC6" s="84"/>
    </row>
    <row r="7" spans="1:29" x14ac:dyDescent="0.2">
      <c r="A7" s="98" t="s">
        <v>160</v>
      </c>
      <c r="B7" s="103" t="s">
        <v>178</v>
      </c>
      <c r="C7" s="103"/>
      <c r="D7" s="103"/>
      <c r="E7" s="103"/>
      <c r="F7" s="103"/>
      <c r="G7" s="103"/>
      <c r="H7" s="103"/>
      <c r="I7" s="98"/>
      <c r="J7" s="83"/>
      <c r="K7" s="83"/>
      <c r="L7" s="83"/>
      <c r="M7" s="83"/>
      <c r="N7" s="83"/>
      <c r="O7" s="83"/>
      <c r="P7" s="83"/>
      <c r="Q7" s="83"/>
      <c r="R7" s="83"/>
      <c r="S7" s="83"/>
      <c r="T7" s="83"/>
      <c r="U7" s="83"/>
      <c r="V7" s="83"/>
      <c r="W7" s="83"/>
      <c r="X7" s="83"/>
      <c r="Y7" s="83"/>
      <c r="Z7" s="83"/>
      <c r="AA7" s="83"/>
      <c r="AB7" s="83"/>
      <c r="AC7" s="84"/>
    </row>
    <row r="8" spans="1:29" x14ac:dyDescent="0.2">
      <c r="A8" s="103"/>
      <c r="B8" s="103"/>
      <c r="C8" s="103"/>
      <c r="D8" s="103"/>
      <c r="E8" s="103"/>
      <c r="F8" s="103"/>
      <c r="G8" s="103"/>
      <c r="H8" s="103"/>
      <c r="I8" s="98"/>
      <c r="J8" s="83"/>
      <c r="K8" s="83"/>
      <c r="L8" s="83"/>
      <c r="M8" s="83"/>
      <c r="N8" s="83"/>
      <c r="O8" s="83"/>
      <c r="P8" s="83"/>
      <c r="Q8" s="83"/>
      <c r="R8" s="83"/>
      <c r="S8" s="83"/>
      <c r="T8" s="83"/>
      <c r="U8" s="83"/>
      <c r="V8" s="83"/>
      <c r="W8" s="83"/>
      <c r="X8" s="83"/>
      <c r="Y8" s="83"/>
      <c r="Z8" s="83"/>
      <c r="AA8" s="83"/>
      <c r="AB8" s="83"/>
      <c r="AC8" s="84"/>
    </row>
    <row r="9" spans="1:29" x14ac:dyDescent="0.2">
      <c r="A9" s="83"/>
      <c r="B9" s="83"/>
      <c r="C9" s="83"/>
      <c r="D9" s="83"/>
      <c r="E9" s="83" t="s">
        <v>162</v>
      </c>
      <c r="F9" s="83"/>
      <c r="G9" s="83"/>
      <c r="H9" s="83"/>
      <c r="I9" s="83"/>
      <c r="J9" s="83"/>
      <c r="K9" s="83"/>
      <c r="L9" s="83"/>
      <c r="M9" s="83"/>
      <c r="N9" s="83"/>
      <c r="O9" s="83"/>
      <c r="P9" s="83"/>
      <c r="Q9" s="83"/>
      <c r="R9" s="83"/>
      <c r="S9" s="83"/>
      <c r="T9" s="83"/>
      <c r="U9" s="83"/>
      <c r="V9" s="83"/>
      <c r="W9" s="83"/>
      <c r="X9" s="83"/>
      <c r="Y9" s="83"/>
      <c r="Z9" s="83"/>
      <c r="AA9" s="83"/>
      <c r="AB9" s="83"/>
      <c r="AC9" s="106" t="s">
        <v>143</v>
      </c>
    </row>
    <row r="10" spans="1:29" x14ac:dyDescent="0.2">
      <c r="A10" s="83" t="s">
        <v>91</v>
      </c>
      <c r="B10" s="83" t="s">
        <v>116</v>
      </c>
      <c r="C10" s="83" t="s">
        <v>117</v>
      </c>
      <c r="D10" s="83" t="s">
        <v>20</v>
      </c>
      <c r="E10" s="83">
        <v>2</v>
      </c>
      <c r="F10" s="83">
        <f>E10+1</f>
        <v>3</v>
      </c>
      <c r="G10" s="83">
        <f t="shared" ref="G10:AB10" si="0">F10+1</f>
        <v>4</v>
      </c>
      <c r="H10" s="83">
        <f t="shared" si="0"/>
        <v>5</v>
      </c>
      <c r="I10" s="83">
        <f t="shared" si="0"/>
        <v>6</v>
      </c>
      <c r="J10" s="83">
        <f t="shared" si="0"/>
        <v>7</v>
      </c>
      <c r="K10" s="83">
        <f t="shared" si="0"/>
        <v>8</v>
      </c>
      <c r="L10" s="83">
        <f t="shared" si="0"/>
        <v>9</v>
      </c>
      <c r="M10" s="83">
        <f t="shared" si="0"/>
        <v>10</v>
      </c>
      <c r="N10" s="83">
        <f t="shared" si="0"/>
        <v>11</v>
      </c>
      <c r="O10" s="83">
        <f t="shared" si="0"/>
        <v>12</v>
      </c>
      <c r="P10" s="83">
        <f t="shared" si="0"/>
        <v>13</v>
      </c>
      <c r="Q10" s="83">
        <f t="shared" si="0"/>
        <v>14</v>
      </c>
      <c r="R10" s="83">
        <f t="shared" si="0"/>
        <v>15</v>
      </c>
      <c r="S10" s="83">
        <f t="shared" si="0"/>
        <v>16</v>
      </c>
      <c r="T10" s="83">
        <f t="shared" si="0"/>
        <v>17</v>
      </c>
      <c r="U10" s="83">
        <f t="shared" si="0"/>
        <v>18</v>
      </c>
      <c r="V10" s="83">
        <f t="shared" si="0"/>
        <v>19</v>
      </c>
      <c r="W10" s="83">
        <f t="shared" si="0"/>
        <v>20</v>
      </c>
      <c r="X10" s="83">
        <f t="shared" si="0"/>
        <v>21</v>
      </c>
      <c r="Y10" s="83">
        <f t="shared" si="0"/>
        <v>22</v>
      </c>
      <c r="Z10" s="83">
        <f t="shared" si="0"/>
        <v>23</v>
      </c>
      <c r="AA10" s="83">
        <f t="shared" si="0"/>
        <v>24</v>
      </c>
      <c r="AB10" s="83">
        <f t="shared" si="0"/>
        <v>25</v>
      </c>
      <c r="AC10" s="106" t="s">
        <v>11</v>
      </c>
    </row>
    <row r="11" spans="1:29" ht="15" x14ac:dyDescent="0.2">
      <c r="A11" s="102"/>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4"/>
    </row>
    <row r="12" spans="1:29" x14ac:dyDescent="0.2">
      <c r="A12" s="297" t="str">
        <f>Productivity!A14</f>
        <v>Haul cover soil</v>
      </c>
      <c r="B12" s="298" t="str">
        <f>Productivity!B14</f>
        <v>North OB Stockpile, OB-5 Stockpile</v>
      </c>
      <c r="C12" s="298" t="str">
        <f>Productivity!C14</f>
        <v xml:space="preserve">Magnetite Tailings Top </v>
      </c>
      <c r="D12" s="298" t="str">
        <f>Productivity!D14</f>
        <v>777F</v>
      </c>
      <c r="E12" s="299">
        <f>TruckCost!E12+LoaderCost!E12</f>
        <v>449530.47177996207</v>
      </c>
      <c r="F12" s="299">
        <f>TruckCost!F12+LoaderCost!F12</f>
        <v>392219.61724340892</v>
      </c>
      <c r="G12" s="299">
        <f>TruckCost!G12+LoaderCost!G12</f>
        <v>453764.31312457134</v>
      </c>
      <c r="H12" s="299">
        <f>TruckCost!H12+LoaderCost!H12</f>
        <v>540381.77133348561</v>
      </c>
      <c r="I12" s="299">
        <f>TruckCost!I12+LoaderCost!I12</f>
        <v>626999.22954239987</v>
      </c>
      <c r="J12" s="299">
        <f>TruckCost!J12+LoaderCost!J12</f>
        <v>713616.68775131414</v>
      </c>
      <c r="K12" s="299">
        <f>TruckCost!K12+LoaderCost!K12</f>
        <v>800234.1459602284</v>
      </c>
      <c r="L12" s="299">
        <f>TruckCost!L12+LoaderCost!L12</f>
        <v>886851.60416914267</v>
      </c>
      <c r="M12" s="299">
        <f>TruckCost!M12+LoaderCost!M12</f>
        <v>973469.06237805693</v>
      </c>
      <c r="N12" s="299">
        <f>TruckCost!N12+LoaderCost!N12</f>
        <v>1060086.5205869712</v>
      </c>
      <c r="O12" s="299">
        <f>TruckCost!O12+LoaderCost!O12</f>
        <v>1146703.9787958856</v>
      </c>
      <c r="P12" s="299">
        <f>TruckCost!P12+LoaderCost!P12</f>
        <v>1233321.4370048</v>
      </c>
      <c r="Q12" s="299">
        <f>TruckCost!Q12+LoaderCost!Q12</f>
        <v>1319938.8952137139</v>
      </c>
      <c r="R12" s="299">
        <f>TruckCost!R12+LoaderCost!R12</f>
        <v>1406556.3534226282</v>
      </c>
      <c r="S12" s="299">
        <f>TruckCost!S12+LoaderCost!S12</f>
        <v>1493173.8116315426</v>
      </c>
      <c r="T12" s="299">
        <f>TruckCost!T12+LoaderCost!T12</f>
        <v>1579791.269840457</v>
      </c>
      <c r="U12" s="299">
        <f>TruckCost!U12+LoaderCost!U12</f>
        <v>1666408.7280493709</v>
      </c>
      <c r="V12" s="299">
        <f>TruckCost!V12+LoaderCost!V12</f>
        <v>1753026.1862582853</v>
      </c>
      <c r="W12" s="299">
        <f>TruckCost!W12+LoaderCost!W12</f>
        <v>1839643.6444671997</v>
      </c>
      <c r="X12" s="299">
        <f>TruckCost!X12+LoaderCost!X12</f>
        <v>1926261.1026761141</v>
      </c>
      <c r="Y12" s="299">
        <f>TruckCost!Y12+LoaderCost!Y12</f>
        <v>2012878.560885028</v>
      </c>
      <c r="Z12" s="299">
        <f>TruckCost!Z12+LoaderCost!Z12</f>
        <v>2099496.0190939424</v>
      </c>
      <c r="AA12" s="299">
        <f>TruckCost!AA12+LoaderCost!AA12</f>
        <v>2186113.4773028567</v>
      </c>
      <c r="AB12" s="299">
        <f>TruckCost!AB12+LoaderCost!AB12</f>
        <v>2272730.9355117711</v>
      </c>
      <c r="AC12" s="300">
        <f>MIN(E12:AB12)</f>
        <v>392219.61724340892</v>
      </c>
    </row>
    <row r="13" spans="1:29" x14ac:dyDescent="0.2">
      <c r="A13" s="297" t="str">
        <f>Productivity!A15</f>
        <v>Haul cover soil</v>
      </c>
      <c r="B13" s="298" t="str">
        <f>Productivity!B15</f>
        <v>North OB Stockpile, OB-5 Stockpile</v>
      </c>
      <c r="C13" s="298" t="str">
        <f>Productivity!C15</f>
        <v>Magnetite Tailings Outslopes</v>
      </c>
      <c r="D13" s="298" t="str">
        <f>Productivity!D15</f>
        <v>777F</v>
      </c>
      <c r="E13" s="299">
        <f>TruckCost!E13+LoaderCost!E13</f>
        <v>41677.663820668633</v>
      </c>
      <c r="F13" s="299">
        <f>TruckCost!F13+LoaderCost!F13</f>
        <v>36364.158555515263</v>
      </c>
      <c r="G13" s="299">
        <f>TruckCost!G13+LoaderCost!G13</f>
        <v>42222.82014971428</v>
      </c>
      <c r="H13" s="299">
        <f>TruckCost!H13+LoaderCost!H13</f>
        <v>50282.584335657142</v>
      </c>
      <c r="I13" s="299">
        <f>TruckCost!I13+LoaderCost!I13</f>
        <v>58342.348521599997</v>
      </c>
      <c r="J13" s="299">
        <f>TruckCost!J13+LoaderCost!J13</f>
        <v>66402.112707542852</v>
      </c>
      <c r="K13" s="299">
        <f>TruckCost!K13+LoaderCost!K13</f>
        <v>74461.876893485707</v>
      </c>
      <c r="L13" s="299">
        <f>TruckCost!L13+LoaderCost!L13</f>
        <v>82521.641079428562</v>
      </c>
      <c r="M13" s="299">
        <f>TruckCost!M13+LoaderCost!M13</f>
        <v>90581.405265371417</v>
      </c>
      <c r="N13" s="299">
        <f>TruckCost!N13+LoaderCost!N13</f>
        <v>98641.169451314272</v>
      </c>
      <c r="O13" s="299">
        <f>TruckCost!O13+LoaderCost!O13</f>
        <v>106700.93363725713</v>
      </c>
      <c r="P13" s="299">
        <f>TruckCost!P13+LoaderCost!P13</f>
        <v>114760.69782319998</v>
      </c>
      <c r="Q13" s="299">
        <f>TruckCost!Q13+LoaderCost!Q13</f>
        <v>122820.46200914284</v>
      </c>
      <c r="R13" s="299">
        <f>TruckCost!R13+LoaderCost!R13</f>
        <v>130880.22619508569</v>
      </c>
      <c r="S13" s="299">
        <f>TruckCost!S13+LoaderCost!S13</f>
        <v>138939.99038102856</v>
      </c>
      <c r="T13" s="299">
        <f>TruckCost!T13+LoaderCost!T13</f>
        <v>146999.75456697142</v>
      </c>
      <c r="U13" s="299">
        <f>TruckCost!U13+LoaderCost!U13</f>
        <v>155059.51875291427</v>
      </c>
      <c r="V13" s="299">
        <f>TruckCost!V13+LoaderCost!V13</f>
        <v>163119.28293885713</v>
      </c>
      <c r="W13" s="299">
        <f>TruckCost!W13+LoaderCost!W13</f>
        <v>171179.04712479998</v>
      </c>
      <c r="X13" s="299">
        <f>TruckCost!X13+LoaderCost!X13</f>
        <v>179238.81131074284</v>
      </c>
      <c r="Y13" s="299">
        <f>TruckCost!Y13+LoaderCost!Y13</f>
        <v>187298.57549668569</v>
      </c>
      <c r="Z13" s="299">
        <f>TruckCost!Z13+LoaderCost!Z13</f>
        <v>195358.33968262855</v>
      </c>
      <c r="AA13" s="299">
        <f>TruckCost!AA13+LoaderCost!AA13</f>
        <v>203418.1038685714</v>
      </c>
      <c r="AB13" s="299">
        <f>TruckCost!AB13+LoaderCost!AB13</f>
        <v>211477.86805451426</v>
      </c>
      <c r="AC13" s="300">
        <f>MIN(E13:AB13)</f>
        <v>36364.158555515263</v>
      </c>
    </row>
  </sheetData>
  <customSheetViews>
    <customSheetView guid="{022582FA-9605-4A7F-B587-E5659EE41F6B}" showPageBreaks="1" printArea="1" showRuler="0" topLeftCell="N1">
      <selection activeCell="E13" sqref="E13"/>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howRuler="0" topLeftCell="A5">
      <selection activeCell="A12" sqref="A12"/>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1" type="noConversion"/>
  <printOptions horizontalCentered="1"/>
  <pageMargins left="0.75" right="0.75" top="1" bottom="1" header="0.5" footer="0.5"/>
  <pageSetup paperSize="17" scale="45" orientation="landscape" r:id="rId3"/>
  <headerFooter alignWithMargins="0">
    <oddFooter>&amp;C&amp;F
&amp;   Mag Tails Sheet 9e
&amp;
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13"/>
  <sheetViews>
    <sheetView defaultGridColor="0" colorId="22" zoomScaleNormal="75" zoomScaleSheetLayoutView="100" workbookViewId="0">
      <selection activeCell="AC3" sqref="AC3"/>
    </sheetView>
  </sheetViews>
  <sheetFormatPr defaultColWidth="7.21875" defaultRowHeight="12.75" x14ac:dyDescent="0.2"/>
  <cols>
    <col min="1" max="1" width="13" style="82" customWidth="1"/>
    <col min="2" max="2" width="20.5546875" style="82" customWidth="1"/>
    <col min="3" max="3" width="23.33203125" style="82" customWidth="1"/>
    <col min="4" max="4" width="7.21875" style="82" customWidth="1"/>
    <col min="5" max="5" width="5.33203125" style="82" customWidth="1"/>
    <col min="6" max="8" width="3" style="82" customWidth="1"/>
    <col min="9" max="9" width="3.21875" style="82" customWidth="1"/>
    <col min="10" max="24" width="3" style="82" customWidth="1"/>
    <col min="25" max="25" width="3.21875" style="82" customWidth="1"/>
    <col min="26" max="28" width="3" style="82" customWidth="1"/>
    <col min="29" max="29" width="9.109375" style="82" customWidth="1"/>
    <col min="30" max="16384" width="7.21875" style="82"/>
  </cols>
  <sheetData>
    <row r="1" spans="1:31" ht="15" x14ac:dyDescent="0.2">
      <c r="A1" s="62"/>
      <c r="B1" s="96"/>
      <c r="C1" s="96"/>
      <c r="D1" s="96"/>
      <c r="E1" s="96"/>
      <c r="F1" s="96"/>
      <c r="G1" s="96"/>
      <c r="H1" s="96"/>
      <c r="J1" s="84"/>
      <c r="K1" s="84"/>
      <c r="L1" s="84"/>
      <c r="M1" s="84"/>
      <c r="N1" s="84"/>
      <c r="O1" s="84"/>
      <c r="P1" s="84"/>
      <c r="Q1" s="84"/>
      <c r="R1" s="84"/>
      <c r="S1" s="84"/>
      <c r="T1" s="84"/>
      <c r="U1" s="84"/>
      <c r="V1" s="84"/>
      <c r="W1" s="84"/>
      <c r="X1" s="84"/>
      <c r="Z1" s="84"/>
      <c r="AA1" s="84"/>
      <c r="AB1" s="84"/>
      <c r="AC1" s="97" t="str">
        <f>Productivity!J1</f>
        <v>Cobre</v>
      </c>
    </row>
    <row r="2" spans="1:31" ht="15" x14ac:dyDescent="0.2">
      <c r="A2" s="62"/>
      <c r="B2" s="96"/>
      <c r="C2" s="96"/>
      <c r="D2" s="96"/>
      <c r="E2" s="96"/>
      <c r="F2" s="96"/>
      <c r="G2" s="96"/>
      <c r="H2" s="96"/>
      <c r="J2" s="84"/>
      <c r="K2" s="84"/>
      <c r="L2" s="84"/>
      <c r="M2" s="84"/>
      <c r="N2" s="84"/>
      <c r="O2" s="84"/>
      <c r="P2" s="84"/>
      <c r="Q2" s="84"/>
      <c r="R2" s="84"/>
      <c r="S2" s="84"/>
      <c r="T2" s="84"/>
      <c r="U2" s="84"/>
      <c r="V2" s="84"/>
      <c r="W2" s="84"/>
      <c r="X2" s="84"/>
      <c r="Z2" s="84"/>
      <c r="AA2" s="84"/>
      <c r="AB2" s="84"/>
      <c r="AC2" s="273" t="s">
        <v>307</v>
      </c>
    </row>
    <row r="3" spans="1:31" ht="15" x14ac:dyDescent="0.2">
      <c r="A3" s="99" t="s">
        <v>179</v>
      </c>
      <c r="B3" s="99"/>
      <c r="C3" s="99"/>
      <c r="D3" s="99"/>
      <c r="E3" s="96"/>
      <c r="F3" s="96"/>
      <c r="G3" s="96"/>
      <c r="H3" s="96"/>
      <c r="J3" s="84"/>
      <c r="K3" s="84"/>
      <c r="L3" s="84"/>
      <c r="M3" s="84"/>
      <c r="N3" s="84"/>
      <c r="O3" s="84"/>
      <c r="P3" s="84"/>
      <c r="Q3" s="84"/>
      <c r="R3" s="84"/>
      <c r="S3" s="84"/>
      <c r="T3" s="84"/>
      <c r="U3" s="84"/>
      <c r="V3" s="84"/>
      <c r="W3" s="84"/>
      <c r="X3" s="84"/>
      <c r="Z3" s="84"/>
      <c r="AA3" s="84"/>
      <c r="AB3" s="84"/>
      <c r="AC3" s="100">
        <f>Productivity!J3</f>
        <v>41955</v>
      </c>
    </row>
    <row r="4" spans="1:31" ht="26.25" x14ac:dyDescent="0.4">
      <c r="A4" s="223"/>
      <c r="B4" s="96"/>
      <c r="C4" s="96"/>
      <c r="D4" s="96"/>
      <c r="E4" s="96"/>
      <c r="F4" s="96"/>
      <c r="G4" s="96"/>
      <c r="H4" s="96"/>
      <c r="I4" s="97"/>
      <c r="J4" s="84"/>
      <c r="K4" s="84"/>
      <c r="L4" s="84"/>
      <c r="M4" s="84"/>
      <c r="N4" s="84"/>
      <c r="O4" s="84"/>
      <c r="P4" s="84"/>
      <c r="Q4" s="84"/>
      <c r="R4" s="84"/>
      <c r="S4" s="84"/>
      <c r="T4" s="84"/>
      <c r="U4" s="84"/>
      <c r="V4" s="84"/>
      <c r="W4" s="84"/>
      <c r="X4" s="84"/>
      <c r="Y4" s="84"/>
      <c r="Z4" s="84"/>
      <c r="AA4" s="84"/>
      <c r="AB4" s="84"/>
    </row>
    <row r="5" spans="1:31" x14ac:dyDescent="0.2">
      <c r="A5" s="96" t="s">
        <v>180</v>
      </c>
      <c r="B5" s="96" t="s">
        <v>181</v>
      </c>
      <c r="C5" s="96"/>
      <c r="D5" s="96"/>
      <c r="E5" s="96"/>
      <c r="F5" s="96"/>
      <c r="G5" s="96"/>
      <c r="H5" s="96"/>
      <c r="I5" s="97"/>
      <c r="J5" s="84"/>
      <c r="K5" s="84"/>
      <c r="L5" s="84"/>
      <c r="M5" s="84"/>
      <c r="N5" s="84"/>
      <c r="O5" s="84"/>
      <c r="P5" s="84"/>
      <c r="Q5" s="84"/>
      <c r="R5" s="84"/>
      <c r="S5" s="84"/>
      <c r="T5" s="84"/>
      <c r="U5" s="84"/>
      <c r="V5" s="84"/>
      <c r="W5" s="84"/>
      <c r="X5" s="84"/>
      <c r="Y5" s="84"/>
      <c r="Z5" s="84"/>
      <c r="AA5" s="84"/>
      <c r="AB5" s="84"/>
      <c r="AC5" s="101"/>
    </row>
    <row r="6" spans="1:31" x14ac:dyDescent="0.2">
      <c r="A6" s="96"/>
      <c r="B6" s="96"/>
      <c r="C6" s="96"/>
      <c r="D6" s="96"/>
      <c r="E6" s="96"/>
      <c r="F6" s="96"/>
      <c r="G6" s="96"/>
      <c r="H6" s="96"/>
      <c r="I6" s="97"/>
      <c r="J6" s="84"/>
      <c r="K6" s="84"/>
      <c r="L6" s="84"/>
      <c r="M6" s="84"/>
      <c r="N6" s="84"/>
      <c r="O6" s="84"/>
      <c r="P6" s="84"/>
      <c r="Q6" s="84"/>
      <c r="R6" s="84"/>
      <c r="S6" s="84"/>
      <c r="T6" s="84"/>
      <c r="U6" s="84"/>
      <c r="V6" s="84"/>
      <c r="W6" s="84"/>
      <c r="X6" s="84"/>
      <c r="Y6" s="84"/>
      <c r="Z6" s="84"/>
      <c r="AA6" s="84"/>
      <c r="AB6" s="84"/>
      <c r="AC6" s="101"/>
    </row>
    <row r="7" spans="1:31" x14ac:dyDescent="0.2">
      <c r="A7" s="96" t="s">
        <v>160</v>
      </c>
      <c r="B7" s="96" t="s">
        <v>182</v>
      </c>
      <c r="C7" s="96"/>
      <c r="D7" s="96"/>
      <c r="E7" s="96"/>
      <c r="F7" s="96"/>
      <c r="G7" s="96"/>
      <c r="H7" s="96"/>
      <c r="I7" s="97"/>
      <c r="J7" s="84"/>
      <c r="K7" s="84"/>
      <c r="L7" s="84"/>
      <c r="M7" s="84"/>
      <c r="N7" s="84"/>
      <c r="O7" s="84"/>
      <c r="P7" s="84"/>
      <c r="Q7" s="84"/>
      <c r="R7" s="84"/>
      <c r="S7" s="84"/>
      <c r="T7" s="84"/>
      <c r="U7" s="84"/>
      <c r="V7" s="84"/>
      <c r="W7" s="84"/>
      <c r="X7" s="84"/>
      <c r="Y7" s="84"/>
      <c r="Z7" s="84"/>
      <c r="AA7" s="84"/>
      <c r="AB7" s="84"/>
      <c r="AC7" s="101"/>
    </row>
    <row r="8" spans="1:31" x14ac:dyDescent="0.2">
      <c r="A8" s="96"/>
      <c r="B8" s="96"/>
      <c r="C8" s="96"/>
      <c r="D8" s="96"/>
      <c r="E8" s="96"/>
      <c r="F8" s="96"/>
      <c r="G8" s="96"/>
      <c r="H8" s="96"/>
      <c r="I8" s="97"/>
      <c r="J8" s="84"/>
      <c r="K8" s="84"/>
      <c r="L8" s="84"/>
      <c r="M8" s="84"/>
      <c r="N8" s="84"/>
      <c r="O8" s="84"/>
      <c r="P8" s="84"/>
      <c r="Q8" s="84"/>
      <c r="R8" s="84"/>
      <c r="S8" s="84"/>
      <c r="T8" s="84"/>
      <c r="U8" s="84"/>
      <c r="V8" s="84"/>
      <c r="W8" s="84"/>
      <c r="X8" s="84"/>
      <c r="Y8" s="84"/>
      <c r="Z8" s="84"/>
      <c r="AA8" s="84"/>
      <c r="AB8" s="84"/>
      <c r="AC8" s="101" t="s">
        <v>120</v>
      </c>
    </row>
    <row r="9" spans="1:31" x14ac:dyDescent="0.2">
      <c r="A9" s="84"/>
      <c r="B9" s="84"/>
      <c r="C9" s="84"/>
      <c r="D9" s="84"/>
      <c r="E9" s="84" t="s">
        <v>162</v>
      </c>
      <c r="F9" s="84"/>
      <c r="G9" s="84"/>
      <c r="H9" s="84"/>
      <c r="I9" s="84"/>
      <c r="J9" s="84"/>
      <c r="K9" s="84"/>
      <c r="L9" s="84"/>
      <c r="M9" s="84"/>
      <c r="N9" s="84"/>
      <c r="O9" s="84"/>
      <c r="P9" s="84"/>
      <c r="Q9" s="84"/>
      <c r="R9" s="84"/>
      <c r="S9" s="84"/>
      <c r="T9" s="84"/>
      <c r="U9" s="84"/>
      <c r="V9" s="84"/>
      <c r="W9" s="84"/>
      <c r="X9" s="84"/>
      <c r="Y9" s="84"/>
      <c r="Z9" s="84"/>
      <c r="AA9" s="84"/>
      <c r="AB9" s="84"/>
      <c r="AC9" s="101" t="s">
        <v>75</v>
      </c>
    </row>
    <row r="10" spans="1:31" x14ac:dyDescent="0.2">
      <c r="A10" s="84" t="s">
        <v>91</v>
      </c>
      <c r="B10" s="84" t="s">
        <v>116</v>
      </c>
      <c r="C10" s="84" t="s">
        <v>117</v>
      </c>
      <c r="D10" s="84" t="s">
        <v>20</v>
      </c>
      <c r="E10" s="84">
        <v>2</v>
      </c>
      <c r="F10" s="84">
        <f>E10+1</f>
        <v>3</v>
      </c>
      <c r="G10" s="84">
        <f t="shared" ref="G10:AB10" si="0">F10+1</f>
        <v>4</v>
      </c>
      <c r="H10" s="84">
        <f t="shared" si="0"/>
        <v>5</v>
      </c>
      <c r="I10" s="84">
        <f t="shared" si="0"/>
        <v>6</v>
      </c>
      <c r="J10" s="84">
        <f t="shared" si="0"/>
        <v>7</v>
      </c>
      <c r="K10" s="84">
        <f t="shared" si="0"/>
        <v>8</v>
      </c>
      <c r="L10" s="84">
        <f t="shared" si="0"/>
        <v>9</v>
      </c>
      <c r="M10" s="84">
        <f t="shared" si="0"/>
        <v>10</v>
      </c>
      <c r="N10" s="84">
        <f t="shared" si="0"/>
        <v>11</v>
      </c>
      <c r="O10" s="84">
        <f t="shared" si="0"/>
        <v>12</v>
      </c>
      <c r="P10" s="84">
        <f t="shared" si="0"/>
        <v>13</v>
      </c>
      <c r="Q10" s="84">
        <f t="shared" si="0"/>
        <v>14</v>
      </c>
      <c r="R10" s="84">
        <f t="shared" si="0"/>
        <v>15</v>
      </c>
      <c r="S10" s="84">
        <f t="shared" si="0"/>
        <v>16</v>
      </c>
      <c r="T10" s="84">
        <f t="shared" si="0"/>
        <v>17</v>
      </c>
      <c r="U10" s="84">
        <f t="shared" si="0"/>
        <v>18</v>
      </c>
      <c r="V10" s="84">
        <f t="shared" si="0"/>
        <v>19</v>
      </c>
      <c r="W10" s="84">
        <f t="shared" si="0"/>
        <v>20</v>
      </c>
      <c r="X10" s="84">
        <f t="shared" si="0"/>
        <v>21</v>
      </c>
      <c r="Y10" s="84">
        <f t="shared" si="0"/>
        <v>22</v>
      </c>
      <c r="Z10" s="84">
        <f t="shared" si="0"/>
        <v>23</v>
      </c>
      <c r="AA10" s="84">
        <f t="shared" si="0"/>
        <v>24</v>
      </c>
      <c r="AB10" s="84">
        <f t="shared" si="0"/>
        <v>25</v>
      </c>
      <c r="AC10" s="101" t="s">
        <v>37</v>
      </c>
    </row>
    <row r="11" spans="1:31" ht="15" x14ac:dyDescent="0.2">
      <c r="A11" s="102"/>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3"/>
      <c r="AE11" s="82">
        <f>'16   Sum'!D27</f>
        <v>1303120.2979062521</v>
      </c>
    </row>
    <row r="12" spans="1:31" x14ac:dyDescent="0.2">
      <c r="A12" s="84" t="str">
        <f>Productivity!A14</f>
        <v>Haul cover soil</v>
      </c>
      <c r="B12" s="84" t="str">
        <f>Productivity!B14</f>
        <v>North OB Stockpile, OB-5 Stockpile</v>
      </c>
      <c r="C12" s="84" t="str">
        <f>Productivity!C14</f>
        <v xml:space="preserve">Magnetite Tailings Top </v>
      </c>
      <c r="D12" s="84" t="str">
        <f>Productivity!D14</f>
        <v>777F</v>
      </c>
      <c r="E12" s="84">
        <f>IF(TotalCost!$AC12&gt;=TotalCost!E12,E$10,0)</f>
        <v>0</v>
      </c>
      <c r="F12" s="84">
        <f>IF(TotalCost!$AC12&gt;=TotalCost!F12,F$10,0)</f>
        <v>3</v>
      </c>
      <c r="G12" s="84">
        <f>IF(TotalCost!$AC12&gt;=TotalCost!G12,G$10,0)</f>
        <v>0</v>
      </c>
      <c r="H12" s="84">
        <f>IF(TotalCost!$AC12&gt;=TotalCost!H12,H$10,0)</f>
        <v>0</v>
      </c>
      <c r="I12" s="84">
        <f>IF(TotalCost!$AC12&gt;=TotalCost!I12,I$10,0)</f>
        <v>0</v>
      </c>
      <c r="J12" s="84">
        <f>IF(TotalCost!$AC12&gt;=TotalCost!J12,J$10,0)</f>
        <v>0</v>
      </c>
      <c r="K12" s="84">
        <f>IF(TotalCost!$AC12&gt;=TotalCost!K12,K$10,0)</f>
        <v>0</v>
      </c>
      <c r="L12" s="84">
        <f>IF(TotalCost!$AC12&gt;=TotalCost!L12,L$10,0)</f>
        <v>0</v>
      </c>
      <c r="M12" s="84">
        <f>IF(TotalCost!$AC12&gt;=TotalCost!M12,M$10,0)</f>
        <v>0</v>
      </c>
      <c r="N12" s="84">
        <f>IF(TotalCost!$AC12&gt;=TotalCost!N12,N$10,0)</f>
        <v>0</v>
      </c>
      <c r="O12" s="84">
        <f>IF(TotalCost!$AC12&gt;=TotalCost!O12,O$10,0)</f>
        <v>0</v>
      </c>
      <c r="P12" s="84">
        <f>IF(TotalCost!$AC12&gt;=TotalCost!P12,P$10,0)</f>
        <v>0</v>
      </c>
      <c r="Q12" s="84">
        <f>IF(TotalCost!$AC12&gt;=TotalCost!Q12,Q$10,0)</f>
        <v>0</v>
      </c>
      <c r="R12" s="84">
        <f>IF(TotalCost!$AC12&gt;=TotalCost!R12,R$10,0)</f>
        <v>0</v>
      </c>
      <c r="S12" s="84">
        <f>IF(TotalCost!$AC12&gt;=TotalCost!S12,S$10,0)</f>
        <v>0</v>
      </c>
      <c r="T12" s="84">
        <f>IF(TotalCost!$AC12&gt;=TotalCost!T12,T$10,0)</f>
        <v>0</v>
      </c>
      <c r="U12" s="84">
        <f>IF(TotalCost!$AC12&gt;=TotalCost!U12,U$10,0)</f>
        <v>0</v>
      </c>
      <c r="V12" s="84">
        <f>IF(TotalCost!$AC12&gt;=TotalCost!V12,V$10,0)</f>
        <v>0</v>
      </c>
      <c r="W12" s="84">
        <f>IF(TotalCost!$AC12&gt;=TotalCost!W12,W$10,0)</f>
        <v>0</v>
      </c>
      <c r="X12" s="84">
        <f>IF(TotalCost!$AC12&gt;=TotalCost!X12,X$10,0)</f>
        <v>0</v>
      </c>
      <c r="Y12" s="84">
        <f>IF(TotalCost!$AC12&gt;=TotalCost!Y12,Y$10,0)</f>
        <v>0</v>
      </c>
      <c r="Z12" s="84">
        <f>IF(TotalCost!$AC12&gt;=TotalCost!Z12,Z$10,0)</f>
        <v>0</v>
      </c>
      <c r="AA12" s="84">
        <f>IF(TotalCost!$AC12&gt;=TotalCost!AA12,AA$10,0)</f>
        <v>0</v>
      </c>
      <c r="AB12" s="84">
        <f>IF(TotalCost!$AC12&gt;=TotalCost!AB12,AB$10,0)</f>
        <v>0</v>
      </c>
      <c r="AC12" s="293">
        <f>SUM(E12:AB12)</f>
        <v>3</v>
      </c>
    </row>
    <row r="13" spans="1:31" x14ac:dyDescent="0.2">
      <c r="A13" s="84" t="str">
        <f>Productivity!A15</f>
        <v>Haul cover soil</v>
      </c>
      <c r="B13" s="84" t="str">
        <f>Productivity!B15</f>
        <v>North OB Stockpile, OB-5 Stockpile</v>
      </c>
      <c r="C13" s="84" t="str">
        <f>Productivity!C15</f>
        <v>Magnetite Tailings Outslopes</v>
      </c>
      <c r="D13" s="84" t="str">
        <f>Productivity!D15</f>
        <v>777F</v>
      </c>
      <c r="E13" s="84">
        <f>IF(TotalCost!$AC13&gt;=TotalCost!E13,E$10,0)</f>
        <v>0</v>
      </c>
      <c r="F13" s="84">
        <f>IF(TotalCost!$AC13&gt;=TotalCost!F13,F$10,0)</f>
        <v>3</v>
      </c>
      <c r="G13" s="84">
        <f>IF(TotalCost!$AC13&gt;=TotalCost!G13,G$10,0)</f>
        <v>0</v>
      </c>
      <c r="H13" s="84">
        <f>IF(TotalCost!$AC13&gt;=TotalCost!H13,H$10,0)</f>
        <v>0</v>
      </c>
      <c r="I13" s="84">
        <f>IF(TotalCost!$AC13&gt;=TotalCost!I13,I$10,0)</f>
        <v>0</v>
      </c>
      <c r="J13" s="84">
        <f>IF(TotalCost!$AC13&gt;=TotalCost!J13,J$10,0)</f>
        <v>0</v>
      </c>
      <c r="K13" s="84">
        <f>IF(TotalCost!$AC13&gt;=TotalCost!K13,K$10,0)</f>
        <v>0</v>
      </c>
      <c r="L13" s="84">
        <f>IF(TotalCost!$AC13&gt;=TotalCost!L13,L$10,0)</f>
        <v>0</v>
      </c>
      <c r="M13" s="84">
        <f>IF(TotalCost!$AC13&gt;=TotalCost!M13,M$10,0)</f>
        <v>0</v>
      </c>
      <c r="N13" s="84">
        <f>IF(TotalCost!$AC13&gt;=TotalCost!N13,N$10,0)</f>
        <v>0</v>
      </c>
      <c r="O13" s="84">
        <f>IF(TotalCost!$AC13&gt;=TotalCost!O13,O$10,0)</f>
        <v>0</v>
      </c>
      <c r="P13" s="84">
        <f>IF(TotalCost!$AC13&gt;=TotalCost!P13,P$10,0)</f>
        <v>0</v>
      </c>
      <c r="Q13" s="84">
        <f>IF(TotalCost!$AC13&gt;=TotalCost!Q13,Q$10,0)</f>
        <v>0</v>
      </c>
      <c r="R13" s="84">
        <f>IF(TotalCost!$AC13&gt;=TotalCost!R13,R$10,0)</f>
        <v>0</v>
      </c>
      <c r="S13" s="84">
        <f>IF(TotalCost!$AC13&gt;=TotalCost!S13,S$10,0)</f>
        <v>0</v>
      </c>
      <c r="T13" s="84">
        <f>IF(TotalCost!$AC13&gt;=TotalCost!T13,T$10,0)</f>
        <v>0</v>
      </c>
      <c r="U13" s="84">
        <f>IF(TotalCost!$AC13&gt;=TotalCost!U13,U$10,0)</f>
        <v>0</v>
      </c>
      <c r="V13" s="84">
        <f>IF(TotalCost!$AC13&gt;=TotalCost!V13,V$10,0)</f>
        <v>0</v>
      </c>
      <c r="W13" s="84">
        <f>IF(TotalCost!$AC13&gt;=TotalCost!W13,W$10,0)</f>
        <v>0</v>
      </c>
      <c r="X13" s="84">
        <f>IF(TotalCost!$AC13&gt;=TotalCost!X13,X$10,0)</f>
        <v>0</v>
      </c>
      <c r="Y13" s="84">
        <f>IF(TotalCost!$AC13&gt;=TotalCost!Y13,Y$10,0)</f>
        <v>0</v>
      </c>
      <c r="Z13" s="84">
        <f>IF(TotalCost!$AC13&gt;=TotalCost!Z13,Z$10,0)</f>
        <v>0</v>
      </c>
      <c r="AA13" s="84">
        <f>IF(TotalCost!$AC13&gt;=TotalCost!AA13,AA$10,0)</f>
        <v>0</v>
      </c>
      <c r="AB13" s="84">
        <f>IF(TotalCost!$AC13&gt;=TotalCost!AB13,AB$10,0)</f>
        <v>0</v>
      </c>
      <c r="AC13" s="293">
        <f>SUM(E13:AB13)</f>
        <v>3</v>
      </c>
    </row>
  </sheetData>
  <customSheetViews>
    <customSheetView guid="{022582FA-9605-4A7F-B587-E5659EE41F6B}" showPageBreaks="1" printArea="1" showRuler="0">
      <selection activeCell="A25" sqref="A25"/>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howRuler="0" topLeftCell="C1">
      <selection activeCell="A12" sqref="A12"/>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1" type="noConversion"/>
  <printOptions horizontalCentered="1"/>
  <pageMargins left="0.75" right="0.75" top="1" bottom="1" header="0.5" footer="0.5"/>
  <pageSetup paperSize="17" scale="81" orientation="landscape" r:id="rId3"/>
  <headerFooter alignWithMargins="0">
    <oddFooter>&amp;C&amp;F
&amp;   Mag Tails Sheet 9f
&amp;
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
  <sheetViews>
    <sheetView defaultGridColor="0" topLeftCell="A4" colorId="22" workbookViewId="0">
      <selection activeCell="A8" sqref="A8"/>
    </sheetView>
  </sheetViews>
  <sheetFormatPr defaultColWidth="8.77734375" defaultRowHeight="15" x14ac:dyDescent="0.2"/>
  <cols>
    <col min="1" max="16384" width="8.77734375" style="35"/>
  </cols>
  <sheetData/>
  <customSheetViews>
    <customSheetView guid="{022582FA-9605-4A7F-B587-E5659EE41F6B}" showRuler="0">
      <selection activeCell="G3" sqref="G3"/>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howRuler="0">
      <selection activeCell="G3" sqref="G3"/>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17" type="noConversion"/>
  <printOptions horizontalCentered="1"/>
  <pageMargins left="0.75" right="0.75" top="1" bottom="1" header="0.5" footer="0.5"/>
  <pageSetup scale="75" orientation="landscape" r:id="rId3"/>
  <headerFooter alignWithMargins="0">
    <oddFooter>&amp;C&amp;F&amp;A (Page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23"/>
  <sheetViews>
    <sheetView defaultGridColor="0" view="pageBreakPreview" colorId="22" zoomScale="75" zoomScaleNormal="100" zoomScaleSheetLayoutView="75" workbookViewId="0">
      <selection activeCell="F24" sqref="F24"/>
    </sheetView>
  </sheetViews>
  <sheetFormatPr defaultColWidth="7.21875" defaultRowHeight="12.75" x14ac:dyDescent="0.2"/>
  <cols>
    <col min="1" max="1" width="28.109375" style="89" customWidth="1"/>
    <col min="2" max="2" width="27.33203125" style="89" customWidth="1"/>
    <col min="3" max="3" width="12.77734375" style="89" customWidth="1"/>
    <col min="4" max="4" width="7.21875" style="89" customWidth="1"/>
    <col min="5" max="5" width="9.21875" style="89" customWidth="1"/>
    <col min="6" max="6" width="46" style="89" bestFit="1" customWidth="1"/>
    <col min="7" max="16384" width="7.21875" style="89"/>
  </cols>
  <sheetData>
    <row r="1" spans="1:5" ht="15" x14ac:dyDescent="0.2">
      <c r="A1" s="62"/>
      <c r="C1" s="162"/>
      <c r="E1" s="87" t="str">
        <f>'1 General'!$C$1</f>
        <v>Cobre</v>
      </c>
    </row>
    <row r="2" spans="1:5" ht="15" x14ac:dyDescent="0.2">
      <c r="A2" s="62"/>
      <c r="E2" s="90" t="s">
        <v>302</v>
      </c>
    </row>
    <row r="3" spans="1:5" x14ac:dyDescent="0.2">
      <c r="A3" s="89" t="s">
        <v>21</v>
      </c>
      <c r="D3" s="165"/>
      <c r="E3" s="91">
        <f>'1 General'!$C$3</f>
        <v>41955</v>
      </c>
    </row>
    <row r="5" spans="1:5" x14ac:dyDescent="0.2">
      <c r="B5" s="92"/>
    </row>
    <row r="7" spans="1:5" x14ac:dyDescent="0.2">
      <c r="A7" s="89" t="s">
        <v>183</v>
      </c>
      <c r="D7" s="90"/>
      <c r="E7" s="164"/>
    </row>
    <row r="8" spans="1:5" x14ac:dyDescent="0.2">
      <c r="D8" s="90" t="s">
        <v>184</v>
      </c>
      <c r="E8" s="90" t="s">
        <v>68</v>
      </c>
    </row>
    <row r="9" spans="1:5" x14ac:dyDescent="0.2">
      <c r="A9" s="89" t="s">
        <v>8</v>
      </c>
      <c r="B9" s="89" t="s">
        <v>116</v>
      </c>
      <c r="C9" s="89" t="s">
        <v>117</v>
      </c>
      <c r="D9" s="90" t="s">
        <v>126</v>
      </c>
      <c r="E9" s="90" t="s">
        <v>17</v>
      </c>
    </row>
    <row r="10" spans="1:5" x14ac:dyDescent="0.2">
      <c r="A10" s="93"/>
      <c r="B10" s="93"/>
      <c r="C10" s="93"/>
      <c r="D10" s="86" t="s">
        <v>100</v>
      </c>
      <c r="E10" s="85" t="s">
        <v>185</v>
      </c>
    </row>
    <row r="11" spans="1:5" x14ac:dyDescent="0.2">
      <c r="A11" s="161"/>
      <c r="B11" s="94"/>
      <c r="C11" s="94"/>
      <c r="D11" s="88"/>
      <c r="E11" s="94"/>
    </row>
    <row r="12" spans="1:5" ht="15" x14ac:dyDescent="0.2">
      <c r="A12" s="95"/>
      <c r="B12" s="95"/>
      <c r="C12" s="95"/>
      <c r="D12" s="197"/>
      <c r="E12" s="198"/>
    </row>
    <row r="13" spans="1:5" ht="14.25" customHeight="1" x14ac:dyDescent="0.2">
      <c r="A13" s="95" t="str">
        <f>'3   Material'!$B9</f>
        <v>Regrade Outslopes</v>
      </c>
      <c r="B13" s="95" t="str">
        <f>'3   Material'!$C9</f>
        <v>Magnetite Tailings</v>
      </c>
      <c r="C13" s="95" t="str">
        <f>'3   Material'!$D9</f>
        <v>-</v>
      </c>
      <c r="D13" s="322">
        <v>250</v>
      </c>
      <c r="E13" s="323">
        <f>AVERAGE(70131,69861)</f>
        <v>69996</v>
      </c>
    </row>
    <row r="14" spans="1:5" x14ac:dyDescent="0.2">
      <c r="A14" s="95" t="str">
        <f>'3   Material'!$B10</f>
        <v>Regrade Top</v>
      </c>
      <c r="B14" s="95" t="str">
        <f>'3   Material'!$C10</f>
        <v>Magnetite Tailings</v>
      </c>
      <c r="C14" s="95" t="str">
        <f>'3   Material'!$D10</f>
        <v>-</v>
      </c>
      <c r="D14" s="322">
        <v>300</v>
      </c>
      <c r="E14" s="322">
        <f>AVERAGE(76174,70789)</f>
        <v>73481.5</v>
      </c>
    </row>
    <row r="15" spans="1:5" x14ac:dyDescent="0.2">
      <c r="A15" s="95"/>
      <c r="B15" s="95"/>
      <c r="C15" s="95"/>
      <c r="D15" s="189"/>
    </row>
    <row r="16" spans="1:5" x14ac:dyDescent="0.2">
      <c r="A16" s="95"/>
      <c r="B16" s="95"/>
      <c r="C16" s="95"/>
      <c r="D16" s="189"/>
    </row>
    <row r="17" spans="1:4" x14ac:dyDescent="0.2">
      <c r="A17" s="95"/>
      <c r="B17" s="95"/>
      <c r="C17" s="95"/>
      <c r="D17" s="189"/>
    </row>
    <row r="18" spans="1:4" x14ac:dyDescent="0.2">
      <c r="A18" s="95"/>
      <c r="B18" s="95"/>
      <c r="C18" s="95"/>
      <c r="D18" s="189"/>
    </row>
    <row r="19" spans="1:4" x14ac:dyDescent="0.2">
      <c r="A19" s="95"/>
      <c r="B19" s="95"/>
      <c r="C19" s="95"/>
      <c r="D19" s="189"/>
    </row>
    <row r="23" spans="1:4" x14ac:dyDescent="0.2">
      <c r="A23" s="165"/>
    </row>
  </sheetData>
  <customSheetViews>
    <customSheetView guid="{022582FA-9605-4A7F-B587-E5659EE41F6B}" showPageBreaks="1" printArea="1" hiddenColumns="1" showRuler="0" topLeftCell="B1">
      <selection activeCell="V13" sqref="V13"/>
      <colBreaks count="1" manualBreakCount="1">
        <brk id="13" max="39" man="1"/>
      </colBreaks>
      <pageMargins left="0.75" right="0.75" top="1" bottom="1" header="0.5" footer="0.5"/>
      <printOptions horizontalCentered="1"/>
      <pageSetup scale="75" orientation="landscape" r:id="rId1"/>
      <headerFooter alignWithMargins="0">
        <oddFooter>&amp;C&amp;F&amp;A (Page &amp;P of &amp;N)</oddFooter>
      </headerFooter>
    </customSheetView>
    <customSheetView guid="{CFF26D3A-8717-40F2-B6BC-9E1EF0EFD095}" showRuler="0">
      <selection activeCell="M13" sqref="M13"/>
      <colBreaks count="1" manualBreakCount="1">
        <brk id="13" max="39" man="1"/>
      </colBreaks>
      <pageMargins left="0.75" right="0.75" top="1" bottom="1" header="0.5" footer="0.5"/>
      <printOptions horizontalCentered="1"/>
      <pageSetup scale="75" orientation="landscape" r:id="rId2"/>
      <headerFooter alignWithMargins="0">
        <oddFooter>&amp;C&amp;F&amp;A (Page &amp;P of &amp;N)</oddFooter>
      </headerFooter>
    </customSheetView>
  </customSheetViews>
  <phoneticPr fontId="1" type="noConversion"/>
  <printOptions horizontalCentered="1"/>
  <pageMargins left="0.75" right="0.75" top="1" bottom="1" header="0.5" footer="0.5"/>
  <pageSetup scale="48" orientation="portrait" r:id="rId3"/>
  <headerFooter alignWithMargins="0">
    <oddFooter>&amp;C&amp;F
&amp;   Mag Tails Sheet 4a
&amp;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1 General</vt:lpstr>
      <vt:lpstr>2   Demo</vt:lpstr>
      <vt:lpstr>3   Material</vt:lpstr>
      <vt:lpstr>4   Earthwork</vt:lpstr>
      <vt:lpstr>5   Dozer</vt:lpstr>
      <vt:lpstr>6   Grading</vt:lpstr>
      <vt:lpstr>7   Ripper</vt:lpstr>
      <vt:lpstr>8  Excavator</vt:lpstr>
      <vt:lpstr>9   Trucks</vt:lpstr>
      <vt:lpstr>10   Loader</vt:lpstr>
      <vt:lpstr>11   Scraper</vt:lpstr>
      <vt:lpstr>12   M'grader</vt:lpstr>
      <vt:lpstr>13   EarthSum</vt:lpstr>
      <vt:lpstr>14   Reveg</vt:lpstr>
      <vt:lpstr>15   Other</vt:lpstr>
      <vt:lpstr>16   Sum</vt:lpstr>
      <vt:lpstr>17 Detailed Sum</vt:lpstr>
      <vt:lpstr>18 Facility Characteristics</vt:lpstr>
      <vt:lpstr>          </vt:lpstr>
      <vt:lpstr>Trucks.xls</vt:lpstr>
      <vt:lpstr>Productivity</vt:lpstr>
      <vt:lpstr>Time</vt:lpstr>
      <vt:lpstr>TruckCost</vt:lpstr>
      <vt:lpstr>LoaderCost</vt:lpstr>
      <vt:lpstr>TotalCost</vt:lpstr>
      <vt:lpstr>Optimum</vt:lpstr>
      <vt:lpstr>           </vt:lpstr>
      <vt:lpstr>Earthwork.xls</vt:lpstr>
      <vt:lpstr>'1 General'!Print_Area</vt:lpstr>
      <vt:lpstr>'10   Loader'!Print_Area</vt:lpstr>
      <vt:lpstr>'11   Scraper'!Print_Area</vt:lpstr>
      <vt:lpstr>'13   EarthSum'!Print_Area</vt:lpstr>
      <vt:lpstr>'14   Reveg'!Print_Area</vt:lpstr>
      <vt:lpstr>'15   Other'!Print_Area</vt:lpstr>
      <vt:lpstr>'16   Sum'!Print_Area</vt:lpstr>
      <vt:lpstr>'17 Detailed Sum'!Print_Area</vt:lpstr>
      <vt:lpstr>'18 Facility Characteristics'!Print_Area</vt:lpstr>
      <vt:lpstr>'2   Demo'!Print_Area</vt:lpstr>
      <vt:lpstr>'3   Material'!Print_Area</vt:lpstr>
      <vt:lpstr>'4   Earthwork'!Print_Area</vt:lpstr>
      <vt:lpstr>'5   Dozer'!Print_Area</vt:lpstr>
      <vt:lpstr>'6   Grading'!Print_Area</vt:lpstr>
      <vt:lpstr>'7   Ripper'!Print_Area</vt:lpstr>
      <vt:lpstr>'8  Excavator'!Print_Area</vt:lpstr>
      <vt:lpstr>Earthwork.xls!Print_Area</vt:lpstr>
      <vt:lpstr>LoaderCost!Print_Area</vt:lpstr>
      <vt:lpstr>Optimum!Print_Area</vt:lpstr>
      <vt:lpstr>Productivity!Print_Area</vt:lpstr>
      <vt:lpstr>Time!Print_Area</vt:lpstr>
      <vt:lpstr>TotalCost!Print_Area</vt:lpstr>
      <vt:lpstr>TruckCost!Print_Area</vt:lpstr>
      <vt:lpstr>'13   EarthSum'!Print_Titles</vt:lpstr>
      <vt:lpstr>'14   Reveg'!Print_Titles</vt:lpstr>
      <vt:lpstr>'15   Other'!Print_Titles</vt:lpstr>
      <vt:lpstr>'17 Detailed Sum'!Print_Titles</vt:lpstr>
      <vt:lpstr>'18 Facility Characteristics'!Print_Titles</vt:lpstr>
      <vt:lpstr>'2   Demo'!Print_Titles</vt:lpstr>
      <vt:lpstr>'3   Material'!Print_Titles</vt:lpstr>
      <vt:lpstr>'4   Earthwork'!Print_Titles</vt:lpstr>
      <vt:lpstr>'5   Dozer'!Print_Titles</vt:lpstr>
      <vt:lpstr>'6   Grading'!Print_Titles</vt:lpstr>
      <vt:lpstr>'7   Ripper'!Print_Titles</vt:lpstr>
      <vt:lpstr>'8  Excavator'!Print_Titles</vt:lpstr>
      <vt:lpstr>'9   Trucks'!Print_Titles</vt:lpstr>
      <vt:lpstr>Earthwork.xls!Print_Titles</vt:lpstr>
      <vt:lpstr>LoaderCost!Print_Titles</vt:lpstr>
      <vt:lpstr>Optimum!Print_Titles</vt:lpstr>
      <vt:lpstr>Productivity!Print_Titles</vt:lpstr>
      <vt:lpstr>Time!Print_Titles</vt:lpstr>
      <vt:lpstr>TotalCost!Print_Titles</vt:lpstr>
      <vt:lpstr>TruckCost!Print_Titles</vt:lpstr>
    </vt:vector>
  </TitlesOfParts>
  <Company>State of New Mexico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Brian</dc:creator>
  <cp:lastModifiedBy>April Tischer</cp:lastModifiedBy>
  <cp:lastPrinted>2014-12-09T17:42:12Z</cp:lastPrinted>
  <dcterms:created xsi:type="dcterms:W3CDTF">1999-12-21T21:28:27Z</dcterms:created>
  <dcterms:modified xsi:type="dcterms:W3CDTF">2014-12-10T21:12:07Z</dcterms:modified>
</cp:coreProperties>
</file>