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" yWindow="570" windowWidth="17865" windowHeight="11010" activeTab="2"/>
  </bookViews>
  <sheets>
    <sheet name=" 19 Veg Maintenance" sheetId="12" r:id="rId1"/>
    <sheet name="20 O&amp;M" sheetId="1" r:id="rId2"/>
    <sheet name="21 Sum" sheetId="4" r:id="rId3"/>
    <sheet name=" O&amp;M Table" sheetId="11" r:id="rId4"/>
  </sheets>
  <definedNames>
    <definedName name="_xlnm.Print_Area" localSheetId="0">' 19 Veg Maintenance'!$B$1:$M$17</definedName>
    <definedName name="_xlnm.Print_Area" localSheetId="1">'20 O&amp;M'!$B$1:$M$140</definedName>
    <definedName name="_xlnm.Print_Area" localSheetId="2">'21 Sum'!$A$1:$E$37</definedName>
    <definedName name="_xlnm.Print_Titles" localSheetId="1">'20 O&amp;M'!$1:$15</definedName>
  </definedNames>
  <calcPr calcId="145621"/>
</workbook>
</file>

<file path=xl/calcChain.xml><?xml version="1.0" encoding="utf-8"?>
<calcChain xmlns="http://schemas.openxmlformats.org/spreadsheetml/2006/main">
  <c r="B18" i="1" l="1"/>
  <c r="E132" i="1" l="1"/>
  <c r="E131" i="1"/>
  <c r="J128" i="1"/>
  <c r="E128" i="1"/>
  <c r="J127" i="1"/>
  <c r="E127" i="1"/>
  <c r="E126" i="1"/>
  <c r="E125" i="1"/>
  <c r="J132" i="1" l="1"/>
  <c r="E134" i="1"/>
  <c r="E136" i="1" s="1"/>
  <c r="C21" i="4" l="1"/>
  <c r="B15" i="12" l="1"/>
  <c r="B16" i="12"/>
  <c r="J133" i="1"/>
  <c r="J134" i="1" s="1"/>
  <c r="E137" i="1"/>
  <c r="E138" i="1" s="1"/>
  <c r="L3" i="12"/>
  <c r="L1" i="12"/>
  <c r="J8" i="12" l="1"/>
  <c r="J9" i="12"/>
  <c r="E8" i="1"/>
  <c r="D8" i="1"/>
  <c r="C8" i="1"/>
  <c r="I8" i="1"/>
  <c r="J8" i="1"/>
  <c r="H8" i="1"/>
  <c r="H10" i="1" s="1"/>
  <c r="H34" i="1" s="1"/>
  <c r="M3" i="1"/>
  <c r="B17" i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G17" i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C10" i="1" l="1"/>
  <c r="E10" i="1" l="1"/>
  <c r="D10" i="1"/>
  <c r="I10" i="1"/>
  <c r="J10" i="1"/>
  <c r="C30" i="1" l="1"/>
  <c r="C34" i="1"/>
  <c r="C31" i="1"/>
  <c r="C35" i="1"/>
  <c r="C32" i="1"/>
  <c r="C29" i="1"/>
  <c r="C33" i="1"/>
  <c r="C58" i="1"/>
  <c r="C62" i="1"/>
  <c r="C66" i="1"/>
  <c r="C70" i="1"/>
  <c r="C74" i="1"/>
  <c r="C78" i="1"/>
  <c r="C82" i="1"/>
  <c r="C86" i="1"/>
  <c r="C90" i="1"/>
  <c r="C94" i="1"/>
  <c r="C98" i="1"/>
  <c r="C102" i="1"/>
  <c r="C106" i="1"/>
  <c r="C110" i="1"/>
  <c r="C114" i="1"/>
  <c r="C56" i="1"/>
  <c r="C64" i="1"/>
  <c r="C72" i="1"/>
  <c r="C80" i="1"/>
  <c r="C88" i="1"/>
  <c r="C96" i="1"/>
  <c r="C104" i="1"/>
  <c r="C112" i="1"/>
  <c r="C57" i="1"/>
  <c r="C65" i="1"/>
  <c r="C73" i="1"/>
  <c r="C81" i="1"/>
  <c r="C89" i="1"/>
  <c r="C97" i="1"/>
  <c r="C105" i="1"/>
  <c r="C113" i="1"/>
  <c r="C59" i="1"/>
  <c r="C63" i="1"/>
  <c r="C67" i="1"/>
  <c r="C71" i="1"/>
  <c r="C75" i="1"/>
  <c r="C79" i="1"/>
  <c r="C83" i="1"/>
  <c r="C87" i="1"/>
  <c r="C91" i="1"/>
  <c r="C95" i="1"/>
  <c r="C99" i="1"/>
  <c r="C103" i="1"/>
  <c r="C107" i="1"/>
  <c r="C111" i="1"/>
  <c r="C115" i="1"/>
  <c r="C60" i="1"/>
  <c r="C68" i="1"/>
  <c r="C76" i="1"/>
  <c r="C84" i="1"/>
  <c r="C92" i="1"/>
  <c r="C100" i="1"/>
  <c r="C108" i="1"/>
  <c r="C61" i="1"/>
  <c r="C69" i="1"/>
  <c r="C77" i="1"/>
  <c r="C85" i="1"/>
  <c r="C93" i="1"/>
  <c r="C101" i="1"/>
  <c r="C109" i="1"/>
  <c r="C36" i="1"/>
  <c r="C40" i="1"/>
  <c r="C44" i="1"/>
  <c r="C48" i="1"/>
  <c r="C52" i="1"/>
  <c r="C37" i="1"/>
  <c r="C41" i="1"/>
  <c r="C45" i="1"/>
  <c r="C49" i="1"/>
  <c r="C53" i="1"/>
  <c r="C38" i="1"/>
  <c r="C42" i="1"/>
  <c r="C46" i="1"/>
  <c r="C50" i="1"/>
  <c r="C54" i="1"/>
  <c r="C39" i="1"/>
  <c r="C43" i="1"/>
  <c r="C47" i="1"/>
  <c r="C51" i="1"/>
  <c r="C55" i="1"/>
  <c r="H32" i="1"/>
  <c r="H33" i="1"/>
  <c r="H30" i="1"/>
  <c r="H35" i="1"/>
  <c r="H31" i="1"/>
  <c r="H29" i="1"/>
  <c r="H113" i="1"/>
  <c r="H56" i="1"/>
  <c r="H75" i="1"/>
  <c r="H97" i="1"/>
  <c r="H102" i="1"/>
  <c r="H104" i="1"/>
  <c r="H99" i="1"/>
  <c r="H65" i="1"/>
  <c r="H72" i="1"/>
  <c r="H88" i="1"/>
  <c r="H70" i="1"/>
  <c r="H86" i="1"/>
  <c r="H81" i="1"/>
  <c r="H63" i="1"/>
  <c r="H71" i="1"/>
  <c r="H69" i="1"/>
  <c r="H74" i="1"/>
  <c r="H76" i="1"/>
  <c r="H79" i="1"/>
  <c r="H93" i="1"/>
  <c r="H84" i="1"/>
  <c r="H73" i="1"/>
  <c r="H78" i="1"/>
  <c r="H80" i="1"/>
  <c r="H95" i="1"/>
  <c r="H98" i="1"/>
  <c r="H83" i="1"/>
  <c r="H101" i="1"/>
  <c r="H108" i="1"/>
  <c r="H82" i="1"/>
  <c r="H105" i="1"/>
  <c r="H112" i="1"/>
  <c r="H100" i="1"/>
  <c r="H58" i="1"/>
  <c r="H91" i="1"/>
  <c r="H114" i="1"/>
  <c r="H62" i="1"/>
  <c r="H107" i="1"/>
  <c r="H87" i="1"/>
  <c r="H85" i="1"/>
  <c r="H90" i="1"/>
  <c r="H92" i="1"/>
  <c r="H103" i="1"/>
  <c r="H109" i="1"/>
  <c r="H59" i="1"/>
  <c r="H89" i="1"/>
  <c r="H94" i="1"/>
  <c r="H96" i="1"/>
  <c r="H67" i="1"/>
  <c r="H68" i="1"/>
  <c r="H106" i="1"/>
  <c r="H115" i="1"/>
  <c r="H111" i="1"/>
  <c r="H110" i="1"/>
  <c r="H77" i="1"/>
  <c r="H60" i="1"/>
  <c r="H61" i="1"/>
  <c r="H57" i="1"/>
  <c r="H64" i="1"/>
  <c r="H66" i="1"/>
  <c r="H37" i="1"/>
  <c r="H38" i="1"/>
  <c r="H47" i="1"/>
  <c r="H40" i="1"/>
  <c r="H44" i="1"/>
  <c r="H36" i="1"/>
  <c r="H48" i="1"/>
  <c r="H52" i="1"/>
  <c r="H39" i="1"/>
  <c r="H51" i="1"/>
  <c r="H55" i="1"/>
  <c r="H54" i="1"/>
  <c r="H42" i="1"/>
  <c r="H50" i="1"/>
  <c r="H46" i="1"/>
  <c r="H41" i="1"/>
  <c r="H45" i="1"/>
  <c r="H49" i="1"/>
  <c r="H53" i="1"/>
  <c r="H43" i="1"/>
  <c r="E6" i="11" l="1"/>
  <c r="E7" i="11"/>
  <c r="D6" i="11"/>
  <c r="D7" i="11"/>
  <c r="G7" i="11" l="1"/>
  <c r="G6" i="11"/>
  <c r="H9" i="12" l="1"/>
  <c r="K9" i="12" s="1"/>
  <c r="H27" i="1" l="1"/>
  <c r="C27" i="1"/>
  <c r="C26" i="1" l="1"/>
  <c r="H26" i="1"/>
  <c r="C25" i="1"/>
  <c r="H25" i="1"/>
  <c r="H24" i="1"/>
  <c r="C24" i="1"/>
  <c r="C28" i="1"/>
  <c r="H28" i="1"/>
  <c r="H8" i="12" l="1"/>
  <c r="K8" i="12" s="1"/>
  <c r="K11" i="12" s="1"/>
  <c r="L18" i="1"/>
  <c r="L19" i="1" l="1"/>
  <c r="K12" i="12"/>
  <c r="L20" i="1" l="1"/>
  <c r="F5" i="11"/>
  <c r="F8" i="11" s="1"/>
  <c r="F11" i="11" s="1"/>
  <c r="D11" i="4"/>
  <c r="L21" i="1" l="1"/>
  <c r="L22" i="1" l="1"/>
  <c r="L23" i="1" s="1"/>
  <c r="M22" i="1" l="1"/>
  <c r="M17" i="1"/>
  <c r="M23" i="1"/>
  <c r="M16" i="1"/>
  <c r="M18" i="1"/>
  <c r="M19" i="1"/>
  <c r="M20" i="1"/>
  <c r="M21" i="1"/>
  <c r="C17" i="1" l="1"/>
  <c r="H17" i="1"/>
  <c r="C18" i="1"/>
  <c r="H18" i="1"/>
  <c r="H21" i="1"/>
  <c r="C21" i="1"/>
  <c r="C16" i="1"/>
  <c r="H16" i="1"/>
  <c r="H20" i="1"/>
  <c r="C20" i="1"/>
  <c r="C23" i="1"/>
  <c r="H23" i="1"/>
  <c r="C19" i="1"/>
  <c r="H19" i="1"/>
  <c r="C22" i="1"/>
  <c r="H22" i="1"/>
  <c r="E5" i="11" l="1"/>
  <c r="E8" i="11" s="1"/>
  <c r="E11" i="11" s="1"/>
  <c r="H116" i="1"/>
  <c r="D5" i="11"/>
  <c r="C116" i="1"/>
  <c r="G5" i="11" l="1"/>
  <c r="G8" i="11" s="1"/>
  <c r="G11" i="11" s="1"/>
  <c r="D8" i="11"/>
  <c r="D11" i="11" s="1"/>
  <c r="C118" i="1"/>
  <c r="D12" i="4" s="1"/>
  <c r="D13" i="4" s="1"/>
  <c r="D18" i="4" l="1"/>
  <c r="D15" i="4"/>
  <c r="D16" i="4"/>
  <c r="D20" i="4"/>
  <c r="D17" i="4"/>
  <c r="D19" i="4"/>
  <c r="D22" i="4" l="1"/>
  <c r="D27" i="4" s="1"/>
</calcChain>
</file>

<file path=xl/sharedStrings.xml><?xml version="1.0" encoding="utf-8"?>
<sst xmlns="http://schemas.openxmlformats.org/spreadsheetml/2006/main" count="182" uniqueCount="134">
  <si>
    <t>Year</t>
  </si>
  <si>
    <t>Base:</t>
  </si>
  <si>
    <t>Time:</t>
  </si>
  <si>
    <t>Annual:</t>
  </si>
  <si>
    <t>Operations &amp; Maintenance</t>
  </si>
  <si>
    <t>Annual</t>
  </si>
  <si>
    <t>Cost</t>
  </si>
  <si>
    <t>($)</t>
  </si>
  <si>
    <t>Current</t>
  </si>
  <si>
    <t>Location Adjustment</t>
  </si>
  <si>
    <t>Operating</t>
  </si>
  <si>
    <t>Labor</t>
  </si>
  <si>
    <t>Rate</t>
  </si>
  <si>
    <t>Subtotal</t>
  </si>
  <si>
    <t>($/hr)</t>
  </si>
  <si>
    <t>$/day</t>
  </si>
  <si>
    <t>ROAD MAINTENANCE [2]</t>
  </si>
  <si>
    <t>[2] Road Maintenance Crew</t>
  </si>
  <si>
    <t>day/yr</t>
  </si>
  <si>
    <t>$/yr</t>
  </si>
  <si>
    <t>Indirect Cost Percentage</t>
  </si>
  <si>
    <t>DIRECT COSTS</t>
  </si>
  <si>
    <t>Earthmoving</t>
  </si>
  <si>
    <t>Other</t>
  </si>
  <si>
    <t>Subtotal, Direct Costs</t>
  </si>
  <si>
    <t>State Procurement Cost</t>
  </si>
  <si>
    <t>Indirect Percentage Sum =</t>
  </si>
  <si>
    <t>Subtotal, Indirect Costs</t>
  </si>
  <si>
    <t>TOTAL COST</t>
  </si>
  <si>
    <t>Cobre</t>
  </si>
  <si>
    <t>Cat 16M Motor Grader</t>
  </si>
  <si>
    <t>Cobre Mining Company</t>
  </si>
  <si>
    <t>Totals</t>
  </si>
  <si>
    <t>Erosion Control</t>
  </si>
  <si>
    <t>Road Maintenance</t>
  </si>
  <si>
    <t>Revegetation Maintenance</t>
  </si>
  <si>
    <t>Overall Site</t>
  </si>
  <si>
    <t>Earthwork O&amp;M Cost Summary</t>
  </si>
  <si>
    <t>Period (years)</t>
  </si>
  <si>
    <t>Total            (Current Year $)</t>
  </si>
  <si>
    <t>EROSION CONTROL AND MONITORING[1]</t>
  </si>
  <si>
    <t>Facility and Structure Removal</t>
  </si>
  <si>
    <t>Current Value</t>
  </si>
  <si>
    <t>Revegetation</t>
  </si>
  <si>
    <t>Data Sources:</t>
  </si>
  <si>
    <t xml:space="preserve">MMD.  1996.  Closeout Plan Guidelines for Existing Mines, Mining Act Reclamation Bureau Mining and Minerals Division </t>
  </si>
  <si>
    <t xml:space="preserve">                     New Mexico Energy, Minerals and Natural Resources Department.  April 30, 1996.</t>
  </si>
  <si>
    <t xml:space="preserve">OSM.  2000.  U.S. Department of the Interior, Office of Surface Mining Reclamation and Enforcement </t>
  </si>
  <si>
    <t xml:space="preserve">                     Handbook for Calculation of Reclamation Bond Amounts.  April 5, 2000.</t>
  </si>
  <si>
    <t>Notes:</t>
  </si>
  <si>
    <t xml:space="preserve">1)  </t>
  </si>
  <si>
    <t>Indirect costs are based on the guidance available from MMD (1996) and OSM (2000).</t>
  </si>
  <si>
    <r>
      <t>INDIRECT COSTS</t>
    </r>
    <r>
      <rPr>
        <b/>
        <vertAlign val="superscript"/>
        <sz val="10"/>
        <rFont val="Arial"/>
        <family val="2"/>
      </rPr>
      <t>1</t>
    </r>
  </si>
  <si>
    <t>Operations and Maintenance Summary</t>
  </si>
  <si>
    <t>Mobilization and Demobilization</t>
  </si>
  <si>
    <t xml:space="preserve">Contingencies </t>
  </si>
  <si>
    <t xml:space="preserve">Engineering Redesign Fee </t>
  </si>
  <si>
    <t>Contractor Profit and Overhead</t>
  </si>
  <si>
    <t xml:space="preserve">Project Management Fee </t>
  </si>
  <si>
    <t>Vegetation Maintenance Costs</t>
  </si>
  <si>
    <t>Total</t>
  </si>
  <si>
    <t>Veg</t>
  </si>
  <si>
    <t># yrs</t>
  </si>
  <si>
    <t>Unit</t>
  </si>
  <si>
    <t>Item</t>
  </si>
  <si>
    <t>Area</t>
  </si>
  <si>
    <t>Reclamation</t>
  </si>
  <si>
    <t>Maintenance</t>
  </si>
  <si>
    <t>veg</t>
  </si>
  <si>
    <t>Quantity</t>
  </si>
  <si>
    <t>(acres)</t>
  </si>
  <si>
    <t>Complete</t>
  </si>
  <si>
    <t>Maint.</t>
  </si>
  <si>
    <t>per year</t>
  </si>
  <si>
    <t>($/unit)</t>
  </si>
  <si>
    <t>Description</t>
  </si>
  <si>
    <t>acres</t>
  </si>
  <si>
    <t>Building Demolition</t>
  </si>
  <si>
    <t xml:space="preserve">Reclamation Start Date: </t>
  </si>
  <si>
    <t>$/acre</t>
  </si>
  <si>
    <t xml:space="preserve"> </t>
  </si>
  <si>
    <t xml:space="preserve"> 2% of veg fails every year for 12 years. </t>
  </si>
  <si>
    <t>O&amp;M Worksheet #21</t>
  </si>
  <si>
    <t>O&amp;M Worksheet #20</t>
  </si>
  <si>
    <t>O&amp;M Worksheet #19</t>
  </si>
  <si>
    <t>Total Cost</t>
  </si>
  <si>
    <t>SubTotal Costs (with indirects):</t>
  </si>
  <si>
    <t>O&amp;M Total Costs (with indirects):</t>
  </si>
  <si>
    <t>[1] Erosion Control</t>
  </si>
  <si>
    <t xml:space="preserve">    Modified Crew B-13A (1 Labor Foreman, 2 laborers, 2 equip. operators (med.),</t>
  </si>
  <si>
    <t>Equipment - Equipment Watch Version 6.14.0B</t>
  </si>
  <si>
    <t xml:space="preserve"> 2 truck drivers (heavy), 1 crawler loader (4 cy), 2 dump trucks (8 cy, 220 HP) </t>
  </si>
  <si>
    <t xml:space="preserve">Labor - NM Department of Labor Type H (Heavy Engineering) labor rates.  </t>
  </si>
  <si>
    <t xml:space="preserve">     RS Means Heavy Construction Cost Data (28th Annual Edition, 2014)</t>
  </si>
  <si>
    <t xml:space="preserve">   See Attachments for rate development.</t>
  </si>
  <si>
    <t>#</t>
  </si>
  <si>
    <t>$/hour</t>
  </si>
  <si>
    <t>Labor Foreman (outside)</t>
  </si>
  <si>
    <t>24 hrs/month</t>
  </si>
  <si>
    <t>Laborers</t>
  </si>
  <si>
    <t>($/month)</t>
  </si>
  <si>
    <t>Equipment Operators lmed.l</t>
  </si>
  <si>
    <t>Truck Drivers (heavy)</t>
  </si>
  <si>
    <t>10,000-gal Water Truck</t>
  </si>
  <si>
    <t>Crawler Loader, 4 C.Y.</t>
  </si>
  <si>
    <t>Dump Trucks, 8 C.Y., 220 H.P.</t>
  </si>
  <si>
    <t>Total Direct Cost</t>
  </si>
  <si>
    <t>$/month</t>
  </si>
  <si>
    <t xml:space="preserve">$/day </t>
  </si>
  <si>
    <t>Total Reclaimed Area per Year 
(acres)</t>
  </si>
  <si>
    <t>Percent Reclaimed</t>
  </si>
  <si>
    <t>Weighted based on total reclaimed area</t>
  </si>
  <si>
    <t>months/yr</t>
  </si>
  <si>
    <t>Years 0-19</t>
  </si>
  <si>
    <t>Years 20-39</t>
  </si>
  <si>
    <t>Years 40-99</t>
  </si>
  <si>
    <t>Percent</t>
  </si>
  <si>
    <t xml:space="preserve"> loss</t>
  </si>
  <si>
    <t>Cost*</t>
  </si>
  <si>
    <t>Vegetation Maintenance Total Cost (with indirects):</t>
  </si>
  <si>
    <t>Vegetation Maintenance Total Direct Cost:</t>
  </si>
  <si>
    <t>Stockpiles and Tailings</t>
  </si>
  <si>
    <t>Location</t>
  </si>
  <si>
    <t>Based on Projected EOY 2019 Mine Plan</t>
  </si>
  <si>
    <t>Years 0-12</t>
  </si>
  <si>
    <t>Years 13-39</t>
  </si>
  <si>
    <t>0 to 19</t>
  </si>
  <si>
    <t>20 to 39</t>
  </si>
  <si>
    <t>40 to 99</t>
  </si>
  <si>
    <t>0 to 11</t>
  </si>
  <si>
    <t>-</t>
  </si>
  <si>
    <t>*From 2014 Cobre Haul Road Closeout Plan (Telesto, 2014)</t>
  </si>
  <si>
    <t>CHR*</t>
  </si>
  <si>
    <t>Operations and Maintenance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</si>
</sst>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&quot;$&quot;#,##0.00"/>
    <numFmt numFmtId="166" formatCode="m/d/yy"/>
    <numFmt numFmtId="167" formatCode="0.0"/>
    <numFmt numFmtId="168" formatCode="&quot;$&quot;#,##0"/>
    <numFmt numFmtId="169" formatCode="mm/dd/yy_)"/>
    <numFmt numFmtId="170" formatCode="0.0000%"/>
    <numFmt numFmtId="171" formatCode="&quot;$&quot;#,##0.000"/>
    <numFmt numFmtId="172" formatCode="[$-409]mmm\-yy;@"/>
    <numFmt numFmtId="173" formatCode="0.00000000000"/>
    <numFmt numFmtId="174" formatCode="0.000"/>
  </numFmts>
  <fonts count="13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vertAlign val="superscript"/>
      <sz val="10"/>
      <name val="Arial"/>
      <family val="2"/>
    </font>
    <font>
      <b/>
      <sz val="12"/>
      <color rgb="FF000000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Protection="0"/>
    <xf numFmtId="0" fontId="4" fillId="0" borderId="0"/>
    <xf numFmtId="0" fontId="4" fillId="0" borderId="0"/>
    <xf numFmtId="44" fontId="4" fillId="0" borderId="0" applyFont="0" applyFill="0" applyBorder="0" applyAlignment="0" applyProtection="0"/>
  </cellStyleXfs>
  <cellXfs count="208">
    <xf numFmtId="0" fontId="0" fillId="0" borderId="0" xfId="0"/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0" fillId="0" borderId="0" xfId="0" applyFill="1" applyBorder="1"/>
    <xf numFmtId="0" fontId="2" fillId="0" borderId="0" xfId="0" applyFont="1" applyFill="1" applyBorder="1"/>
    <xf numFmtId="0" fontId="0" fillId="0" borderId="0" xfId="0" applyFill="1"/>
    <xf numFmtId="0" fontId="3" fillId="0" borderId="0" xfId="0" applyFont="1" applyFill="1" applyBorder="1"/>
    <xf numFmtId="10" fontId="0" fillId="0" borderId="0" xfId="0" applyNumberFormat="1" applyFill="1" applyBorder="1"/>
    <xf numFmtId="0" fontId="0" fillId="0" borderId="0" xfId="0" quotePrefix="1" applyFill="1"/>
    <xf numFmtId="165" fontId="0" fillId="0" borderId="0" xfId="0" applyNumberFormat="1" applyFill="1" applyBorder="1" applyProtection="1"/>
    <xf numFmtId="0" fontId="0" fillId="0" borderId="0" xfId="0" quotePrefix="1" applyFill="1" applyBorder="1"/>
    <xf numFmtId="2" fontId="0" fillId="0" borderId="0" xfId="0" applyNumberFormat="1" applyFill="1" applyBorder="1"/>
    <xf numFmtId="165" fontId="0" fillId="0" borderId="0" xfId="0" applyNumberFormat="1" applyFill="1" applyBorder="1" applyAlignment="1" applyProtection="1">
      <alignment horizontal="right"/>
    </xf>
    <xf numFmtId="4" fontId="0" fillId="0" borderId="1" xfId="0" applyNumberFormat="1" applyFill="1" applyBorder="1" applyAlignment="1" applyProtection="1">
      <alignment horizontal="right"/>
    </xf>
    <xf numFmtId="3" fontId="0" fillId="0" borderId="0" xfId="0" applyNumberFormat="1" applyFill="1" applyBorder="1"/>
    <xf numFmtId="1" fontId="0" fillId="0" borderId="0" xfId="0" applyNumberFormat="1" applyFill="1"/>
    <xf numFmtId="4" fontId="0" fillId="0" borderId="0" xfId="0" applyNumberFormat="1" applyFill="1" applyBorder="1" applyProtection="1"/>
    <xf numFmtId="3" fontId="0" fillId="0" borderId="0" xfId="0" applyNumberFormat="1" applyFill="1"/>
    <xf numFmtId="4" fontId="0" fillId="0" borderId="0" xfId="0" applyNumberFormat="1" applyFill="1" applyBorder="1" applyAlignment="1" applyProtection="1">
      <alignment horizontal="right"/>
    </xf>
    <xf numFmtId="3" fontId="1" fillId="0" borderId="0" xfId="0" applyNumberFormat="1" applyFont="1" applyFill="1" applyBorder="1"/>
    <xf numFmtId="0" fontId="1" fillId="0" borderId="0" xfId="0" applyFont="1" applyFill="1" applyBorder="1"/>
    <xf numFmtId="166" fontId="0" fillId="0" borderId="0" xfId="0" applyNumberFormat="1" applyFill="1" applyBorder="1" applyAlignment="1">
      <alignment horizontal="right"/>
    </xf>
    <xf numFmtId="0" fontId="2" fillId="0" borderId="0" xfId="1" applyFont="1" applyFill="1" applyBorder="1"/>
    <xf numFmtId="0" fontId="2" fillId="0" borderId="0" xfId="1" applyFill="1" applyBorder="1"/>
    <xf numFmtId="0" fontId="2" fillId="0" borderId="0" xfId="0" applyFont="1" applyFill="1" applyBorder="1" applyAlignment="1">
      <alignment horizontal="right"/>
    </xf>
    <xf numFmtId="0" fontId="4" fillId="0" borderId="0" xfId="1" applyFont="1" applyFill="1" applyBorder="1" applyAlignment="1">
      <alignment horizontal="right"/>
    </xf>
    <xf numFmtId="0" fontId="2" fillId="0" borderId="0" xfId="1" applyFill="1"/>
    <xf numFmtId="0" fontId="3" fillId="0" borderId="0" xfId="1" applyFont="1" applyFill="1" applyBorder="1"/>
    <xf numFmtId="169" fontId="2" fillId="0" borderId="0" xfId="1" applyNumberFormat="1" applyFill="1" applyBorder="1" applyAlignment="1" applyProtection="1">
      <alignment horizontal="right"/>
    </xf>
    <xf numFmtId="0" fontId="4" fillId="0" borderId="0" xfId="1" applyFont="1" applyFill="1" applyBorder="1"/>
    <xf numFmtId="169" fontId="2" fillId="0" borderId="0" xfId="1" applyNumberFormat="1" applyFont="1" applyFill="1" applyBorder="1" applyAlignment="1" applyProtection="1">
      <alignment horizontal="right"/>
    </xf>
    <xf numFmtId="169" fontId="4" fillId="0" borderId="0" xfId="1" applyNumberFormat="1" applyFont="1" applyFill="1" applyBorder="1" applyAlignment="1" applyProtection="1">
      <alignment horizontal="right"/>
    </xf>
    <xf numFmtId="0" fontId="5" fillId="0" borderId="0" xfId="1" quotePrefix="1" applyFont="1" applyFill="1" applyBorder="1" applyAlignment="1">
      <alignment horizontal="right"/>
    </xf>
    <xf numFmtId="0" fontId="6" fillId="0" borderId="0" xfId="1" applyFont="1" applyFill="1" applyBorder="1"/>
    <xf numFmtId="0" fontId="7" fillId="0" borderId="0" xfId="1" applyFont="1" applyFill="1" applyBorder="1"/>
    <xf numFmtId="5" fontId="4" fillId="0" borderId="0" xfId="1" applyNumberFormat="1" applyFont="1" applyFill="1" applyBorder="1" applyAlignment="1" applyProtection="1">
      <alignment horizontal="right"/>
    </xf>
    <xf numFmtId="168" fontId="4" fillId="0" borderId="0" xfId="1" applyNumberFormat="1" applyFont="1" applyFill="1" applyBorder="1"/>
    <xf numFmtId="0" fontId="4" fillId="0" borderId="0" xfId="1" quotePrefix="1" applyFont="1" applyFill="1" applyBorder="1" applyAlignment="1">
      <alignment horizontal="right"/>
    </xf>
    <xf numFmtId="5" fontId="4" fillId="0" borderId="0" xfId="1" applyNumberFormat="1" applyFont="1" applyFill="1" applyBorder="1" applyProtection="1"/>
    <xf numFmtId="37" fontId="4" fillId="0" borderId="0" xfId="1" applyNumberFormat="1" applyFont="1" applyFill="1"/>
    <xf numFmtId="9" fontId="4" fillId="0" borderId="0" xfId="1" applyNumberFormat="1" applyFont="1" applyFill="1" applyBorder="1" applyProtection="1"/>
    <xf numFmtId="37" fontId="4" fillId="0" borderId="0" xfId="1" applyNumberFormat="1" applyFont="1" applyFill="1" applyBorder="1"/>
    <xf numFmtId="0" fontId="7" fillId="0" borderId="0" xfId="1" applyFont="1" applyFill="1" applyBorder="1" applyAlignment="1">
      <alignment horizontal="right"/>
    </xf>
    <xf numFmtId="37" fontId="4" fillId="0" borderId="0" xfId="1" applyNumberFormat="1" applyFont="1" applyFill="1" applyBorder="1" applyProtection="1"/>
    <xf numFmtId="5" fontId="7" fillId="0" borderId="0" xfId="1" applyNumberFormat="1" applyFont="1" applyFill="1" applyBorder="1"/>
    <xf numFmtId="10" fontId="4" fillId="0" borderId="0" xfId="1" applyNumberFormat="1" applyFont="1" applyFill="1" applyBorder="1" applyProtection="1"/>
    <xf numFmtId="5" fontId="4" fillId="0" borderId="0" xfId="1" applyNumberFormat="1" applyFont="1" applyFill="1" applyBorder="1"/>
    <xf numFmtId="164" fontId="4" fillId="0" borderId="0" xfId="1" applyNumberFormat="1" applyFont="1" applyFill="1" applyBorder="1" applyProtection="1"/>
    <xf numFmtId="164" fontId="4" fillId="0" borderId="0" xfId="1" applyNumberFormat="1" applyFont="1" applyFill="1" applyBorder="1"/>
    <xf numFmtId="170" fontId="4" fillId="0" borderId="0" xfId="1" applyNumberFormat="1" applyFont="1" applyFill="1" applyBorder="1" applyProtection="1"/>
    <xf numFmtId="5" fontId="7" fillId="0" borderId="0" xfId="1" applyNumberFormat="1" applyFont="1" applyFill="1" applyBorder="1" applyProtection="1"/>
    <xf numFmtId="0" fontId="4" fillId="0" borderId="0" xfId="1" quotePrefix="1" applyFont="1" applyFill="1" applyBorder="1"/>
    <xf numFmtId="0" fontId="4" fillId="0" borderId="0" xfId="1" applyFont="1" applyFill="1" applyBorder="1" applyAlignment="1"/>
    <xf numFmtId="0" fontId="2" fillId="0" borderId="0" xfId="1" applyFill="1" applyBorder="1" applyAlignment="1"/>
    <xf numFmtId="0" fontId="4" fillId="0" borderId="0" xfId="1" applyFont="1" applyFill="1"/>
    <xf numFmtId="1" fontId="0" fillId="0" borderId="0" xfId="0" applyNumberFormat="1" applyFill="1" applyBorder="1"/>
    <xf numFmtId="0" fontId="8" fillId="0" borderId="0" xfId="0" applyFont="1" applyFill="1" applyBorder="1"/>
    <xf numFmtId="0" fontId="0" fillId="0" borderId="0" xfId="0" applyAlignment="1">
      <alignment wrapText="1"/>
    </xf>
    <xf numFmtId="4" fontId="0" fillId="0" borderId="0" xfId="0" applyNumberFormat="1"/>
    <xf numFmtId="0" fontId="2" fillId="0" borderId="0" xfId="1" applyFont="1" applyFill="1"/>
    <xf numFmtId="168" fontId="0" fillId="0" borderId="0" xfId="0" applyNumberFormat="1"/>
    <xf numFmtId="168" fontId="0" fillId="0" borderId="2" xfId="0" applyNumberFormat="1" applyFill="1" applyBorder="1"/>
    <xf numFmtId="168" fontId="7" fillId="0" borderId="3" xfId="0" applyNumberFormat="1" applyFont="1" applyFill="1" applyBorder="1"/>
    <xf numFmtId="3" fontId="7" fillId="0" borderId="5" xfId="0" applyNumberFormat="1" applyFont="1" applyFill="1" applyBorder="1"/>
    <xf numFmtId="168" fontId="0" fillId="0" borderId="8" xfId="0" applyNumberFormat="1" applyFill="1" applyBorder="1"/>
    <xf numFmtId="168" fontId="0" fillId="0" borderId="10" xfId="0" applyNumberFormat="1" applyFill="1" applyBorder="1"/>
    <xf numFmtId="0" fontId="0" fillId="0" borderId="5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2" fillId="0" borderId="0" xfId="3" applyFont="1" applyFill="1" applyBorder="1"/>
    <xf numFmtId="0" fontId="4" fillId="0" borderId="0" xfId="3" applyFill="1" applyBorder="1"/>
    <xf numFmtId="0" fontId="4" fillId="0" borderId="0" xfId="3" applyFill="1"/>
    <xf numFmtId="0" fontId="4" fillId="0" borderId="0" xfId="3" applyFont="1" applyFill="1" applyBorder="1" applyAlignment="1">
      <alignment horizontal="right"/>
    </xf>
    <xf numFmtId="0" fontId="3" fillId="0" borderId="0" xfId="3" applyFont="1" applyFill="1" applyBorder="1"/>
    <xf numFmtId="0" fontId="4" fillId="0" borderId="0" xfId="3" applyFill="1" applyAlignment="1">
      <alignment horizontal="center"/>
    </xf>
    <xf numFmtId="0" fontId="4" fillId="0" borderId="0" xfId="3" applyFill="1" applyBorder="1" applyAlignment="1">
      <alignment horizontal="center"/>
    </xf>
    <xf numFmtId="0" fontId="7" fillId="0" borderId="15" xfId="3" applyFont="1" applyFill="1" applyBorder="1" applyAlignment="1">
      <alignment horizontal="center"/>
    </xf>
    <xf numFmtId="0" fontId="7" fillId="0" borderId="16" xfId="3" applyFont="1" applyFill="1" applyBorder="1" applyAlignment="1">
      <alignment horizontal="center"/>
    </xf>
    <xf numFmtId="0" fontId="7" fillId="0" borderId="17" xfId="3" applyFont="1" applyFill="1" applyBorder="1" applyAlignment="1">
      <alignment horizontal="center"/>
    </xf>
    <xf numFmtId="2" fontId="7" fillId="0" borderId="17" xfId="3" applyNumberFormat="1" applyFont="1" applyFill="1" applyBorder="1" applyAlignment="1">
      <alignment horizontal="center"/>
    </xf>
    <xf numFmtId="0" fontId="7" fillId="0" borderId="18" xfId="3" applyFont="1" applyFill="1" applyBorder="1" applyAlignment="1">
      <alignment horizontal="center"/>
    </xf>
    <xf numFmtId="0" fontId="7" fillId="0" borderId="19" xfId="3" applyFont="1" applyFill="1" applyBorder="1" applyAlignment="1">
      <alignment horizontal="center"/>
    </xf>
    <xf numFmtId="0" fontId="7" fillId="0" borderId="20" xfId="3" applyFont="1" applyFill="1" applyBorder="1" applyAlignment="1">
      <alignment horizontal="center"/>
    </xf>
    <xf numFmtId="0" fontId="7" fillId="0" borderId="0" xfId="3" applyFont="1" applyFill="1" applyBorder="1" applyAlignment="1">
      <alignment horizontal="center"/>
    </xf>
    <xf numFmtId="2" fontId="7" fillId="0" borderId="0" xfId="3" applyNumberFormat="1" applyFont="1" applyFill="1" applyBorder="1" applyAlignment="1">
      <alignment horizontal="center"/>
    </xf>
    <xf numFmtId="0" fontId="7" fillId="0" borderId="21" xfId="3" applyFont="1" applyFill="1" applyBorder="1" applyAlignment="1">
      <alignment horizontal="center"/>
    </xf>
    <xf numFmtId="17" fontId="4" fillId="0" borderId="0" xfId="3" applyNumberFormat="1" applyFill="1" applyBorder="1"/>
    <xf numFmtId="0" fontId="7" fillId="0" borderId="9" xfId="3" applyFont="1" applyFill="1" applyBorder="1" applyAlignment="1" applyProtection="1">
      <alignment horizontal="center"/>
    </xf>
    <xf numFmtId="0" fontId="7" fillId="0" borderId="8" xfId="3" applyFont="1" applyFill="1" applyBorder="1" applyAlignment="1" applyProtection="1">
      <alignment horizontal="center"/>
    </xf>
    <xf numFmtId="0" fontId="7" fillId="0" borderId="11" xfId="3" applyFont="1" applyFill="1" applyBorder="1" applyAlignment="1" applyProtection="1">
      <alignment horizontal="center"/>
    </xf>
    <xf numFmtId="2" fontId="7" fillId="0" borderId="11" xfId="3" applyNumberFormat="1" applyFont="1" applyFill="1" applyBorder="1" applyAlignment="1" applyProtection="1">
      <alignment horizontal="center"/>
    </xf>
    <xf numFmtId="0" fontId="7" fillId="0" borderId="22" xfId="3" applyFont="1" applyFill="1" applyBorder="1" applyAlignment="1">
      <alignment horizontal="center"/>
    </xf>
    <xf numFmtId="0" fontId="4" fillId="0" borderId="2" xfId="3" applyFont="1" applyFill="1" applyBorder="1" applyProtection="1"/>
    <xf numFmtId="0" fontId="4" fillId="0" borderId="2" xfId="3" applyFill="1" applyBorder="1" applyAlignment="1" applyProtection="1">
      <alignment horizontal="center"/>
    </xf>
    <xf numFmtId="167" fontId="4" fillId="0" borderId="2" xfId="3" applyNumberFormat="1" applyFill="1" applyBorder="1" applyAlignment="1" applyProtection="1">
      <alignment horizontal="center"/>
    </xf>
    <xf numFmtId="168" fontId="4" fillId="0" borderId="2" xfId="3" applyNumberFormat="1" applyFill="1" applyBorder="1" applyAlignment="1" applyProtection="1">
      <alignment horizontal="center"/>
    </xf>
    <xf numFmtId="1" fontId="4" fillId="0" borderId="2" xfId="3" applyNumberFormat="1" applyFill="1" applyBorder="1" applyAlignment="1">
      <alignment horizontal="center"/>
    </xf>
    <xf numFmtId="0" fontId="4" fillId="0" borderId="2" xfId="3" applyFill="1" applyBorder="1" applyAlignment="1">
      <alignment horizontal="center"/>
    </xf>
    <xf numFmtId="44" fontId="0" fillId="0" borderId="0" xfId="4" applyFont="1" applyFill="1"/>
    <xf numFmtId="165" fontId="4" fillId="0" borderId="0" xfId="3" applyNumberFormat="1" applyFill="1"/>
    <xf numFmtId="2" fontId="4" fillId="0" borderId="2" xfId="3" applyNumberFormat="1" applyFill="1" applyBorder="1" applyAlignment="1">
      <alignment horizontal="center"/>
    </xf>
    <xf numFmtId="168" fontId="4" fillId="0" borderId="0" xfId="3" applyNumberFormat="1" applyFill="1"/>
    <xf numFmtId="0" fontId="4" fillId="0" borderId="0" xfId="3" applyFont="1" applyFill="1"/>
    <xf numFmtId="171" fontId="4" fillId="0" borderId="0" xfId="3" applyNumberFormat="1" applyFill="1"/>
    <xf numFmtId="165" fontId="4" fillId="0" borderId="0" xfId="3" applyNumberFormat="1" applyFont="1" applyFill="1"/>
    <xf numFmtId="0" fontId="4" fillId="0" borderId="0" xfId="3" quotePrefix="1" applyFont="1" applyFill="1" applyBorder="1"/>
    <xf numFmtId="0" fontId="4" fillId="0" borderId="0" xfId="3" applyFont="1" applyFill="1" applyBorder="1"/>
    <xf numFmtId="10" fontId="4" fillId="0" borderId="0" xfId="3" applyNumberFormat="1" applyFont="1" applyFill="1" applyBorder="1"/>
    <xf numFmtId="2" fontId="4" fillId="0" borderId="0" xfId="3" applyNumberFormat="1" applyFont="1" applyFill="1" applyBorder="1"/>
    <xf numFmtId="0" fontId="4" fillId="0" borderId="0" xfId="1" applyFont="1" applyFill="1" applyBorder="1" applyAlignment="1">
      <alignment horizontal="right" wrapText="1"/>
    </xf>
    <xf numFmtId="0" fontId="1" fillId="0" borderId="0" xfId="3" applyFont="1" applyFill="1" applyAlignment="1">
      <alignment horizontal="right"/>
    </xf>
    <xf numFmtId="0" fontId="1" fillId="0" borderId="0" xfId="3" applyFont="1" applyFill="1" applyAlignment="1">
      <alignment horizontal="right" wrapText="1"/>
    </xf>
    <xf numFmtId="0" fontId="1" fillId="0" borderId="0" xfId="3" applyFont="1" applyFill="1"/>
    <xf numFmtId="0" fontId="1" fillId="0" borderId="0" xfId="0" applyFont="1" applyFill="1"/>
    <xf numFmtId="0" fontId="1" fillId="0" borderId="0" xfId="0" quotePrefix="1" applyFont="1" applyFill="1" applyBorder="1"/>
    <xf numFmtId="0" fontId="1" fillId="0" borderId="26" xfId="0" applyFont="1" applyFill="1" applyBorder="1"/>
    <xf numFmtId="0" fontId="1" fillId="0" borderId="27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left"/>
    </xf>
    <xf numFmtId="168" fontId="1" fillId="0" borderId="28" xfId="0" applyNumberFormat="1" applyFont="1" applyFill="1" applyBorder="1" applyAlignment="1">
      <alignment horizontal="center"/>
    </xf>
    <xf numFmtId="0" fontId="1" fillId="0" borderId="31" xfId="0" applyFont="1" applyFill="1" applyBorder="1" applyAlignment="1">
      <alignment horizontal="left"/>
    </xf>
    <xf numFmtId="168" fontId="1" fillId="0" borderId="32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0" xfId="0" applyFont="1" applyFill="1" applyAlignment="1">
      <alignment horizontal="right"/>
    </xf>
    <xf numFmtId="168" fontId="1" fillId="0" borderId="0" xfId="0" applyNumberFormat="1" applyFont="1" applyFill="1" applyBorder="1" applyAlignment="1">
      <alignment horizontal="right"/>
    </xf>
    <xf numFmtId="173" fontId="4" fillId="0" borderId="0" xfId="3" applyNumberFormat="1" applyFill="1"/>
    <xf numFmtId="5" fontId="0" fillId="0" borderId="0" xfId="0" applyNumberFormat="1" applyFill="1" applyBorder="1"/>
    <xf numFmtId="1" fontId="1" fillId="0" borderId="0" xfId="3" applyNumberFormat="1" applyFont="1" applyFill="1"/>
    <xf numFmtId="172" fontId="4" fillId="0" borderId="0" xfId="3" applyNumberFormat="1" applyFill="1" applyBorder="1" applyAlignment="1">
      <alignment horizontal="center"/>
    </xf>
    <xf numFmtId="9" fontId="4" fillId="0" borderId="2" xfId="3" applyNumberFormat="1" applyFont="1" applyFill="1" applyBorder="1" applyAlignment="1" applyProtection="1">
      <alignment horizontal="center"/>
    </xf>
    <xf numFmtId="0" fontId="1" fillId="0" borderId="2" xfId="3" quotePrefix="1" applyFont="1" applyFill="1" applyBorder="1" applyAlignment="1">
      <alignment horizontal="left"/>
    </xf>
    <xf numFmtId="0" fontId="1" fillId="0" borderId="0" xfId="3" applyFont="1" applyFill="1" applyBorder="1" applyAlignment="1">
      <alignment horizontal="right"/>
    </xf>
    <xf numFmtId="0" fontId="1" fillId="0" borderId="2" xfId="3" applyFont="1" applyFill="1" applyBorder="1" applyProtection="1"/>
    <xf numFmtId="0" fontId="4" fillId="0" borderId="2" xfId="3" quotePrefix="1" applyFont="1" applyFill="1" applyBorder="1" applyAlignment="1">
      <alignment horizontal="center"/>
    </xf>
    <xf numFmtId="0" fontId="4" fillId="0" borderId="2" xfId="3" quotePrefix="1" applyFont="1" applyFill="1" applyBorder="1" applyAlignment="1">
      <alignment horizontal="center" vertical="center"/>
    </xf>
    <xf numFmtId="14" fontId="2" fillId="0" borderId="0" xfId="1" applyNumberFormat="1" applyFont="1" applyFill="1" applyBorder="1" applyAlignment="1">
      <alignment horizontal="right"/>
    </xf>
    <xf numFmtId="14" fontId="4" fillId="0" borderId="0" xfId="3" applyNumberFormat="1" applyFont="1" applyFill="1" applyBorder="1" applyAlignment="1">
      <alignment horizontal="right"/>
    </xf>
    <xf numFmtId="3" fontId="0" fillId="0" borderId="0" xfId="0" applyNumberFormat="1" applyFill="1" applyBorder="1" applyProtection="1"/>
    <xf numFmtId="4" fontId="1" fillId="0" borderId="0" xfId="0" quotePrefix="1" applyNumberFormat="1" applyFont="1" applyFill="1" applyBorder="1" applyAlignment="1">
      <alignment horizontal="left"/>
    </xf>
    <xf numFmtId="165" fontId="1" fillId="0" borderId="0" xfId="0" applyNumberFormat="1" applyFont="1" applyFill="1" applyBorder="1" applyAlignment="1" applyProtection="1">
      <alignment horizontal="center" vertical="center" wrapText="1"/>
    </xf>
    <xf numFmtId="3" fontId="0" fillId="0" borderId="0" xfId="0" quotePrefix="1" applyNumberFormat="1" applyFill="1" applyBorder="1" applyAlignment="1">
      <alignment horizontal="center"/>
    </xf>
    <xf numFmtId="9" fontId="0" fillId="0" borderId="0" xfId="0" quotePrefix="1" applyNumberFormat="1" applyFill="1" applyBorder="1" applyAlignment="1">
      <alignment horizontal="center"/>
    </xf>
    <xf numFmtId="0" fontId="1" fillId="0" borderId="2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 applyAlignment="1">
      <alignment horizontal="center"/>
    </xf>
    <xf numFmtId="0" fontId="1" fillId="0" borderId="29" xfId="0" quotePrefix="1" applyFont="1" applyFill="1" applyBorder="1" applyAlignment="1">
      <alignment horizontal="left"/>
    </xf>
    <xf numFmtId="0" fontId="1" fillId="0" borderId="8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2" fontId="1" fillId="0" borderId="2" xfId="0" applyNumberFormat="1" applyFont="1" applyFill="1" applyBorder="1"/>
    <xf numFmtId="2" fontId="1" fillId="0" borderId="34" xfId="0" applyNumberFormat="1" applyFont="1" applyFill="1" applyBorder="1"/>
    <xf numFmtId="165" fontId="1" fillId="0" borderId="27" xfId="0" applyNumberFormat="1" applyFont="1" applyFill="1" applyBorder="1" applyAlignment="1">
      <alignment horizontal="center"/>
    </xf>
    <xf numFmtId="10" fontId="1" fillId="0" borderId="35" xfId="0" applyNumberFormat="1" applyFont="1" applyFill="1" applyBorder="1" applyAlignment="1">
      <alignment horizontal="left"/>
    </xf>
    <xf numFmtId="0" fontId="1" fillId="0" borderId="16" xfId="0" applyFont="1" applyFill="1" applyBorder="1" applyAlignment="1">
      <alignment horizontal="center"/>
    </xf>
    <xf numFmtId="10" fontId="1" fillId="0" borderId="33" xfId="0" applyNumberFormat="1" applyFont="1" applyFill="1" applyBorder="1" applyAlignment="1">
      <alignment horizontal="left"/>
    </xf>
    <xf numFmtId="0" fontId="1" fillId="0" borderId="27" xfId="0" applyFont="1" applyFill="1" applyBorder="1" applyAlignment="1">
      <alignment horizontal="left"/>
    </xf>
    <xf numFmtId="168" fontId="1" fillId="0" borderId="27" xfId="0" applyNumberFormat="1" applyFont="1" applyFill="1" applyBorder="1" applyAlignment="1">
      <alignment horizontal="center"/>
    </xf>
    <xf numFmtId="2" fontId="7" fillId="0" borderId="2" xfId="0" applyNumberFormat="1" applyFont="1" applyFill="1" applyBorder="1" applyAlignment="1">
      <alignment horizontal="center"/>
    </xf>
    <xf numFmtId="2" fontId="7" fillId="0" borderId="34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68" fontId="1" fillId="0" borderId="0" xfId="0" applyNumberFormat="1" applyFont="1" applyFill="1" applyBorder="1" applyAlignment="1">
      <alignment horizontal="center"/>
    </xf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center"/>
    </xf>
    <xf numFmtId="10" fontId="1" fillId="0" borderId="0" xfId="0" applyNumberFormat="1" applyFont="1" applyFill="1" applyAlignment="1">
      <alignment horizontal="right"/>
    </xf>
    <xf numFmtId="168" fontId="1" fillId="0" borderId="0" xfId="0" applyNumberFormat="1" applyFont="1" applyFill="1" applyBorder="1"/>
    <xf numFmtId="16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Border="1"/>
    <xf numFmtId="10" fontId="1" fillId="0" borderId="0" xfId="0" applyNumberFormat="1" applyFont="1" applyFill="1"/>
    <xf numFmtId="5" fontId="1" fillId="0" borderId="0" xfId="0" applyNumberFormat="1" applyFont="1" applyFill="1"/>
    <xf numFmtId="0" fontId="4" fillId="0" borderId="0" xfId="0" applyFont="1" applyFill="1" applyBorder="1"/>
    <xf numFmtId="0" fontId="4" fillId="0" borderId="0" xfId="0" quotePrefix="1" applyFont="1" applyFill="1" applyBorder="1" applyAlignment="1">
      <alignment horizontal="right"/>
    </xf>
    <xf numFmtId="0" fontId="4" fillId="0" borderId="0" xfId="0" applyFont="1" applyFill="1" applyBorder="1" applyAlignment="1"/>
    <xf numFmtId="174" fontId="0" fillId="0" borderId="0" xfId="0" applyNumberFormat="1" applyFill="1" applyBorder="1"/>
    <xf numFmtId="0" fontId="0" fillId="0" borderId="14" xfId="0" applyFill="1" applyBorder="1" applyAlignment="1">
      <alignment horizontal="center"/>
    </xf>
    <xf numFmtId="168" fontId="0" fillId="0" borderId="0" xfId="0" applyNumberFormat="1" applyFill="1" applyBorder="1"/>
    <xf numFmtId="165" fontId="1" fillId="0" borderId="8" xfId="0" applyNumberFormat="1" applyFont="1" applyFill="1" applyBorder="1"/>
    <xf numFmtId="165" fontId="1" fillId="0" borderId="30" xfId="0" applyNumberFormat="1" applyFont="1" applyFill="1" applyBorder="1"/>
    <xf numFmtId="165" fontId="1" fillId="0" borderId="2" xfId="0" applyNumberFormat="1" applyFont="1" applyFill="1" applyBorder="1"/>
    <xf numFmtId="165" fontId="1" fillId="0" borderId="34" xfId="0" applyNumberFormat="1" applyFont="1" applyFill="1" applyBorder="1"/>
    <xf numFmtId="165" fontId="1" fillId="0" borderId="16" xfId="0" applyNumberFormat="1" applyFont="1" applyFill="1" applyBorder="1"/>
    <xf numFmtId="165" fontId="1" fillId="0" borderId="36" xfId="0" applyNumberFormat="1" applyFont="1" applyFill="1" applyBorder="1"/>
    <xf numFmtId="165" fontId="1" fillId="0" borderId="38" xfId="0" applyNumberFormat="1" applyFont="1" applyFill="1" applyBorder="1"/>
    <xf numFmtId="165" fontId="1" fillId="0" borderId="39" xfId="0" applyNumberFormat="1" applyFont="1" applyFill="1" applyBorder="1"/>
    <xf numFmtId="0" fontId="8" fillId="0" borderId="0" xfId="0" applyFont="1" applyProtection="1"/>
    <xf numFmtId="3" fontId="1" fillId="0" borderId="7" xfId="0" applyNumberFormat="1" applyFont="1" applyFill="1" applyBorder="1"/>
    <xf numFmtId="3" fontId="1" fillId="0" borderId="4" xfId="0" applyNumberFormat="1" applyFont="1" applyFill="1" applyBorder="1"/>
    <xf numFmtId="0" fontId="0" fillId="0" borderId="41" xfId="0" applyFill="1" applyBorder="1" applyAlignment="1">
      <alignment horizontal="center"/>
    </xf>
    <xf numFmtId="0" fontId="0" fillId="0" borderId="42" xfId="0" applyFill="1" applyBorder="1" applyAlignment="1">
      <alignment horizontal="center"/>
    </xf>
    <xf numFmtId="0" fontId="7" fillId="0" borderId="40" xfId="0" applyFont="1" applyFill="1" applyBorder="1" applyAlignment="1">
      <alignment horizontal="left"/>
    </xf>
    <xf numFmtId="0" fontId="0" fillId="0" borderId="44" xfId="0" applyFill="1" applyBorder="1" applyAlignment="1">
      <alignment horizontal="center" wrapText="1"/>
    </xf>
    <xf numFmtId="168" fontId="0" fillId="0" borderId="9" xfId="0" applyNumberFormat="1" applyFill="1" applyBorder="1"/>
    <xf numFmtId="168" fontId="0" fillId="0" borderId="45" xfId="0" applyNumberFormat="1" applyFill="1" applyBorder="1"/>
    <xf numFmtId="168" fontId="7" fillId="0" borderId="44" xfId="0" applyNumberFormat="1" applyFont="1" applyFill="1" applyBorder="1"/>
    <xf numFmtId="168" fontId="7" fillId="0" borderId="46" xfId="0" applyNumberFormat="1" applyFont="1" applyFill="1" applyBorder="1"/>
    <xf numFmtId="0" fontId="0" fillId="0" borderId="43" xfId="0" applyFill="1" applyBorder="1" applyAlignment="1">
      <alignment horizontal="center" wrapText="1"/>
    </xf>
    <xf numFmtId="168" fontId="0" fillId="0" borderId="47" xfId="0" applyNumberFormat="1" applyFill="1" applyBorder="1"/>
    <xf numFmtId="168" fontId="0" fillId="0" borderId="48" xfId="0" applyNumberFormat="1" applyFill="1" applyBorder="1"/>
    <xf numFmtId="168" fontId="7" fillId="0" borderId="43" xfId="0" applyNumberFormat="1" applyFont="1" applyFill="1" applyBorder="1"/>
    <xf numFmtId="0" fontId="12" fillId="0" borderId="0" xfId="0" applyFont="1" applyFill="1" applyAlignment="1"/>
    <xf numFmtId="168" fontId="0" fillId="0" borderId="0" xfId="0" applyNumberFormat="1" applyFill="1"/>
    <xf numFmtId="0" fontId="4" fillId="0" borderId="0" xfId="1" applyFont="1" applyFill="1" applyBorder="1" applyAlignment="1">
      <alignment horizontal="right" wrapText="1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5">
    <cellStyle name="Currency 2" xfId="4"/>
    <cellStyle name="Normal" xfId="0" builtinId="0"/>
    <cellStyle name="Normal 2" xfId="3"/>
    <cellStyle name="Normal_Chino_Bond_SantaRitaPit_WorkingDraft_V1-03" xfId="1"/>
    <cellStyle name="標準_OM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F8F8F8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Button"/>
</file>

<file path=xl/ctrlProps/ctrlProp2.xml><?xml version="1.0" encoding="utf-8"?>
<formControlPr xmlns="http://schemas.microsoft.com/office/spreadsheetml/2009/9/main" objectType="Button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0</xdr:rowOff>
        </xdr:to>
        <xdr:sp macro="" textlink="">
          <xdr:nvSpPr>
            <xdr:cNvPr id="2054" name="Button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5...Dozer</a:t>
              </a:r>
              <a:endParaRPr 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14</xdr:row>
          <xdr:rowOff>0</xdr:rowOff>
        </xdr:from>
        <xdr:to>
          <xdr:col>0</xdr:col>
          <xdr:colOff>0</xdr:colOff>
          <xdr:row>14</xdr:row>
          <xdr:rowOff>0</xdr:rowOff>
        </xdr:to>
        <xdr:sp macro="" textlink="">
          <xdr:nvSpPr>
            <xdr:cNvPr id="2055" name="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36576" bIns="27432" anchor="ctr" upright="1"/>
            <a:lstStyle/>
            <a:p>
              <a:pPr algn="ctr" rtl="0">
                <a:defRPr sz="1000"/>
              </a:pPr>
              <a:r>
                <a:rPr lang="en-US" sz="12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6...Grading</a:t>
              </a:r>
              <a:endParaRPr lang="en-US"/>
            </a:p>
          </xdr:txBody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view="pageBreakPreview" zoomScale="70" zoomScaleNormal="85" zoomScaleSheetLayoutView="70" workbookViewId="0">
      <selection activeCell="B43" sqref="B43"/>
    </sheetView>
  </sheetViews>
  <sheetFormatPr defaultRowHeight="12.75" x14ac:dyDescent="0.2"/>
  <cols>
    <col min="1" max="1" width="32.28515625" style="71" bestFit="1" customWidth="1"/>
    <col min="2" max="2" width="27.140625" style="71" customWidth="1"/>
    <col min="3" max="3" width="9.140625" style="71" bestFit="1" customWidth="1"/>
    <col min="4" max="4" width="14.28515625" style="71" customWidth="1"/>
    <col min="5" max="5" width="15.7109375" style="71" customWidth="1"/>
    <col min="6" max="6" width="9.140625" style="71"/>
    <col min="7" max="7" width="10.42578125" style="71" customWidth="1"/>
    <col min="8" max="8" width="13.7109375" style="71" customWidth="1"/>
    <col min="9" max="9" width="11.85546875" style="71" customWidth="1"/>
    <col min="10" max="10" width="9.140625" style="71"/>
    <col min="11" max="11" width="11.140625" style="71" bestFit="1" customWidth="1"/>
    <col min="12" max="12" width="40" style="71" bestFit="1" customWidth="1"/>
    <col min="13" max="13" width="1.7109375" style="71" customWidth="1"/>
    <col min="14" max="14" width="11.140625" style="71" bestFit="1" customWidth="1"/>
    <col min="15" max="18" width="9.140625" style="71"/>
    <col min="19" max="20" width="12.28515625" style="71" bestFit="1" customWidth="1"/>
    <col min="21" max="21" width="12.7109375" style="71" bestFit="1" customWidth="1"/>
    <col min="22" max="16384" width="9.140625" style="71"/>
  </cols>
  <sheetData>
    <row r="1" spans="1:21" ht="15" x14ac:dyDescent="0.2">
      <c r="A1" s="69"/>
      <c r="B1" s="70"/>
      <c r="C1" s="70"/>
      <c r="D1" s="70"/>
      <c r="E1" s="70"/>
      <c r="F1" s="70"/>
      <c r="G1" s="70"/>
      <c r="H1" s="70"/>
      <c r="J1" s="70"/>
      <c r="K1" s="70"/>
      <c r="L1" s="72" t="str">
        <f>'21 Sum'!E1</f>
        <v>Cobre</v>
      </c>
      <c r="N1" s="70"/>
    </row>
    <row r="2" spans="1:21" ht="18" x14ac:dyDescent="0.25">
      <c r="A2" s="69"/>
      <c r="B2" s="187"/>
      <c r="C2" s="70"/>
      <c r="D2" s="70"/>
      <c r="E2" s="70"/>
      <c r="F2" s="70"/>
      <c r="G2" s="70"/>
      <c r="H2" s="70"/>
      <c r="J2" s="70"/>
      <c r="K2" s="70"/>
      <c r="L2" s="135" t="s">
        <v>84</v>
      </c>
    </row>
    <row r="3" spans="1:21" ht="15" x14ac:dyDescent="0.2">
      <c r="B3" s="73" t="s">
        <v>59</v>
      </c>
      <c r="C3" s="70"/>
      <c r="D3" s="70"/>
      <c r="E3" s="70"/>
      <c r="F3" s="70"/>
      <c r="G3" s="70"/>
      <c r="H3" s="70"/>
      <c r="I3" s="74"/>
      <c r="J3" s="75"/>
      <c r="K3" s="75"/>
      <c r="L3" s="140">
        <f>'21 Sum'!E3</f>
        <v>41978</v>
      </c>
    </row>
    <row r="4" spans="1:21" x14ac:dyDescent="0.2">
      <c r="B4" s="70"/>
      <c r="C4" s="70"/>
      <c r="D4" s="70"/>
      <c r="E4" s="70"/>
      <c r="F4" s="70"/>
      <c r="G4" s="70"/>
      <c r="H4" s="70"/>
      <c r="I4" s="74"/>
      <c r="J4" s="75"/>
      <c r="K4" s="75"/>
      <c r="L4" s="140"/>
    </row>
    <row r="5" spans="1:21" x14ac:dyDescent="0.2">
      <c r="A5" s="70"/>
      <c r="B5" s="76"/>
      <c r="C5" s="77" t="s">
        <v>60</v>
      </c>
      <c r="D5" s="78"/>
      <c r="E5" s="77" t="s">
        <v>61</v>
      </c>
      <c r="F5" s="78" t="s">
        <v>62</v>
      </c>
      <c r="G5" s="77" t="s">
        <v>116</v>
      </c>
      <c r="H5" s="78"/>
      <c r="I5" s="77"/>
      <c r="J5" s="79" t="s">
        <v>63</v>
      </c>
      <c r="K5" s="77" t="s">
        <v>64</v>
      </c>
      <c r="L5" s="80"/>
      <c r="M5" s="70"/>
      <c r="N5" s="70"/>
      <c r="O5" s="70"/>
    </row>
    <row r="6" spans="1:21" x14ac:dyDescent="0.2">
      <c r="A6" s="70"/>
      <c r="B6" s="81" t="s">
        <v>122</v>
      </c>
      <c r="C6" s="82" t="s">
        <v>65</v>
      </c>
      <c r="D6" s="83" t="s">
        <v>66</v>
      </c>
      <c r="E6" s="82" t="s">
        <v>67</v>
      </c>
      <c r="F6" s="83" t="s">
        <v>68</v>
      </c>
      <c r="G6" s="82" t="s">
        <v>117</v>
      </c>
      <c r="H6" s="83" t="s">
        <v>69</v>
      </c>
      <c r="I6" s="82" t="s">
        <v>63</v>
      </c>
      <c r="J6" s="84" t="s">
        <v>118</v>
      </c>
      <c r="K6" s="82" t="s">
        <v>6</v>
      </c>
      <c r="L6" s="85"/>
      <c r="M6" s="70"/>
      <c r="N6" s="86"/>
      <c r="O6" s="70"/>
    </row>
    <row r="7" spans="1:21" x14ac:dyDescent="0.2">
      <c r="A7" s="70"/>
      <c r="B7" s="87"/>
      <c r="C7" s="88" t="s">
        <v>70</v>
      </c>
      <c r="D7" s="89" t="s">
        <v>71</v>
      </c>
      <c r="E7" s="88" t="s">
        <v>71</v>
      </c>
      <c r="F7" s="89" t="s">
        <v>72</v>
      </c>
      <c r="G7" s="88" t="s">
        <v>73</v>
      </c>
      <c r="H7" s="89"/>
      <c r="I7" s="88"/>
      <c r="J7" s="90" t="s">
        <v>74</v>
      </c>
      <c r="K7" s="88" t="s">
        <v>7</v>
      </c>
      <c r="L7" s="91" t="s">
        <v>75</v>
      </c>
      <c r="M7" s="70"/>
      <c r="N7" s="70"/>
      <c r="O7" s="70"/>
    </row>
    <row r="8" spans="1:21" x14ac:dyDescent="0.2">
      <c r="B8" s="136" t="s">
        <v>121</v>
      </c>
      <c r="C8" s="96">
        <v>921.24595004596461</v>
      </c>
      <c r="D8" s="137">
        <v>0</v>
      </c>
      <c r="E8" s="138">
        <v>11</v>
      </c>
      <c r="F8" s="97">
        <v>12</v>
      </c>
      <c r="G8" s="133">
        <v>0.02</v>
      </c>
      <c r="H8" s="94">
        <f>C8*G8</f>
        <v>18.424919000919292</v>
      </c>
      <c r="I8" s="93" t="s">
        <v>76</v>
      </c>
      <c r="J8" s="95">
        <f>$B$16</f>
        <v>935.11759935117595</v>
      </c>
      <c r="K8" s="95">
        <f>H8*J8*F8</f>
        <v>206753.59229255418</v>
      </c>
      <c r="L8" s="134" t="s">
        <v>81</v>
      </c>
      <c r="T8" s="98"/>
      <c r="U8" s="99"/>
    </row>
    <row r="9" spans="1:21" x14ac:dyDescent="0.2">
      <c r="B9" s="92" t="s">
        <v>77</v>
      </c>
      <c r="C9" s="100">
        <v>1.0716253443526171</v>
      </c>
      <c r="D9" s="137">
        <v>0</v>
      </c>
      <c r="E9" s="138">
        <v>11</v>
      </c>
      <c r="F9" s="97">
        <v>12</v>
      </c>
      <c r="G9" s="133">
        <v>0.02</v>
      </c>
      <c r="H9" s="94">
        <f>C9*G9</f>
        <v>2.1432506887052342E-2</v>
      </c>
      <c r="I9" s="93" t="s">
        <v>76</v>
      </c>
      <c r="J9" s="95">
        <f>$B$16</f>
        <v>935.11759935117595</v>
      </c>
      <c r="K9" s="95">
        <f t="shared" ref="K9" si="0">H9*J9*F9</f>
        <v>240.50297265957519</v>
      </c>
      <c r="L9" s="134" t="s">
        <v>81</v>
      </c>
      <c r="T9" s="98"/>
      <c r="U9" s="99"/>
    </row>
    <row r="10" spans="1:21" x14ac:dyDescent="0.2">
      <c r="T10" s="98"/>
    </row>
    <row r="11" spans="1:21" x14ac:dyDescent="0.2">
      <c r="J11" s="110" t="s">
        <v>120</v>
      </c>
      <c r="K11" s="101">
        <f>SUM(K8:K9)</f>
        <v>206994.09526521375</v>
      </c>
      <c r="L11" s="99"/>
    </row>
    <row r="12" spans="1:21" x14ac:dyDescent="0.2">
      <c r="B12" s="71" t="s">
        <v>49</v>
      </c>
      <c r="J12" s="110" t="s">
        <v>119</v>
      </c>
      <c r="K12" s="101">
        <f>K11*(1+'21 Sum'!$C$21)</f>
        <v>255223.71946200856</v>
      </c>
    </row>
    <row r="13" spans="1:21" x14ac:dyDescent="0.2">
      <c r="B13" s="102" t="s">
        <v>78</v>
      </c>
      <c r="C13" s="132">
        <v>43800</v>
      </c>
    </row>
    <row r="14" spans="1:21" x14ac:dyDescent="0.2">
      <c r="K14" s="103"/>
    </row>
    <row r="15" spans="1:21" x14ac:dyDescent="0.2">
      <c r="B15" s="112" t="str">
        <f>"* Rocky Mountain Reclamation Quote June, 18 2014, $1153/acre minus "&amp;'21 Sum'!$C$21*100&amp;"% indirect costs.  Quote includes cost for scarifying (ripping) surface."</f>
        <v>* Rocky Mountain Reclamation Quote June, 18 2014, $1153/acre minus 23.3% indirect costs.  Quote includes cost for scarifying (ripping) surface.</v>
      </c>
      <c r="C15" s="112"/>
      <c r="D15" s="102"/>
      <c r="E15" s="102"/>
      <c r="F15" s="102"/>
      <c r="G15" s="102"/>
      <c r="H15" s="102"/>
      <c r="I15" s="102"/>
      <c r="J15" s="102"/>
      <c r="K15" s="104"/>
      <c r="L15" s="104"/>
      <c r="M15" s="102"/>
      <c r="N15" s="102"/>
    </row>
    <row r="16" spans="1:21" x14ac:dyDescent="0.2">
      <c r="B16" s="131">
        <f>1153/(1+'21 Sum'!$C$21)</f>
        <v>935.11759935117595</v>
      </c>
      <c r="C16" s="112" t="s">
        <v>79</v>
      </c>
      <c r="D16" s="102"/>
      <c r="E16" s="102"/>
      <c r="F16" s="102"/>
      <c r="G16" s="102"/>
      <c r="H16" s="102"/>
      <c r="I16" s="102"/>
      <c r="J16" s="102"/>
      <c r="K16" s="104"/>
      <c r="L16" s="102"/>
      <c r="M16" s="102"/>
      <c r="N16" s="102"/>
    </row>
    <row r="17" spans="2:14" x14ac:dyDescent="0.2"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2:14" x14ac:dyDescent="0.2">
      <c r="B18" s="105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2:14" x14ac:dyDescent="0.2">
      <c r="B19" s="106"/>
      <c r="C19" s="102"/>
      <c r="D19" s="102"/>
      <c r="E19" s="102"/>
      <c r="F19" s="102"/>
      <c r="G19" s="102"/>
      <c r="H19" s="102"/>
      <c r="I19" s="102" t="s">
        <v>80</v>
      </c>
      <c r="J19" s="102"/>
      <c r="K19" s="102"/>
      <c r="L19" s="102"/>
      <c r="M19" s="102"/>
      <c r="N19" s="102"/>
    </row>
    <row r="20" spans="2:14" x14ac:dyDescent="0.2">
      <c r="B20" s="106"/>
      <c r="C20" s="106"/>
      <c r="D20" s="106"/>
      <c r="E20" s="106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2:14" x14ac:dyDescent="0.2">
      <c r="B21" s="107"/>
      <c r="C21" s="106"/>
      <c r="D21" s="106"/>
      <c r="E21" s="106"/>
      <c r="F21" s="102"/>
      <c r="G21" s="102"/>
      <c r="H21" s="102"/>
      <c r="I21" s="102"/>
      <c r="J21" s="102"/>
      <c r="K21" s="102"/>
      <c r="L21" s="102"/>
      <c r="M21" s="102"/>
      <c r="N21" s="102"/>
    </row>
    <row r="22" spans="2:14" x14ac:dyDescent="0.2">
      <c r="B22" s="108"/>
      <c r="C22" s="106"/>
      <c r="D22" s="106"/>
      <c r="E22" s="106"/>
      <c r="F22" s="102"/>
      <c r="G22" s="102"/>
      <c r="H22" s="102"/>
      <c r="I22" s="102"/>
      <c r="J22" s="102"/>
      <c r="K22" s="102"/>
      <c r="L22" s="102"/>
      <c r="M22" s="102"/>
      <c r="N22" s="102"/>
    </row>
    <row r="27" spans="2:14" x14ac:dyDescent="0.2">
      <c r="C27" s="129"/>
    </row>
  </sheetData>
  <pageMargins left="0.75" right="0.75" top="1" bottom="1" header="0.5" footer="0.5"/>
  <pageSetup scale="70" orientation="landscape" horizontalDpi="1200" verticalDpi="1200" r:id="rId1"/>
  <headerFooter alignWithMargins="0">
    <oddFooter>&amp;C&amp;F
&amp;   Reveg Maint Sheet #19 
&amp;
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9"/>
  <sheetViews>
    <sheetView view="pageBreakPreview" topLeftCell="A115" zoomScale="85" zoomScaleNormal="75" zoomScaleSheetLayoutView="85" workbookViewId="0">
      <selection activeCell="N17" sqref="N17"/>
    </sheetView>
  </sheetViews>
  <sheetFormatPr defaultRowHeight="12.75" x14ac:dyDescent="0.2"/>
  <cols>
    <col min="1" max="1" width="9.140625" style="5"/>
    <col min="2" max="2" width="27.85546875" style="5" customWidth="1"/>
    <col min="3" max="3" width="15.28515625" style="5" customWidth="1"/>
    <col min="4" max="4" width="11.5703125" style="5" bestFit="1" customWidth="1"/>
    <col min="5" max="5" width="12.7109375" style="5" customWidth="1"/>
    <col min="6" max="6" width="10.85546875" style="5" customWidth="1"/>
    <col min="7" max="7" width="21" style="5" customWidth="1"/>
    <col min="8" max="9" width="13.140625" style="5" customWidth="1"/>
    <col min="10" max="11" width="14" style="5" customWidth="1"/>
    <col min="12" max="12" width="11.140625" style="5" customWidth="1"/>
    <col min="13" max="13" width="11.7109375" style="5" customWidth="1"/>
    <col min="14" max="14" width="16.85546875" style="5" customWidth="1"/>
    <col min="15" max="16384" width="9.140625" style="5"/>
  </cols>
  <sheetData>
    <row r="1" spans="2:14" ht="15" x14ac:dyDescent="0.2">
      <c r="B1" s="4"/>
      <c r="C1" s="3"/>
      <c r="D1" s="3"/>
      <c r="E1" s="3"/>
      <c r="G1" s="3"/>
      <c r="M1" s="1" t="s">
        <v>29</v>
      </c>
    </row>
    <row r="2" spans="2:14" ht="18" x14ac:dyDescent="0.25">
      <c r="B2" s="187"/>
      <c r="C2" s="3"/>
      <c r="D2" s="3"/>
      <c r="E2" s="3"/>
      <c r="F2" s="113"/>
      <c r="G2" s="3"/>
      <c r="H2" s="17"/>
      <c r="M2" s="126" t="s">
        <v>83</v>
      </c>
    </row>
    <row r="3" spans="2:14" ht="15" x14ac:dyDescent="0.2">
      <c r="B3" s="6" t="s">
        <v>4</v>
      </c>
      <c r="C3" s="176"/>
      <c r="D3" s="3"/>
      <c r="E3" s="3"/>
      <c r="G3" s="130"/>
      <c r="M3" s="21">
        <f>'21 Sum'!E3</f>
        <v>41978</v>
      </c>
    </row>
    <row r="4" spans="2:14" ht="18" x14ac:dyDescent="0.25">
      <c r="B4" s="56" t="s">
        <v>36</v>
      </c>
      <c r="C4" s="14"/>
      <c r="D4" s="176"/>
      <c r="E4" s="3"/>
      <c r="F4" s="3"/>
      <c r="G4" s="130"/>
      <c r="J4" s="3"/>
      <c r="K4" s="3"/>
    </row>
    <row r="5" spans="2:14" x14ac:dyDescent="0.2">
      <c r="B5" s="3"/>
      <c r="C5" s="3"/>
      <c r="D5" s="3"/>
      <c r="E5" s="3"/>
      <c r="F5" s="7"/>
      <c r="G5" s="3"/>
      <c r="J5" s="3"/>
      <c r="K5" s="3"/>
      <c r="M5" s="8"/>
    </row>
    <row r="6" spans="2:14" x14ac:dyDescent="0.2">
      <c r="B6" s="3" t="s">
        <v>40</v>
      </c>
      <c r="C6" s="3"/>
      <c r="D6" s="3"/>
      <c r="E6" s="3"/>
      <c r="F6" s="3"/>
      <c r="G6" s="3" t="s">
        <v>16</v>
      </c>
      <c r="H6" s="3"/>
      <c r="I6" s="3"/>
      <c r="J6" s="3"/>
      <c r="K6" s="3"/>
      <c r="M6" s="10"/>
    </row>
    <row r="7" spans="2:14" x14ac:dyDescent="0.2">
      <c r="B7" s="3"/>
      <c r="C7" s="126" t="s">
        <v>124</v>
      </c>
      <c r="D7" s="126" t="s">
        <v>125</v>
      </c>
      <c r="E7" s="126" t="s">
        <v>115</v>
      </c>
      <c r="F7" s="3"/>
      <c r="G7" s="3"/>
      <c r="H7" s="126" t="s">
        <v>113</v>
      </c>
      <c r="I7" s="126" t="s">
        <v>114</v>
      </c>
      <c r="J7" s="126" t="s">
        <v>115</v>
      </c>
      <c r="K7" s="3"/>
      <c r="M7" s="3"/>
      <c r="N7" s="3"/>
    </row>
    <row r="8" spans="2:14" x14ac:dyDescent="0.2">
      <c r="B8" s="3" t="s">
        <v>1</v>
      </c>
      <c r="C8" s="9">
        <f>$E$138</f>
        <v>5722.6257396000001</v>
      </c>
      <c r="D8" s="9">
        <f>$E$138</f>
        <v>5722.6257396000001</v>
      </c>
      <c r="E8" s="9">
        <f>$E$138</f>
        <v>5722.6257396000001</v>
      </c>
      <c r="F8" s="3" t="s">
        <v>15</v>
      </c>
      <c r="G8" s="3" t="s">
        <v>1</v>
      </c>
      <c r="H8" s="9">
        <f>$J$134</f>
        <v>12618.916560000001</v>
      </c>
      <c r="I8" s="9">
        <f>$J$134</f>
        <v>12618.916560000001</v>
      </c>
      <c r="J8" s="9">
        <f>$J$134</f>
        <v>12618.916560000001</v>
      </c>
      <c r="K8" s="114" t="s">
        <v>107</v>
      </c>
      <c r="M8" s="7"/>
      <c r="N8" s="3"/>
    </row>
    <row r="9" spans="2:14" x14ac:dyDescent="0.2">
      <c r="B9" s="3" t="s">
        <v>2</v>
      </c>
      <c r="C9" s="141">
        <v>12</v>
      </c>
      <c r="D9" s="55">
        <v>4</v>
      </c>
      <c r="E9" s="55">
        <v>1</v>
      </c>
      <c r="F9" s="3" t="s">
        <v>18</v>
      </c>
      <c r="G9" s="3" t="s">
        <v>2</v>
      </c>
      <c r="H9" s="141">
        <v>4</v>
      </c>
      <c r="I9" s="55">
        <v>2</v>
      </c>
      <c r="J9" s="55">
        <v>1</v>
      </c>
      <c r="K9" s="20" t="s">
        <v>112</v>
      </c>
      <c r="M9" s="11"/>
      <c r="N9" s="3"/>
    </row>
    <row r="10" spans="2:14" x14ac:dyDescent="0.2">
      <c r="B10" s="3" t="s">
        <v>3</v>
      </c>
      <c r="C10" s="9">
        <f>C8*C9</f>
        <v>68671.508875200001</v>
      </c>
      <c r="D10" s="9">
        <f>D8*D9</f>
        <v>22890.5029584</v>
      </c>
      <c r="E10" s="9">
        <f>E8*E9</f>
        <v>5722.6257396000001</v>
      </c>
      <c r="F10" s="3" t="s">
        <v>19</v>
      </c>
      <c r="G10" s="3" t="s">
        <v>3</v>
      </c>
      <c r="H10" s="9">
        <f>H8*H9</f>
        <v>50475.666240000006</v>
      </c>
      <c r="I10" s="9">
        <f>I8*I9</f>
        <v>25237.833120000003</v>
      </c>
      <c r="J10" s="9">
        <f>J8*J9</f>
        <v>12618.916560000001</v>
      </c>
      <c r="K10" s="114" t="s">
        <v>19</v>
      </c>
      <c r="N10" s="3"/>
    </row>
    <row r="11" spans="2:14" x14ac:dyDescent="0.2">
      <c r="B11" s="3"/>
      <c r="C11" s="16"/>
      <c r="D11" s="16"/>
      <c r="E11" s="16"/>
      <c r="F11" s="10"/>
      <c r="G11" s="3"/>
      <c r="H11" s="9"/>
      <c r="I11" s="9"/>
      <c r="J11" s="9"/>
      <c r="K11" s="9"/>
      <c r="M11" s="15"/>
      <c r="N11" s="3"/>
    </row>
    <row r="12" spans="2:14" x14ac:dyDescent="0.2">
      <c r="C12" s="1" t="s">
        <v>5</v>
      </c>
      <c r="D12" s="12"/>
      <c r="E12" s="12"/>
      <c r="F12" s="10"/>
      <c r="H12" s="1" t="s">
        <v>5</v>
      </c>
      <c r="I12" s="12"/>
      <c r="J12" s="12"/>
      <c r="K12" s="12"/>
      <c r="N12" s="3"/>
    </row>
    <row r="13" spans="2:14" x14ac:dyDescent="0.2">
      <c r="C13" s="1" t="s">
        <v>8</v>
      </c>
      <c r="D13" s="12"/>
      <c r="E13" s="12"/>
      <c r="F13" s="10"/>
      <c r="H13" s="1" t="s">
        <v>8</v>
      </c>
      <c r="I13" s="12"/>
      <c r="J13" s="12"/>
      <c r="K13" s="12"/>
    </row>
    <row r="14" spans="2:14" ht="63.75" x14ac:dyDescent="0.2">
      <c r="C14" s="1" t="s">
        <v>6</v>
      </c>
      <c r="D14" s="12"/>
      <c r="E14" s="12"/>
      <c r="F14" s="10"/>
      <c r="H14" s="1" t="s">
        <v>6</v>
      </c>
      <c r="I14" s="12"/>
      <c r="J14" s="12"/>
      <c r="K14" s="12"/>
      <c r="L14" s="143" t="s">
        <v>109</v>
      </c>
      <c r="M14" s="143" t="s">
        <v>110</v>
      </c>
    </row>
    <row r="15" spans="2:14" ht="13.5" thickBot="1" x14ac:dyDescent="0.25">
      <c r="B15" s="2" t="s">
        <v>0</v>
      </c>
      <c r="C15" s="2" t="s">
        <v>7</v>
      </c>
      <c r="D15" s="2"/>
      <c r="E15" s="13"/>
      <c r="F15" s="3"/>
      <c r="G15" s="2" t="s">
        <v>0</v>
      </c>
      <c r="H15" s="2" t="s">
        <v>7</v>
      </c>
      <c r="I15" s="2"/>
      <c r="J15" s="13"/>
      <c r="K15" s="18"/>
      <c r="L15" s="12"/>
      <c r="M15" s="12"/>
    </row>
    <row r="16" spans="2:14" x14ac:dyDescent="0.2">
      <c r="B16" s="3">
        <v>0</v>
      </c>
      <c r="C16" s="178">
        <f>$C$10*M16</f>
        <v>0</v>
      </c>
      <c r="D16" s="142" t="s">
        <v>111</v>
      </c>
      <c r="E16" s="14"/>
      <c r="F16" s="3"/>
      <c r="G16" s="3">
        <v>0</v>
      </c>
      <c r="H16" s="178">
        <f>$H$10*M16</f>
        <v>0</v>
      </c>
      <c r="I16" s="142" t="s">
        <v>111</v>
      </c>
      <c r="J16" s="14"/>
      <c r="K16" s="14"/>
      <c r="L16" s="144">
        <v>0</v>
      </c>
      <c r="M16" s="145">
        <f>L16/$L$23</f>
        <v>0</v>
      </c>
      <c r="N16" s="203"/>
    </row>
    <row r="17" spans="1:14" x14ac:dyDescent="0.2">
      <c r="B17" s="3">
        <f t="shared" ref="B17:B79" si="0">1+B16</f>
        <v>1</v>
      </c>
      <c r="C17" s="178">
        <f t="shared" ref="C17:C28" si="1">$C$10*M17</f>
        <v>0</v>
      </c>
      <c r="D17" s="142" t="s">
        <v>111</v>
      </c>
      <c r="E17" s="14"/>
      <c r="F17" s="3"/>
      <c r="G17" s="3">
        <f t="shared" ref="G17:G79" si="2">G16+1</f>
        <v>1</v>
      </c>
      <c r="H17" s="178">
        <f t="shared" ref="H17:H28" si="3">$H$10*M17</f>
        <v>0</v>
      </c>
      <c r="I17" s="142" t="s">
        <v>111</v>
      </c>
      <c r="J17" s="14"/>
      <c r="K17" s="14"/>
      <c r="L17" s="144">
        <v>0</v>
      </c>
      <c r="M17" s="145">
        <f t="shared" ref="M17:M23" si="4">L17/$L$23</f>
        <v>0</v>
      </c>
      <c r="N17" s="203"/>
    </row>
    <row r="18" spans="1:14" x14ac:dyDescent="0.2">
      <c r="B18" s="3">
        <f>1+B17</f>
        <v>2</v>
      </c>
      <c r="C18" s="178">
        <f t="shared" si="1"/>
        <v>11445.251479200002</v>
      </c>
      <c r="D18" s="142" t="s">
        <v>111</v>
      </c>
      <c r="E18" s="14"/>
      <c r="F18" s="3"/>
      <c r="G18" s="3">
        <f t="shared" si="2"/>
        <v>2</v>
      </c>
      <c r="H18" s="178">
        <f t="shared" si="3"/>
        <v>8412.6110400000016</v>
      </c>
      <c r="I18" s="142" t="s">
        <v>111</v>
      </c>
      <c r="J18" s="14"/>
      <c r="K18" s="14"/>
      <c r="L18" s="144">
        <f>L17+SUM(' 19 Veg Maintenance'!$C$8:$C$9)/6</f>
        <v>153.71959589838619</v>
      </c>
      <c r="M18" s="145">
        <f t="shared" si="4"/>
        <v>0.16666666666666669</v>
      </c>
      <c r="N18" s="203"/>
    </row>
    <row r="19" spans="1:14" x14ac:dyDescent="0.2">
      <c r="B19" s="3">
        <f t="shared" si="0"/>
        <v>3</v>
      </c>
      <c r="C19" s="178">
        <f t="shared" si="1"/>
        <v>22890.502958400004</v>
      </c>
      <c r="D19" s="142" t="s">
        <v>111</v>
      </c>
      <c r="E19" s="14"/>
      <c r="F19" s="3"/>
      <c r="G19" s="3">
        <f t="shared" si="2"/>
        <v>3</v>
      </c>
      <c r="H19" s="178">
        <f t="shared" si="3"/>
        <v>16825.222080000003</v>
      </c>
      <c r="I19" s="142" t="s">
        <v>111</v>
      </c>
      <c r="J19" s="14"/>
      <c r="K19" s="14"/>
      <c r="L19" s="144">
        <f>L18+SUM(' 19 Veg Maintenance'!$C$8:$C$9)/6</f>
        <v>307.43919179677238</v>
      </c>
      <c r="M19" s="145">
        <f t="shared" si="4"/>
        <v>0.33333333333333337</v>
      </c>
      <c r="N19" s="203"/>
    </row>
    <row r="20" spans="1:14" x14ac:dyDescent="0.2">
      <c r="B20" s="3">
        <f t="shared" si="0"/>
        <v>4</v>
      </c>
      <c r="C20" s="178">
        <f t="shared" si="1"/>
        <v>34335.754437600008</v>
      </c>
      <c r="D20" s="142" t="s">
        <v>111</v>
      </c>
      <c r="E20" s="14"/>
      <c r="F20" s="3"/>
      <c r="G20" s="3">
        <f t="shared" si="2"/>
        <v>4</v>
      </c>
      <c r="H20" s="178">
        <f t="shared" si="3"/>
        <v>25237.83312000001</v>
      </c>
      <c r="I20" s="142" t="s">
        <v>111</v>
      </c>
      <c r="J20" s="14"/>
      <c r="K20" s="14"/>
      <c r="L20" s="144">
        <f>L19+SUM(' 19 Veg Maintenance'!$C$8:$C$9)/6</f>
        <v>461.15878769515859</v>
      </c>
      <c r="M20" s="145">
        <f t="shared" si="4"/>
        <v>0.50000000000000011</v>
      </c>
      <c r="N20" s="203"/>
    </row>
    <row r="21" spans="1:14" x14ac:dyDescent="0.2">
      <c r="B21" s="3">
        <f t="shared" si="0"/>
        <v>5</v>
      </c>
      <c r="C21" s="178">
        <f>$C$10*M21</f>
        <v>45781.005916800008</v>
      </c>
      <c r="D21" s="142" t="s">
        <v>111</v>
      </c>
      <c r="E21" s="14"/>
      <c r="F21" s="3"/>
      <c r="G21" s="3">
        <f t="shared" si="2"/>
        <v>5</v>
      </c>
      <c r="H21" s="178">
        <f t="shared" si="3"/>
        <v>33650.444160000006</v>
      </c>
      <c r="I21" s="142" t="s">
        <v>111</v>
      </c>
      <c r="J21" s="14"/>
      <c r="K21" s="14"/>
      <c r="L21" s="144">
        <f>L20+SUM(' 19 Veg Maintenance'!$C$8:$C$9)/6</f>
        <v>614.87838359354475</v>
      </c>
      <c r="M21" s="145">
        <f t="shared" si="4"/>
        <v>0.66666666666666674</v>
      </c>
      <c r="N21" s="203"/>
    </row>
    <row r="22" spans="1:14" s="3" customFormat="1" x14ac:dyDescent="0.2">
      <c r="B22" s="3">
        <f t="shared" si="0"/>
        <v>6</v>
      </c>
      <c r="C22" s="178">
        <f t="shared" si="1"/>
        <v>57226.257396000001</v>
      </c>
      <c r="D22" s="142" t="s">
        <v>111</v>
      </c>
      <c r="E22" s="14"/>
      <c r="G22" s="3">
        <f t="shared" si="2"/>
        <v>6</v>
      </c>
      <c r="H22" s="178">
        <f t="shared" si="3"/>
        <v>42063.05520000001</v>
      </c>
      <c r="I22" s="142" t="s">
        <v>111</v>
      </c>
      <c r="J22" s="14"/>
      <c r="K22" s="14"/>
      <c r="L22" s="144">
        <f>L21+SUM(' 19 Veg Maintenance'!$C$8:$C$9)/6</f>
        <v>768.59797949193091</v>
      </c>
      <c r="M22" s="145">
        <f t="shared" si="4"/>
        <v>0.83333333333333337</v>
      </c>
      <c r="N22" s="203"/>
    </row>
    <row r="23" spans="1:14" s="3" customFormat="1" x14ac:dyDescent="0.2">
      <c r="B23" s="3">
        <f t="shared" si="0"/>
        <v>7</v>
      </c>
      <c r="C23" s="178">
        <f t="shared" si="1"/>
        <v>68671.508875200001</v>
      </c>
      <c r="D23" s="142" t="s">
        <v>111</v>
      </c>
      <c r="E23" s="14"/>
      <c r="G23" s="3">
        <f t="shared" si="2"/>
        <v>7</v>
      </c>
      <c r="H23" s="178">
        <f t="shared" si="3"/>
        <v>50475.666240000006</v>
      </c>
      <c r="I23" s="142" t="s">
        <v>111</v>
      </c>
      <c r="J23" s="14"/>
      <c r="K23" s="14"/>
      <c r="L23" s="144">
        <f>L22+SUM(' 19 Veg Maintenance'!$C$8:$C$9)/6</f>
        <v>922.31757539031707</v>
      </c>
      <c r="M23" s="145">
        <f t="shared" si="4"/>
        <v>1</v>
      </c>
      <c r="N23" s="203"/>
    </row>
    <row r="24" spans="1:14" x14ac:dyDescent="0.2">
      <c r="B24" s="3">
        <f t="shared" si="0"/>
        <v>8</v>
      </c>
      <c r="C24" s="178">
        <f t="shared" si="1"/>
        <v>68671.508875200001</v>
      </c>
      <c r="D24" s="142"/>
      <c r="E24" s="14"/>
      <c r="F24" s="3"/>
      <c r="G24" s="3">
        <f t="shared" si="2"/>
        <v>8</v>
      </c>
      <c r="H24" s="178">
        <f t="shared" si="3"/>
        <v>50475.666240000006</v>
      </c>
      <c r="I24" s="142"/>
      <c r="J24" s="14"/>
      <c r="K24" s="14"/>
      <c r="L24" s="144"/>
      <c r="M24" s="145">
        <v>1</v>
      </c>
      <c r="N24" s="203"/>
    </row>
    <row r="25" spans="1:14" s="3" customFormat="1" x14ac:dyDescent="0.2">
      <c r="B25" s="3">
        <f t="shared" si="0"/>
        <v>9</v>
      </c>
      <c r="C25" s="178">
        <f t="shared" si="1"/>
        <v>68671.508875200001</v>
      </c>
      <c r="D25" s="142"/>
      <c r="E25" s="14"/>
      <c r="G25" s="3">
        <f t="shared" si="2"/>
        <v>9</v>
      </c>
      <c r="H25" s="178">
        <f t="shared" si="3"/>
        <v>50475.666240000006</v>
      </c>
      <c r="I25" s="142"/>
      <c r="J25" s="14"/>
      <c r="K25" s="14"/>
      <c r="L25" s="144"/>
      <c r="M25" s="145">
        <v>1</v>
      </c>
      <c r="N25" s="203"/>
    </row>
    <row r="26" spans="1:14" s="3" customFormat="1" x14ac:dyDescent="0.2">
      <c r="A26" s="5"/>
      <c r="B26" s="3">
        <f t="shared" si="0"/>
        <v>10</v>
      </c>
      <c r="C26" s="178">
        <f t="shared" si="1"/>
        <v>68671.508875200001</v>
      </c>
      <c r="D26" s="142"/>
      <c r="E26" s="19"/>
      <c r="F26" s="20"/>
      <c r="G26" s="20">
        <f t="shared" si="2"/>
        <v>10</v>
      </c>
      <c r="H26" s="178">
        <f t="shared" si="3"/>
        <v>50475.666240000006</v>
      </c>
      <c r="I26" s="142"/>
      <c r="J26" s="19"/>
      <c r="K26" s="14"/>
      <c r="L26" s="144"/>
      <c r="M26" s="145">
        <v>1</v>
      </c>
      <c r="N26" s="203"/>
    </row>
    <row r="27" spans="1:14" x14ac:dyDescent="0.2">
      <c r="B27" s="3">
        <f t="shared" si="0"/>
        <v>11</v>
      </c>
      <c r="C27" s="178">
        <f t="shared" si="1"/>
        <v>68671.508875200001</v>
      </c>
      <c r="D27" s="142"/>
      <c r="E27" s="19"/>
      <c r="F27" s="20"/>
      <c r="G27" s="20">
        <f t="shared" si="2"/>
        <v>11</v>
      </c>
      <c r="H27" s="178">
        <f t="shared" si="3"/>
        <v>50475.666240000006</v>
      </c>
      <c r="I27" s="142"/>
      <c r="J27" s="19"/>
      <c r="K27" s="14"/>
      <c r="L27" s="144"/>
      <c r="M27" s="145">
        <v>1</v>
      </c>
      <c r="N27" s="203"/>
    </row>
    <row r="28" spans="1:14" x14ac:dyDescent="0.2">
      <c r="B28" s="3">
        <f t="shared" si="0"/>
        <v>12</v>
      </c>
      <c r="C28" s="178">
        <f t="shared" si="1"/>
        <v>68671.508875200001</v>
      </c>
      <c r="D28" s="142"/>
      <c r="E28" s="19"/>
      <c r="F28" s="3"/>
      <c r="G28" s="3">
        <f t="shared" si="2"/>
        <v>12</v>
      </c>
      <c r="H28" s="178">
        <f t="shared" si="3"/>
        <v>50475.666240000006</v>
      </c>
      <c r="I28" s="142"/>
      <c r="J28" s="19"/>
      <c r="K28" s="14"/>
      <c r="L28" s="144"/>
      <c r="M28" s="145">
        <v>1</v>
      </c>
      <c r="N28" s="203"/>
    </row>
    <row r="29" spans="1:14" x14ac:dyDescent="0.2">
      <c r="B29" s="3">
        <f t="shared" si="0"/>
        <v>13</v>
      </c>
      <c r="C29" s="178">
        <f>$D$10</f>
        <v>22890.5029584</v>
      </c>
      <c r="D29" s="14"/>
      <c r="E29" s="19"/>
      <c r="F29" s="3"/>
      <c r="G29" s="3">
        <f t="shared" si="2"/>
        <v>13</v>
      </c>
      <c r="H29" s="178">
        <f t="shared" ref="H29:H35" si="5">$H$10</f>
        <v>50475.666240000006</v>
      </c>
      <c r="I29" s="14"/>
      <c r="J29" s="19"/>
      <c r="K29" s="14"/>
      <c r="N29" s="203"/>
    </row>
    <row r="30" spans="1:14" x14ac:dyDescent="0.2">
      <c r="B30" s="3">
        <f t="shared" si="0"/>
        <v>14</v>
      </c>
      <c r="C30" s="178">
        <f t="shared" ref="C30:C35" si="6">$D$10</f>
        <v>22890.5029584</v>
      </c>
      <c r="D30" s="14"/>
      <c r="E30" s="19"/>
      <c r="F30" s="3"/>
      <c r="G30" s="3">
        <f t="shared" si="2"/>
        <v>14</v>
      </c>
      <c r="H30" s="178">
        <f t="shared" si="5"/>
        <v>50475.666240000006</v>
      </c>
      <c r="I30" s="14"/>
      <c r="J30" s="19"/>
      <c r="K30" s="14"/>
      <c r="N30" s="203"/>
    </row>
    <row r="31" spans="1:14" x14ac:dyDescent="0.2">
      <c r="B31" s="3">
        <f t="shared" si="0"/>
        <v>15</v>
      </c>
      <c r="C31" s="178">
        <f t="shared" si="6"/>
        <v>22890.5029584</v>
      </c>
      <c r="D31" s="14"/>
      <c r="E31" s="19"/>
      <c r="F31" s="3"/>
      <c r="G31" s="3">
        <f t="shared" si="2"/>
        <v>15</v>
      </c>
      <c r="H31" s="178">
        <f t="shared" si="5"/>
        <v>50475.666240000006</v>
      </c>
      <c r="I31" s="14"/>
      <c r="J31" s="19"/>
      <c r="K31" s="14"/>
      <c r="N31" s="203"/>
    </row>
    <row r="32" spans="1:14" x14ac:dyDescent="0.2">
      <c r="B32" s="3">
        <f t="shared" si="0"/>
        <v>16</v>
      </c>
      <c r="C32" s="178">
        <f t="shared" si="6"/>
        <v>22890.5029584</v>
      </c>
      <c r="D32" s="14"/>
      <c r="E32" s="19"/>
      <c r="F32" s="3"/>
      <c r="G32" s="3">
        <f t="shared" si="2"/>
        <v>16</v>
      </c>
      <c r="H32" s="178">
        <f t="shared" si="5"/>
        <v>50475.666240000006</v>
      </c>
      <c r="I32" s="14"/>
      <c r="J32" s="19"/>
      <c r="K32" s="14"/>
      <c r="N32" s="203"/>
    </row>
    <row r="33" spans="2:14" x14ac:dyDescent="0.2">
      <c r="B33" s="3">
        <f t="shared" si="0"/>
        <v>17</v>
      </c>
      <c r="C33" s="178">
        <f t="shared" si="6"/>
        <v>22890.5029584</v>
      </c>
      <c r="D33" s="14"/>
      <c r="E33" s="19"/>
      <c r="F33" s="3"/>
      <c r="G33" s="3">
        <f t="shared" si="2"/>
        <v>17</v>
      </c>
      <c r="H33" s="178">
        <f t="shared" si="5"/>
        <v>50475.666240000006</v>
      </c>
      <c r="I33" s="14"/>
      <c r="J33" s="19"/>
      <c r="K33" s="14"/>
      <c r="N33" s="203"/>
    </row>
    <row r="34" spans="2:14" x14ac:dyDescent="0.2">
      <c r="B34" s="3">
        <f t="shared" si="0"/>
        <v>18</v>
      </c>
      <c r="C34" s="178">
        <f t="shared" si="6"/>
        <v>22890.5029584</v>
      </c>
      <c r="D34" s="14"/>
      <c r="E34" s="19"/>
      <c r="F34" s="3"/>
      <c r="G34" s="3">
        <f t="shared" si="2"/>
        <v>18</v>
      </c>
      <c r="H34" s="178">
        <f>$H$10</f>
        <v>50475.666240000006</v>
      </c>
      <c r="I34" s="14"/>
      <c r="J34" s="19"/>
      <c r="K34" s="14"/>
      <c r="N34" s="203"/>
    </row>
    <row r="35" spans="2:14" x14ac:dyDescent="0.2">
      <c r="B35" s="3">
        <f t="shared" si="0"/>
        <v>19</v>
      </c>
      <c r="C35" s="178">
        <f t="shared" si="6"/>
        <v>22890.5029584</v>
      </c>
      <c r="D35" s="14"/>
      <c r="E35" s="19"/>
      <c r="F35" s="3"/>
      <c r="G35" s="3">
        <f t="shared" si="2"/>
        <v>19</v>
      </c>
      <c r="H35" s="178">
        <f t="shared" si="5"/>
        <v>50475.666240000006</v>
      </c>
      <c r="I35" s="14"/>
      <c r="J35" s="19"/>
      <c r="K35" s="14"/>
      <c r="N35" s="203"/>
    </row>
    <row r="36" spans="2:14" x14ac:dyDescent="0.2">
      <c r="B36" s="3">
        <f t="shared" si="0"/>
        <v>20</v>
      </c>
      <c r="C36" s="178">
        <f t="shared" ref="C36:C55" si="7">$D$10</f>
        <v>22890.5029584</v>
      </c>
      <c r="D36" s="14"/>
      <c r="E36" s="19"/>
      <c r="F36" s="3"/>
      <c r="G36" s="3">
        <f t="shared" si="2"/>
        <v>20</v>
      </c>
      <c r="H36" s="178">
        <f>$I$10</f>
        <v>25237.833120000003</v>
      </c>
      <c r="I36" s="14"/>
      <c r="J36" s="19"/>
      <c r="K36" s="14"/>
      <c r="N36" s="203"/>
    </row>
    <row r="37" spans="2:14" x14ac:dyDescent="0.2">
      <c r="B37" s="3">
        <f t="shared" si="0"/>
        <v>21</v>
      </c>
      <c r="C37" s="178">
        <f t="shared" si="7"/>
        <v>22890.5029584</v>
      </c>
      <c r="D37" s="14"/>
      <c r="E37" s="19"/>
      <c r="F37" s="3"/>
      <c r="G37" s="3">
        <f t="shared" si="2"/>
        <v>21</v>
      </c>
      <c r="H37" s="178">
        <f t="shared" ref="H37:H55" si="8">$I$10</f>
        <v>25237.833120000003</v>
      </c>
      <c r="I37" s="14"/>
      <c r="J37" s="19"/>
      <c r="K37" s="14"/>
      <c r="N37" s="203"/>
    </row>
    <row r="38" spans="2:14" x14ac:dyDescent="0.2">
      <c r="B38" s="3">
        <f t="shared" si="0"/>
        <v>22</v>
      </c>
      <c r="C38" s="178">
        <f t="shared" si="7"/>
        <v>22890.5029584</v>
      </c>
      <c r="D38" s="14"/>
      <c r="E38" s="19"/>
      <c r="F38" s="3"/>
      <c r="G38" s="3">
        <f t="shared" si="2"/>
        <v>22</v>
      </c>
      <c r="H38" s="178">
        <f t="shared" si="8"/>
        <v>25237.833120000003</v>
      </c>
      <c r="I38" s="14"/>
      <c r="J38" s="19"/>
      <c r="K38" s="14"/>
      <c r="N38" s="203"/>
    </row>
    <row r="39" spans="2:14" x14ac:dyDescent="0.2">
      <c r="B39" s="3">
        <f t="shared" si="0"/>
        <v>23</v>
      </c>
      <c r="C39" s="178">
        <f t="shared" si="7"/>
        <v>22890.5029584</v>
      </c>
      <c r="D39" s="14"/>
      <c r="E39" s="19"/>
      <c r="F39" s="3"/>
      <c r="G39" s="3">
        <f t="shared" si="2"/>
        <v>23</v>
      </c>
      <c r="H39" s="178">
        <f t="shared" si="8"/>
        <v>25237.833120000003</v>
      </c>
      <c r="I39" s="14"/>
      <c r="J39" s="19"/>
      <c r="K39" s="14"/>
      <c r="N39" s="203"/>
    </row>
    <row r="40" spans="2:14" x14ac:dyDescent="0.2">
      <c r="B40" s="3">
        <f t="shared" si="0"/>
        <v>24</v>
      </c>
      <c r="C40" s="178">
        <f t="shared" si="7"/>
        <v>22890.5029584</v>
      </c>
      <c r="D40" s="14"/>
      <c r="E40" s="19"/>
      <c r="F40" s="3"/>
      <c r="G40" s="3">
        <f t="shared" si="2"/>
        <v>24</v>
      </c>
      <c r="H40" s="178">
        <f t="shared" si="8"/>
        <v>25237.833120000003</v>
      </c>
      <c r="I40" s="14"/>
      <c r="J40" s="19"/>
      <c r="K40" s="14"/>
      <c r="N40" s="203"/>
    </row>
    <row r="41" spans="2:14" x14ac:dyDescent="0.2">
      <c r="B41" s="3">
        <f t="shared" si="0"/>
        <v>25</v>
      </c>
      <c r="C41" s="178">
        <f t="shared" si="7"/>
        <v>22890.5029584</v>
      </c>
      <c r="D41" s="14"/>
      <c r="E41" s="19"/>
      <c r="F41" s="3"/>
      <c r="G41" s="3">
        <f t="shared" si="2"/>
        <v>25</v>
      </c>
      <c r="H41" s="178">
        <f t="shared" si="8"/>
        <v>25237.833120000003</v>
      </c>
      <c r="I41" s="14"/>
      <c r="J41" s="19"/>
      <c r="K41" s="14"/>
      <c r="N41" s="203"/>
    </row>
    <row r="42" spans="2:14" x14ac:dyDescent="0.2">
      <c r="B42" s="3">
        <f t="shared" si="0"/>
        <v>26</v>
      </c>
      <c r="C42" s="178">
        <f t="shared" si="7"/>
        <v>22890.5029584</v>
      </c>
      <c r="D42" s="14"/>
      <c r="E42" s="19"/>
      <c r="F42" s="3"/>
      <c r="G42" s="3">
        <f t="shared" si="2"/>
        <v>26</v>
      </c>
      <c r="H42" s="178">
        <f t="shared" si="8"/>
        <v>25237.833120000003</v>
      </c>
      <c r="I42" s="14"/>
      <c r="J42" s="19"/>
      <c r="K42" s="14"/>
      <c r="N42" s="203"/>
    </row>
    <row r="43" spans="2:14" x14ac:dyDescent="0.2">
      <c r="B43" s="3">
        <f t="shared" si="0"/>
        <v>27</v>
      </c>
      <c r="C43" s="178">
        <f t="shared" si="7"/>
        <v>22890.5029584</v>
      </c>
      <c r="D43" s="14"/>
      <c r="E43" s="19"/>
      <c r="F43" s="3"/>
      <c r="G43" s="3">
        <f t="shared" si="2"/>
        <v>27</v>
      </c>
      <c r="H43" s="178">
        <f t="shared" si="8"/>
        <v>25237.833120000003</v>
      </c>
      <c r="I43" s="14"/>
      <c r="J43" s="19"/>
      <c r="K43" s="14"/>
      <c r="N43" s="203"/>
    </row>
    <row r="44" spans="2:14" x14ac:dyDescent="0.2">
      <c r="B44" s="3">
        <f t="shared" si="0"/>
        <v>28</v>
      </c>
      <c r="C44" s="178">
        <f t="shared" si="7"/>
        <v>22890.5029584</v>
      </c>
      <c r="D44" s="14"/>
      <c r="E44" s="19"/>
      <c r="F44" s="3"/>
      <c r="G44" s="3">
        <f t="shared" si="2"/>
        <v>28</v>
      </c>
      <c r="H44" s="178">
        <f t="shared" si="8"/>
        <v>25237.833120000003</v>
      </c>
      <c r="I44" s="14"/>
      <c r="J44" s="19"/>
      <c r="K44" s="14"/>
      <c r="N44" s="203"/>
    </row>
    <row r="45" spans="2:14" x14ac:dyDescent="0.2">
      <c r="B45" s="3">
        <f t="shared" si="0"/>
        <v>29</v>
      </c>
      <c r="C45" s="178">
        <f t="shared" si="7"/>
        <v>22890.5029584</v>
      </c>
      <c r="D45" s="14"/>
      <c r="E45" s="19"/>
      <c r="F45" s="3"/>
      <c r="G45" s="3">
        <f t="shared" si="2"/>
        <v>29</v>
      </c>
      <c r="H45" s="178">
        <f t="shared" si="8"/>
        <v>25237.833120000003</v>
      </c>
      <c r="I45" s="14"/>
      <c r="J45" s="19"/>
      <c r="K45" s="14"/>
      <c r="N45" s="203"/>
    </row>
    <row r="46" spans="2:14" x14ac:dyDescent="0.2">
      <c r="B46" s="3">
        <f t="shared" si="0"/>
        <v>30</v>
      </c>
      <c r="C46" s="178">
        <f t="shared" si="7"/>
        <v>22890.5029584</v>
      </c>
      <c r="D46" s="14"/>
      <c r="E46" s="19"/>
      <c r="F46" s="3"/>
      <c r="G46" s="3">
        <f t="shared" si="2"/>
        <v>30</v>
      </c>
      <c r="H46" s="178">
        <f t="shared" si="8"/>
        <v>25237.833120000003</v>
      </c>
      <c r="I46" s="14"/>
      <c r="J46" s="19"/>
      <c r="K46" s="14"/>
      <c r="N46" s="203"/>
    </row>
    <row r="47" spans="2:14" x14ac:dyDescent="0.2">
      <c r="B47" s="3">
        <f t="shared" si="0"/>
        <v>31</v>
      </c>
      <c r="C47" s="178">
        <f t="shared" si="7"/>
        <v>22890.5029584</v>
      </c>
      <c r="D47" s="14"/>
      <c r="E47" s="19"/>
      <c r="F47" s="3"/>
      <c r="G47" s="3">
        <f t="shared" si="2"/>
        <v>31</v>
      </c>
      <c r="H47" s="178">
        <f t="shared" si="8"/>
        <v>25237.833120000003</v>
      </c>
      <c r="I47" s="14"/>
      <c r="J47" s="19"/>
      <c r="K47" s="14"/>
      <c r="N47" s="203"/>
    </row>
    <row r="48" spans="2:14" x14ac:dyDescent="0.2">
      <c r="B48" s="3">
        <f t="shared" si="0"/>
        <v>32</v>
      </c>
      <c r="C48" s="178">
        <f t="shared" si="7"/>
        <v>22890.5029584</v>
      </c>
      <c r="D48" s="14"/>
      <c r="E48" s="19"/>
      <c r="F48" s="3"/>
      <c r="G48" s="3">
        <f t="shared" si="2"/>
        <v>32</v>
      </c>
      <c r="H48" s="178">
        <f t="shared" si="8"/>
        <v>25237.833120000003</v>
      </c>
      <c r="I48" s="14"/>
      <c r="J48" s="19"/>
      <c r="K48" s="14"/>
      <c r="N48" s="203"/>
    </row>
    <row r="49" spans="2:14" x14ac:dyDescent="0.2">
      <c r="B49" s="3">
        <f t="shared" si="0"/>
        <v>33</v>
      </c>
      <c r="C49" s="178">
        <f t="shared" si="7"/>
        <v>22890.5029584</v>
      </c>
      <c r="D49" s="14"/>
      <c r="E49" s="19"/>
      <c r="F49" s="3"/>
      <c r="G49" s="3">
        <f t="shared" si="2"/>
        <v>33</v>
      </c>
      <c r="H49" s="178">
        <f t="shared" si="8"/>
        <v>25237.833120000003</v>
      </c>
      <c r="I49" s="14"/>
      <c r="J49" s="19"/>
      <c r="K49" s="14"/>
      <c r="N49" s="203"/>
    </row>
    <row r="50" spans="2:14" x14ac:dyDescent="0.2">
      <c r="B50" s="3">
        <f t="shared" si="0"/>
        <v>34</v>
      </c>
      <c r="C50" s="178">
        <f t="shared" si="7"/>
        <v>22890.5029584</v>
      </c>
      <c r="D50" s="14"/>
      <c r="E50" s="19"/>
      <c r="F50" s="3"/>
      <c r="G50" s="3">
        <f t="shared" si="2"/>
        <v>34</v>
      </c>
      <c r="H50" s="178">
        <f t="shared" si="8"/>
        <v>25237.833120000003</v>
      </c>
      <c r="I50" s="14"/>
      <c r="J50" s="19"/>
      <c r="K50" s="14"/>
      <c r="N50" s="203"/>
    </row>
    <row r="51" spans="2:14" x14ac:dyDescent="0.2">
      <c r="B51" s="3">
        <f t="shared" si="0"/>
        <v>35</v>
      </c>
      <c r="C51" s="178">
        <f t="shared" si="7"/>
        <v>22890.5029584</v>
      </c>
      <c r="D51" s="14"/>
      <c r="E51" s="19"/>
      <c r="F51" s="3"/>
      <c r="G51" s="3">
        <f t="shared" si="2"/>
        <v>35</v>
      </c>
      <c r="H51" s="178">
        <f t="shared" si="8"/>
        <v>25237.833120000003</v>
      </c>
      <c r="I51" s="14"/>
      <c r="J51" s="19"/>
      <c r="K51" s="14"/>
      <c r="N51" s="203"/>
    </row>
    <row r="52" spans="2:14" x14ac:dyDescent="0.2">
      <c r="B52" s="3">
        <f t="shared" si="0"/>
        <v>36</v>
      </c>
      <c r="C52" s="178">
        <f t="shared" si="7"/>
        <v>22890.5029584</v>
      </c>
      <c r="D52" s="14"/>
      <c r="E52" s="19"/>
      <c r="F52" s="3"/>
      <c r="G52" s="3">
        <f t="shared" si="2"/>
        <v>36</v>
      </c>
      <c r="H52" s="178">
        <f t="shared" si="8"/>
        <v>25237.833120000003</v>
      </c>
      <c r="I52" s="14"/>
      <c r="J52" s="19"/>
      <c r="K52" s="14"/>
      <c r="N52" s="203"/>
    </row>
    <row r="53" spans="2:14" x14ac:dyDescent="0.2">
      <c r="B53" s="3">
        <f t="shared" si="0"/>
        <v>37</v>
      </c>
      <c r="C53" s="178">
        <f t="shared" si="7"/>
        <v>22890.5029584</v>
      </c>
      <c r="D53" s="14"/>
      <c r="E53" s="19"/>
      <c r="F53" s="3"/>
      <c r="G53" s="3">
        <f t="shared" si="2"/>
        <v>37</v>
      </c>
      <c r="H53" s="178">
        <f t="shared" si="8"/>
        <v>25237.833120000003</v>
      </c>
      <c r="I53" s="14"/>
      <c r="J53" s="19"/>
      <c r="K53" s="14"/>
      <c r="N53" s="203"/>
    </row>
    <row r="54" spans="2:14" x14ac:dyDescent="0.2">
      <c r="B54" s="3">
        <f t="shared" si="0"/>
        <v>38</v>
      </c>
      <c r="C54" s="178">
        <f t="shared" si="7"/>
        <v>22890.5029584</v>
      </c>
      <c r="D54" s="14"/>
      <c r="E54" s="19"/>
      <c r="F54" s="3"/>
      <c r="G54" s="3">
        <f t="shared" si="2"/>
        <v>38</v>
      </c>
      <c r="H54" s="178">
        <f t="shared" si="8"/>
        <v>25237.833120000003</v>
      </c>
      <c r="I54" s="14"/>
      <c r="J54" s="19"/>
      <c r="K54" s="14"/>
      <c r="N54" s="203"/>
    </row>
    <row r="55" spans="2:14" x14ac:dyDescent="0.2">
      <c r="B55" s="3">
        <f t="shared" si="0"/>
        <v>39</v>
      </c>
      <c r="C55" s="178">
        <f t="shared" si="7"/>
        <v>22890.5029584</v>
      </c>
      <c r="D55" s="14"/>
      <c r="E55" s="19"/>
      <c r="F55" s="3"/>
      <c r="G55" s="3">
        <f t="shared" si="2"/>
        <v>39</v>
      </c>
      <c r="H55" s="178">
        <f t="shared" si="8"/>
        <v>25237.833120000003</v>
      </c>
      <c r="I55" s="14"/>
      <c r="J55" s="19"/>
      <c r="K55" s="14"/>
      <c r="N55" s="203"/>
    </row>
    <row r="56" spans="2:14" x14ac:dyDescent="0.2">
      <c r="B56" s="3">
        <f t="shared" si="0"/>
        <v>40</v>
      </c>
      <c r="C56" s="178">
        <f>$E$10</f>
        <v>5722.6257396000001</v>
      </c>
      <c r="D56" s="14"/>
      <c r="E56" s="19"/>
      <c r="F56" s="3"/>
      <c r="G56" s="3">
        <f t="shared" si="2"/>
        <v>40</v>
      </c>
      <c r="H56" s="178">
        <f>$J$10</f>
        <v>12618.916560000001</v>
      </c>
      <c r="I56" s="14"/>
      <c r="J56" s="19"/>
      <c r="K56" s="14"/>
      <c r="N56" s="203"/>
    </row>
    <row r="57" spans="2:14" x14ac:dyDescent="0.2">
      <c r="B57" s="3">
        <f t="shared" si="0"/>
        <v>41</v>
      </c>
      <c r="C57" s="178">
        <f t="shared" ref="C57:C115" si="9">$E$10</f>
        <v>5722.6257396000001</v>
      </c>
      <c r="D57" s="14"/>
      <c r="E57" s="19"/>
      <c r="F57" s="3"/>
      <c r="G57" s="3">
        <f t="shared" si="2"/>
        <v>41</v>
      </c>
      <c r="H57" s="178">
        <f t="shared" ref="H57:H115" si="10">$J$10</f>
        <v>12618.916560000001</v>
      </c>
      <c r="I57" s="14"/>
      <c r="J57" s="19"/>
      <c r="K57" s="14"/>
      <c r="N57" s="203"/>
    </row>
    <row r="58" spans="2:14" x14ac:dyDescent="0.2">
      <c r="B58" s="3">
        <f t="shared" si="0"/>
        <v>42</v>
      </c>
      <c r="C58" s="178">
        <f t="shared" si="9"/>
        <v>5722.6257396000001</v>
      </c>
      <c r="D58" s="14"/>
      <c r="E58" s="19"/>
      <c r="F58" s="3"/>
      <c r="G58" s="3">
        <f t="shared" si="2"/>
        <v>42</v>
      </c>
      <c r="H58" s="178">
        <f t="shared" si="10"/>
        <v>12618.916560000001</v>
      </c>
      <c r="I58" s="14"/>
      <c r="J58" s="19"/>
      <c r="K58" s="14"/>
      <c r="N58" s="203"/>
    </row>
    <row r="59" spans="2:14" x14ac:dyDescent="0.2">
      <c r="B59" s="3">
        <f t="shared" si="0"/>
        <v>43</v>
      </c>
      <c r="C59" s="178">
        <f t="shared" si="9"/>
        <v>5722.6257396000001</v>
      </c>
      <c r="D59" s="14"/>
      <c r="E59" s="19"/>
      <c r="F59" s="3"/>
      <c r="G59" s="3">
        <f t="shared" si="2"/>
        <v>43</v>
      </c>
      <c r="H59" s="178">
        <f t="shared" si="10"/>
        <v>12618.916560000001</v>
      </c>
      <c r="I59" s="14"/>
      <c r="J59" s="19"/>
      <c r="K59" s="14"/>
      <c r="N59" s="203"/>
    </row>
    <row r="60" spans="2:14" x14ac:dyDescent="0.2">
      <c r="B60" s="3">
        <f t="shared" si="0"/>
        <v>44</v>
      </c>
      <c r="C60" s="178">
        <f t="shared" si="9"/>
        <v>5722.6257396000001</v>
      </c>
      <c r="D60" s="14"/>
      <c r="E60" s="19"/>
      <c r="F60" s="3"/>
      <c r="G60" s="3">
        <f t="shared" si="2"/>
        <v>44</v>
      </c>
      <c r="H60" s="178">
        <f t="shared" si="10"/>
        <v>12618.916560000001</v>
      </c>
      <c r="I60" s="14"/>
      <c r="J60" s="19"/>
      <c r="K60" s="14"/>
      <c r="N60" s="203"/>
    </row>
    <row r="61" spans="2:14" x14ac:dyDescent="0.2">
      <c r="B61" s="3">
        <f t="shared" si="0"/>
        <v>45</v>
      </c>
      <c r="C61" s="178">
        <f t="shared" si="9"/>
        <v>5722.6257396000001</v>
      </c>
      <c r="D61" s="14"/>
      <c r="E61" s="19"/>
      <c r="F61" s="3"/>
      <c r="G61" s="3">
        <f t="shared" si="2"/>
        <v>45</v>
      </c>
      <c r="H61" s="178">
        <f t="shared" si="10"/>
        <v>12618.916560000001</v>
      </c>
      <c r="I61" s="14"/>
      <c r="J61" s="19"/>
      <c r="K61" s="14"/>
      <c r="N61" s="203"/>
    </row>
    <row r="62" spans="2:14" x14ac:dyDescent="0.2">
      <c r="B62" s="3">
        <f t="shared" si="0"/>
        <v>46</v>
      </c>
      <c r="C62" s="178">
        <f t="shared" si="9"/>
        <v>5722.6257396000001</v>
      </c>
      <c r="D62" s="14"/>
      <c r="E62" s="19"/>
      <c r="F62" s="3"/>
      <c r="G62" s="3">
        <f t="shared" si="2"/>
        <v>46</v>
      </c>
      <c r="H62" s="178">
        <f t="shared" si="10"/>
        <v>12618.916560000001</v>
      </c>
      <c r="I62" s="14"/>
      <c r="J62" s="19"/>
      <c r="K62" s="14"/>
      <c r="N62" s="203"/>
    </row>
    <row r="63" spans="2:14" x14ac:dyDescent="0.2">
      <c r="B63" s="3">
        <f t="shared" si="0"/>
        <v>47</v>
      </c>
      <c r="C63" s="178">
        <f t="shared" si="9"/>
        <v>5722.6257396000001</v>
      </c>
      <c r="D63" s="14"/>
      <c r="E63" s="19"/>
      <c r="F63" s="3"/>
      <c r="G63" s="3">
        <f t="shared" si="2"/>
        <v>47</v>
      </c>
      <c r="H63" s="178">
        <f t="shared" si="10"/>
        <v>12618.916560000001</v>
      </c>
      <c r="I63" s="14"/>
      <c r="J63" s="19"/>
      <c r="K63" s="14"/>
      <c r="N63" s="203"/>
    </row>
    <row r="64" spans="2:14" x14ac:dyDescent="0.2">
      <c r="B64" s="3">
        <f t="shared" si="0"/>
        <v>48</v>
      </c>
      <c r="C64" s="178">
        <f t="shared" si="9"/>
        <v>5722.6257396000001</v>
      </c>
      <c r="D64" s="14"/>
      <c r="E64" s="19"/>
      <c r="F64" s="3"/>
      <c r="G64" s="3">
        <f t="shared" si="2"/>
        <v>48</v>
      </c>
      <c r="H64" s="178">
        <f t="shared" si="10"/>
        <v>12618.916560000001</v>
      </c>
      <c r="I64" s="14"/>
      <c r="J64" s="19"/>
      <c r="K64" s="14"/>
      <c r="N64" s="203"/>
    </row>
    <row r="65" spans="2:14" x14ac:dyDescent="0.2">
      <c r="B65" s="3">
        <f t="shared" si="0"/>
        <v>49</v>
      </c>
      <c r="C65" s="178">
        <f t="shared" si="9"/>
        <v>5722.6257396000001</v>
      </c>
      <c r="D65" s="14"/>
      <c r="E65" s="19"/>
      <c r="F65" s="3"/>
      <c r="G65" s="3">
        <f t="shared" si="2"/>
        <v>49</v>
      </c>
      <c r="H65" s="178">
        <f t="shared" si="10"/>
        <v>12618.916560000001</v>
      </c>
      <c r="I65" s="14"/>
      <c r="J65" s="19"/>
      <c r="K65" s="14"/>
      <c r="N65" s="203"/>
    </row>
    <row r="66" spans="2:14" x14ac:dyDescent="0.2">
      <c r="B66" s="3">
        <f t="shared" si="0"/>
        <v>50</v>
      </c>
      <c r="C66" s="178">
        <f t="shared" si="9"/>
        <v>5722.6257396000001</v>
      </c>
      <c r="D66" s="14"/>
      <c r="E66" s="19"/>
      <c r="F66" s="3"/>
      <c r="G66" s="3">
        <f t="shared" si="2"/>
        <v>50</v>
      </c>
      <c r="H66" s="178">
        <f t="shared" si="10"/>
        <v>12618.916560000001</v>
      </c>
      <c r="I66" s="14"/>
      <c r="J66" s="19"/>
      <c r="K66" s="14"/>
      <c r="N66" s="203"/>
    </row>
    <row r="67" spans="2:14" x14ac:dyDescent="0.2">
      <c r="B67" s="3">
        <f t="shared" si="0"/>
        <v>51</v>
      </c>
      <c r="C67" s="178">
        <f t="shared" si="9"/>
        <v>5722.6257396000001</v>
      </c>
      <c r="D67" s="14"/>
      <c r="E67" s="19"/>
      <c r="F67" s="3"/>
      <c r="G67" s="3">
        <f t="shared" si="2"/>
        <v>51</v>
      </c>
      <c r="H67" s="178">
        <f t="shared" si="10"/>
        <v>12618.916560000001</v>
      </c>
      <c r="I67" s="14"/>
      <c r="J67" s="19"/>
      <c r="K67" s="14"/>
      <c r="N67" s="203"/>
    </row>
    <row r="68" spans="2:14" x14ac:dyDescent="0.2">
      <c r="B68" s="3">
        <f t="shared" si="0"/>
        <v>52</v>
      </c>
      <c r="C68" s="178">
        <f t="shared" si="9"/>
        <v>5722.6257396000001</v>
      </c>
      <c r="D68" s="14"/>
      <c r="E68" s="19"/>
      <c r="F68" s="3"/>
      <c r="G68" s="3">
        <f t="shared" si="2"/>
        <v>52</v>
      </c>
      <c r="H68" s="178">
        <f t="shared" si="10"/>
        <v>12618.916560000001</v>
      </c>
      <c r="I68" s="14"/>
      <c r="J68" s="19"/>
      <c r="K68" s="14"/>
      <c r="N68" s="203"/>
    </row>
    <row r="69" spans="2:14" x14ac:dyDescent="0.2">
      <c r="B69" s="3">
        <f t="shared" si="0"/>
        <v>53</v>
      </c>
      <c r="C69" s="178">
        <f t="shared" si="9"/>
        <v>5722.6257396000001</v>
      </c>
      <c r="D69" s="14"/>
      <c r="E69" s="19"/>
      <c r="F69" s="3"/>
      <c r="G69" s="3">
        <f t="shared" si="2"/>
        <v>53</v>
      </c>
      <c r="H69" s="178">
        <f t="shared" si="10"/>
        <v>12618.916560000001</v>
      </c>
      <c r="I69" s="14"/>
      <c r="J69" s="19"/>
      <c r="K69" s="14"/>
      <c r="N69" s="203"/>
    </row>
    <row r="70" spans="2:14" x14ac:dyDescent="0.2">
      <c r="B70" s="3">
        <f t="shared" si="0"/>
        <v>54</v>
      </c>
      <c r="C70" s="178">
        <f t="shared" si="9"/>
        <v>5722.6257396000001</v>
      </c>
      <c r="D70" s="14"/>
      <c r="E70" s="19"/>
      <c r="F70" s="3"/>
      <c r="G70" s="3">
        <f t="shared" si="2"/>
        <v>54</v>
      </c>
      <c r="H70" s="178">
        <f t="shared" si="10"/>
        <v>12618.916560000001</v>
      </c>
      <c r="I70" s="14"/>
      <c r="J70" s="19"/>
      <c r="K70" s="14"/>
      <c r="N70" s="203"/>
    </row>
    <row r="71" spans="2:14" x14ac:dyDescent="0.2">
      <c r="B71" s="3">
        <f t="shared" si="0"/>
        <v>55</v>
      </c>
      <c r="C71" s="178">
        <f t="shared" si="9"/>
        <v>5722.6257396000001</v>
      </c>
      <c r="D71" s="14"/>
      <c r="E71" s="19"/>
      <c r="F71" s="3"/>
      <c r="G71" s="3">
        <f t="shared" si="2"/>
        <v>55</v>
      </c>
      <c r="H71" s="178">
        <f t="shared" si="10"/>
        <v>12618.916560000001</v>
      </c>
      <c r="I71" s="14"/>
      <c r="J71" s="19"/>
      <c r="K71" s="14"/>
      <c r="N71" s="203"/>
    </row>
    <row r="72" spans="2:14" x14ac:dyDescent="0.2">
      <c r="B72" s="3">
        <f t="shared" si="0"/>
        <v>56</v>
      </c>
      <c r="C72" s="178">
        <f t="shared" si="9"/>
        <v>5722.6257396000001</v>
      </c>
      <c r="D72" s="14"/>
      <c r="E72" s="19"/>
      <c r="F72" s="3"/>
      <c r="G72" s="3">
        <f t="shared" si="2"/>
        <v>56</v>
      </c>
      <c r="H72" s="178">
        <f t="shared" si="10"/>
        <v>12618.916560000001</v>
      </c>
      <c r="I72" s="14"/>
      <c r="J72" s="19"/>
      <c r="K72" s="14"/>
      <c r="N72" s="203"/>
    </row>
    <row r="73" spans="2:14" x14ac:dyDescent="0.2">
      <c r="B73" s="3">
        <f t="shared" si="0"/>
        <v>57</v>
      </c>
      <c r="C73" s="178">
        <f t="shared" si="9"/>
        <v>5722.6257396000001</v>
      </c>
      <c r="D73" s="14"/>
      <c r="E73" s="19"/>
      <c r="F73" s="3"/>
      <c r="G73" s="3">
        <f t="shared" si="2"/>
        <v>57</v>
      </c>
      <c r="H73" s="178">
        <f t="shared" si="10"/>
        <v>12618.916560000001</v>
      </c>
      <c r="I73" s="14"/>
      <c r="J73" s="19"/>
      <c r="K73" s="14"/>
      <c r="N73" s="203"/>
    </row>
    <row r="74" spans="2:14" x14ac:dyDescent="0.2">
      <c r="B74" s="3">
        <f t="shared" si="0"/>
        <v>58</v>
      </c>
      <c r="C74" s="178">
        <f t="shared" si="9"/>
        <v>5722.6257396000001</v>
      </c>
      <c r="D74" s="14"/>
      <c r="E74" s="19"/>
      <c r="F74" s="3"/>
      <c r="G74" s="3">
        <f t="shared" si="2"/>
        <v>58</v>
      </c>
      <c r="H74" s="178">
        <f t="shared" si="10"/>
        <v>12618.916560000001</v>
      </c>
      <c r="I74" s="14"/>
      <c r="J74" s="19"/>
      <c r="K74" s="14"/>
      <c r="N74" s="203"/>
    </row>
    <row r="75" spans="2:14" x14ac:dyDescent="0.2">
      <c r="B75" s="3">
        <f t="shared" si="0"/>
        <v>59</v>
      </c>
      <c r="C75" s="178">
        <f t="shared" si="9"/>
        <v>5722.6257396000001</v>
      </c>
      <c r="D75" s="14"/>
      <c r="E75" s="19"/>
      <c r="F75" s="3"/>
      <c r="G75" s="3">
        <f t="shared" si="2"/>
        <v>59</v>
      </c>
      <c r="H75" s="178">
        <f t="shared" si="10"/>
        <v>12618.916560000001</v>
      </c>
      <c r="I75" s="14"/>
      <c r="J75" s="19"/>
      <c r="K75" s="14"/>
      <c r="N75" s="203"/>
    </row>
    <row r="76" spans="2:14" x14ac:dyDescent="0.2">
      <c r="B76" s="3">
        <f t="shared" si="0"/>
        <v>60</v>
      </c>
      <c r="C76" s="178">
        <f t="shared" si="9"/>
        <v>5722.6257396000001</v>
      </c>
      <c r="D76" s="14"/>
      <c r="E76" s="19"/>
      <c r="F76" s="3"/>
      <c r="G76" s="3">
        <f t="shared" si="2"/>
        <v>60</v>
      </c>
      <c r="H76" s="178">
        <f t="shared" si="10"/>
        <v>12618.916560000001</v>
      </c>
      <c r="I76" s="14"/>
      <c r="J76" s="19"/>
      <c r="K76" s="14"/>
      <c r="N76" s="203"/>
    </row>
    <row r="77" spans="2:14" x14ac:dyDescent="0.2">
      <c r="B77" s="3">
        <f t="shared" si="0"/>
        <v>61</v>
      </c>
      <c r="C77" s="178">
        <f t="shared" si="9"/>
        <v>5722.6257396000001</v>
      </c>
      <c r="D77" s="14"/>
      <c r="E77" s="19"/>
      <c r="F77" s="3"/>
      <c r="G77" s="3">
        <f t="shared" si="2"/>
        <v>61</v>
      </c>
      <c r="H77" s="178">
        <f t="shared" si="10"/>
        <v>12618.916560000001</v>
      </c>
      <c r="I77" s="14"/>
      <c r="J77" s="19"/>
      <c r="K77" s="14"/>
      <c r="N77" s="203"/>
    </row>
    <row r="78" spans="2:14" x14ac:dyDescent="0.2">
      <c r="B78" s="3">
        <f t="shared" si="0"/>
        <v>62</v>
      </c>
      <c r="C78" s="178">
        <f t="shared" si="9"/>
        <v>5722.6257396000001</v>
      </c>
      <c r="D78" s="14"/>
      <c r="E78" s="19"/>
      <c r="F78" s="3"/>
      <c r="G78" s="3">
        <f t="shared" si="2"/>
        <v>62</v>
      </c>
      <c r="H78" s="178">
        <f t="shared" si="10"/>
        <v>12618.916560000001</v>
      </c>
      <c r="I78" s="14"/>
      <c r="J78" s="19"/>
      <c r="K78" s="14"/>
      <c r="N78" s="203"/>
    </row>
    <row r="79" spans="2:14" x14ac:dyDescent="0.2">
      <c r="B79" s="3">
        <f t="shared" si="0"/>
        <v>63</v>
      </c>
      <c r="C79" s="178">
        <f t="shared" si="9"/>
        <v>5722.6257396000001</v>
      </c>
      <c r="D79" s="14"/>
      <c r="E79" s="19"/>
      <c r="F79" s="3"/>
      <c r="G79" s="3">
        <f t="shared" si="2"/>
        <v>63</v>
      </c>
      <c r="H79" s="178">
        <f t="shared" si="10"/>
        <v>12618.916560000001</v>
      </c>
      <c r="I79" s="14"/>
      <c r="J79" s="19"/>
      <c r="K79" s="14"/>
      <c r="N79" s="203"/>
    </row>
    <row r="80" spans="2:14" x14ac:dyDescent="0.2">
      <c r="B80" s="3">
        <f t="shared" ref="B80:B115" si="11">1+B79</f>
        <v>64</v>
      </c>
      <c r="C80" s="178">
        <f t="shared" si="9"/>
        <v>5722.6257396000001</v>
      </c>
      <c r="D80" s="14"/>
      <c r="E80" s="19"/>
      <c r="F80" s="3"/>
      <c r="G80" s="3">
        <f t="shared" ref="G80:G115" si="12">G79+1</f>
        <v>64</v>
      </c>
      <c r="H80" s="178">
        <f t="shared" si="10"/>
        <v>12618.916560000001</v>
      </c>
      <c r="I80" s="14"/>
      <c r="J80" s="19"/>
      <c r="K80" s="14"/>
      <c r="N80" s="203"/>
    </row>
    <row r="81" spans="2:14" x14ac:dyDescent="0.2">
      <c r="B81" s="3">
        <f t="shared" si="11"/>
        <v>65</v>
      </c>
      <c r="C81" s="178">
        <f t="shared" si="9"/>
        <v>5722.6257396000001</v>
      </c>
      <c r="D81" s="14"/>
      <c r="E81" s="19"/>
      <c r="F81" s="3"/>
      <c r="G81" s="3">
        <f t="shared" si="12"/>
        <v>65</v>
      </c>
      <c r="H81" s="178">
        <f t="shared" si="10"/>
        <v>12618.916560000001</v>
      </c>
      <c r="I81" s="14"/>
      <c r="J81" s="19"/>
      <c r="K81" s="14"/>
      <c r="N81" s="203"/>
    </row>
    <row r="82" spans="2:14" x14ac:dyDescent="0.2">
      <c r="B82" s="3">
        <f t="shared" si="11"/>
        <v>66</v>
      </c>
      <c r="C82" s="178">
        <f t="shared" si="9"/>
        <v>5722.6257396000001</v>
      </c>
      <c r="D82" s="14"/>
      <c r="E82" s="19"/>
      <c r="F82" s="3"/>
      <c r="G82" s="3">
        <f t="shared" si="12"/>
        <v>66</v>
      </c>
      <c r="H82" s="178">
        <f t="shared" si="10"/>
        <v>12618.916560000001</v>
      </c>
      <c r="I82" s="14"/>
      <c r="J82" s="19"/>
      <c r="K82" s="14"/>
      <c r="N82" s="203"/>
    </row>
    <row r="83" spans="2:14" x14ac:dyDescent="0.2">
      <c r="B83" s="3">
        <f t="shared" si="11"/>
        <v>67</v>
      </c>
      <c r="C83" s="178">
        <f t="shared" si="9"/>
        <v>5722.6257396000001</v>
      </c>
      <c r="D83" s="14"/>
      <c r="E83" s="19"/>
      <c r="F83" s="3"/>
      <c r="G83" s="3">
        <f t="shared" si="12"/>
        <v>67</v>
      </c>
      <c r="H83" s="178">
        <f t="shared" si="10"/>
        <v>12618.916560000001</v>
      </c>
      <c r="I83" s="14"/>
      <c r="J83" s="19"/>
      <c r="K83" s="14"/>
      <c r="N83" s="203"/>
    </row>
    <row r="84" spans="2:14" x14ac:dyDescent="0.2">
      <c r="B84" s="3">
        <f t="shared" si="11"/>
        <v>68</v>
      </c>
      <c r="C84" s="178">
        <f t="shared" si="9"/>
        <v>5722.6257396000001</v>
      </c>
      <c r="D84" s="14"/>
      <c r="E84" s="19"/>
      <c r="F84" s="3"/>
      <c r="G84" s="3">
        <f t="shared" si="12"/>
        <v>68</v>
      </c>
      <c r="H84" s="178">
        <f t="shared" si="10"/>
        <v>12618.916560000001</v>
      </c>
      <c r="I84" s="14"/>
      <c r="J84" s="19"/>
      <c r="K84" s="14"/>
      <c r="N84" s="203"/>
    </row>
    <row r="85" spans="2:14" x14ac:dyDescent="0.2">
      <c r="B85" s="3">
        <f t="shared" si="11"/>
        <v>69</v>
      </c>
      <c r="C85" s="178">
        <f t="shared" si="9"/>
        <v>5722.6257396000001</v>
      </c>
      <c r="D85" s="14"/>
      <c r="E85" s="19"/>
      <c r="F85" s="3"/>
      <c r="G85" s="3">
        <f t="shared" si="12"/>
        <v>69</v>
      </c>
      <c r="H85" s="178">
        <f t="shared" si="10"/>
        <v>12618.916560000001</v>
      </c>
      <c r="I85" s="14"/>
      <c r="J85" s="19"/>
      <c r="K85" s="14"/>
      <c r="N85" s="203"/>
    </row>
    <row r="86" spans="2:14" x14ac:dyDescent="0.2">
      <c r="B86" s="3">
        <f t="shared" si="11"/>
        <v>70</v>
      </c>
      <c r="C86" s="178">
        <f t="shared" si="9"/>
        <v>5722.6257396000001</v>
      </c>
      <c r="D86" s="14"/>
      <c r="E86" s="19"/>
      <c r="F86" s="3"/>
      <c r="G86" s="3">
        <f t="shared" si="12"/>
        <v>70</v>
      </c>
      <c r="H86" s="178">
        <f t="shared" si="10"/>
        <v>12618.916560000001</v>
      </c>
      <c r="I86" s="14"/>
      <c r="J86" s="19"/>
      <c r="K86" s="14"/>
      <c r="N86" s="203"/>
    </row>
    <row r="87" spans="2:14" x14ac:dyDescent="0.2">
      <c r="B87" s="3">
        <f t="shared" si="11"/>
        <v>71</v>
      </c>
      <c r="C87" s="178">
        <f t="shared" si="9"/>
        <v>5722.6257396000001</v>
      </c>
      <c r="D87" s="14"/>
      <c r="E87" s="19"/>
      <c r="F87" s="3"/>
      <c r="G87" s="3">
        <f t="shared" si="12"/>
        <v>71</v>
      </c>
      <c r="H87" s="178">
        <f t="shared" si="10"/>
        <v>12618.916560000001</v>
      </c>
      <c r="I87" s="14"/>
      <c r="J87" s="19"/>
      <c r="K87" s="14"/>
      <c r="N87" s="203"/>
    </row>
    <row r="88" spans="2:14" x14ac:dyDescent="0.2">
      <c r="B88" s="3">
        <f t="shared" si="11"/>
        <v>72</v>
      </c>
      <c r="C88" s="178">
        <f t="shared" si="9"/>
        <v>5722.6257396000001</v>
      </c>
      <c r="D88" s="14"/>
      <c r="E88" s="19"/>
      <c r="F88" s="3"/>
      <c r="G88" s="3">
        <f t="shared" si="12"/>
        <v>72</v>
      </c>
      <c r="H88" s="178">
        <f t="shared" si="10"/>
        <v>12618.916560000001</v>
      </c>
      <c r="I88" s="14"/>
      <c r="J88" s="19"/>
      <c r="K88" s="14"/>
      <c r="N88" s="203"/>
    </row>
    <row r="89" spans="2:14" x14ac:dyDescent="0.2">
      <c r="B89" s="3">
        <f t="shared" si="11"/>
        <v>73</v>
      </c>
      <c r="C89" s="178">
        <f t="shared" si="9"/>
        <v>5722.6257396000001</v>
      </c>
      <c r="D89" s="14"/>
      <c r="E89" s="19"/>
      <c r="F89" s="3"/>
      <c r="G89" s="3">
        <f t="shared" si="12"/>
        <v>73</v>
      </c>
      <c r="H89" s="178">
        <f t="shared" si="10"/>
        <v>12618.916560000001</v>
      </c>
      <c r="I89" s="14"/>
      <c r="J89" s="19"/>
      <c r="K89" s="14"/>
      <c r="N89" s="203"/>
    </row>
    <row r="90" spans="2:14" x14ac:dyDescent="0.2">
      <c r="B90" s="3">
        <f t="shared" si="11"/>
        <v>74</v>
      </c>
      <c r="C90" s="178">
        <f t="shared" si="9"/>
        <v>5722.6257396000001</v>
      </c>
      <c r="D90" s="14"/>
      <c r="E90" s="19"/>
      <c r="F90" s="3"/>
      <c r="G90" s="3">
        <f t="shared" si="12"/>
        <v>74</v>
      </c>
      <c r="H90" s="178">
        <f t="shared" si="10"/>
        <v>12618.916560000001</v>
      </c>
      <c r="I90" s="14"/>
      <c r="J90" s="19"/>
      <c r="K90" s="14"/>
      <c r="N90" s="203"/>
    </row>
    <row r="91" spans="2:14" x14ac:dyDescent="0.2">
      <c r="B91" s="3">
        <f t="shared" si="11"/>
        <v>75</v>
      </c>
      <c r="C91" s="178">
        <f t="shared" si="9"/>
        <v>5722.6257396000001</v>
      </c>
      <c r="D91" s="14"/>
      <c r="E91" s="19"/>
      <c r="F91" s="3"/>
      <c r="G91" s="3">
        <f t="shared" si="12"/>
        <v>75</v>
      </c>
      <c r="H91" s="178">
        <f t="shared" si="10"/>
        <v>12618.916560000001</v>
      </c>
      <c r="I91" s="14"/>
      <c r="J91" s="19"/>
      <c r="K91" s="14"/>
      <c r="N91" s="203"/>
    </row>
    <row r="92" spans="2:14" x14ac:dyDescent="0.2">
      <c r="B92" s="3">
        <f t="shared" si="11"/>
        <v>76</v>
      </c>
      <c r="C92" s="178">
        <f t="shared" si="9"/>
        <v>5722.6257396000001</v>
      </c>
      <c r="D92" s="14"/>
      <c r="E92" s="19"/>
      <c r="F92" s="3"/>
      <c r="G92" s="3">
        <f t="shared" si="12"/>
        <v>76</v>
      </c>
      <c r="H92" s="178">
        <f t="shared" si="10"/>
        <v>12618.916560000001</v>
      </c>
      <c r="I92" s="14"/>
      <c r="J92" s="19"/>
      <c r="K92" s="14"/>
      <c r="N92" s="203"/>
    </row>
    <row r="93" spans="2:14" x14ac:dyDescent="0.2">
      <c r="B93" s="3">
        <f t="shared" si="11"/>
        <v>77</v>
      </c>
      <c r="C93" s="178">
        <f t="shared" si="9"/>
        <v>5722.6257396000001</v>
      </c>
      <c r="D93" s="14"/>
      <c r="E93" s="19"/>
      <c r="F93" s="3"/>
      <c r="G93" s="3">
        <f t="shared" si="12"/>
        <v>77</v>
      </c>
      <c r="H93" s="178">
        <f t="shared" si="10"/>
        <v>12618.916560000001</v>
      </c>
      <c r="I93" s="14"/>
      <c r="J93" s="19"/>
      <c r="K93" s="14"/>
      <c r="N93" s="203"/>
    </row>
    <row r="94" spans="2:14" x14ac:dyDescent="0.2">
      <c r="B94" s="3">
        <f t="shared" si="11"/>
        <v>78</v>
      </c>
      <c r="C94" s="178">
        <f t="shared" si="9"/>
        <v>5722.6257396000001</v>
      </c>
      <c r="D94" s="14"/>
      <c r="E94" s="19"/>
      <c r="F94" s="3"/>
      <c r="G94" s="3">
        <f t="shared" si="12"/>
        <v>78</v>
      </c>
      <c r="H94" s="178">
        <f t="shared" si="10"/>
        <v>12618.916560000001</v>
      </c>
      <c r="I94" s="14"/>
      <c r="J94" s="19"/>
      <c r="K94" s="14"/>
      <c r="N94" s="203"/>
    </row>
    <row r="95" spans="2:14" x14ac:dyDescent="0.2">
      <c r="B95" s="3">
        <f t="shared" si="11"/>
        <v>79</v>
      </c>
      <c r="C95" s="178">
        <f t="shared" si="9"/>
        <v>5722.6257396000001</v>
      </c>
      <c r="D95" s="14"/>
      <c r="E95" s="19"/>
      <c r="F95" s="3"/>
      <c r="G95" s="3">
        <f t="shared" si="12"/>
        <v>79</v>
      </c>
      <c r="H95" s="178">
        <f t="shared" si="10"/>
        <v>12618.916560000001</v>
      </c>
      <c r="I95" s="14"/>
      <c r="J95" s="19"/>
      <c r="K95" s="14"/>
      <c r="N95" s="203"/>
    </row>
    <row r="96" spans="2:14" x14ac:dyDescent="0.2">
      <c r="B96" s="3">
        <f t="shared" si="11"/>
        <v>80</v>
      </c>
      <c r="C96" s="178">
        <f t="shared" si="9"/>
        <v>5722.6257396000001</v>
      </c>
      <c r="D96" s="14"/>
      <c r="E96" s="19"/>
      <c r="F96" s="3"/>
      <c r="G96" s="3">
        <f t="shared" si="12"/>
        <v>80</v>
      </c>
      <c r="H96" s="178">
        <f t="shared" si="10"/>
        <v>12618.916560000001</v>
      </c>
      <c r="I96" s="14"/>
      <c r="J96" s="19"/>
      <c r="K96" s="14"/>
      <c r="N96" s="203"/>
    </row>
    <row r="97" spans="2:14" x14ac:dyDescent="0.2">
      <c r="B97" s="3">
        <f t="shared" si="11"/>
        <v>81</v>
      </c>
      <c r="C97" s="178">
        <f t="shared" si="9"/>
        <v>5722.6257396000001</v>
      </c>
      <c r="D97" s="14"/>
      <c r="E97" s="19"/>
      <c r="F97" s="3"/>
      <c r="G97" s="3">
        <f t="shared" si="12"/>
        <v>81</v>
      </c>
      <c r="H97" s="178">
        <f t="shared" si="10"/>
        <v>12618.916560000001</v>
      </c>
      <c r="I97" s="14"/>
      <c r="J97" s="19"/>
      <c r="K97" s="14"/>
      <c r="N97" s="203"/>
    </row>
    <row r="98" spans="2:14" x14ac:dyDescent="0.2">
      <c r="B98" s="3">
        <f t="shared" si="11"/>
        <v>82</v>
      </c>
      <c r="C98" s="178">
        <f t="shared" si="9"/>
        <v>5722.6257396000001</v>
      </c>
      <c r="D98" s="14"/>
      <c r="E98" s="19"/>
      <c r="F98" s="3"/>
      <c r="G98" s="3">
        <f t="shared" si="12"/>
        <v>82</v>
      </c>
      <c r="H98" s="178">
        <f t="shared" si="10"/>
        <v>12618.916560000001</v>
      </c>
      <c r="I98" s="14"/>
      <c r="J98" s="19"/>
      <c r="K98" s="14"/>
      <c r="N98" s="203"/>
    </row>
    <row r="99" spans="2:14" x14ac:dyDescent="0.2">
      <c r="B99" s="3">
        <f t="shared" si="11"/>
        <v>83</v>
      </c>
      <c r="C99" s="178">
        <f t="shared" si="9"/>
        <v>5722.6257396000001</v>
      </c>
      <c r="D99" s="14"/>
      <c r="E99" s="19"/>
      <c r="F99" s="3"/>
      <c r="G99" s="3">
        <f t="shared" si="12"/>
        <v>83</v>
      </c>
      <c r="H99" s="178">
        <f t="shared" si="10"/>
        <v>12618.916560000001</v>
      </c>
      <c r="I99" s="14"/>
      <c r="J99" s="19"/>
      <c r="K99" s="14"/>
      <c r="N99" s="203"/>
    </row>
    <row r="100" spans="2:14" x14ac:dyDescent="0.2">
      <c r="B100" s="3">
        <f t="shared" si="11"/>
        <v>84</v>
      </c>
      <c r="C100" s="178">
        <f t="shared" si="9"/>
        <v>5722.6257396000001</v>
      </c>
      <c r="D100" s="14"/>
      <c r="E100" s="19"/>
      <c r="F100" s="3"/>
      <c r="G100" s="3">
        <f t="shared" si="12"/>
        <v>84</v>
      </c>
      <c r="H100" s="178">
        <f t="shared" si="10"/>
        <v>12618.916560000001</v>
      </c>
      <c r="I100" s="14"/>
      <c r="J100" s="19"/>
      <c r="K100" s="14"/>
      <c r="N100" s="203"/>
    </row>
    <row r="101" spans="2:14" x14ac:dyDescent="0.2">
      <c r="B101" s="3">
        <f t="shared" si="11"/>
        <v>85</v>
      </c>
      <c r="C101" s="178">
        <f t="shared" si="9"/>
        <v>5722.6257396000001</v>
      </c>
      <c r="D101" s="14"/>
      <c r="E101" s="19"/>
      <c r="F101" s="3"/>
      <c r="G101" s="3">
        <f t="shared" si="12"/>
        <v>85</v>
      </c>
      <c r="H101" s="178">
        <f t="shared" si="10"/>
        <v>12618.916560000001</v>
      </c>
      <c r="I101" s="14"/>
      <c r="J101" s="19"/>
      <c r="K101" s="14"/>
      <c r="N101" s="203"/>
    </row>
    <row r="102" spans="2:14" x14ac:dyDescent="0.2">
      <c r="B102" s="3">
        <f t="shared" si="11"/>
        <v>86</v>
      </c>
      <c r="C102" s="178">
        <f t="shared" si="9"/>
        <v>5722.6257396000001</v>
      </c>
      <c r="D102" s="14"/>
      <c r="E102" s="19"/>
      <c r="F102" s="3"/>
      <c r="G102" s="3">
        <f t="shared" si="12"/>
        <v>86</v>
      </c>
      <c r="H102" s="178">
        <f t="shared" si="10"/>
        <v>12618.916560000001</v>
      </c>
      <c r="I102" s="14"/>
      <c r="J102" s="19"/>
      <c r="K102" s="14"/>
      <c r="N102" s="203"/>
    </row>
    <row r="103" spans="2:14" x14ac:dyDescent="0.2">
      <c r="B103" s="3">
        <f t="shared" si="11"/>
        <v>87</v>
      </c>
      <c r="C103" s="178">
        <f t="shared" si="9"/>
        <v>5722.6257396000001</v>
      </c>
      <c r="D103" s="14"/>
      <c r="E103" s="19"/>
      <c r="F103" s="3"/>
      <c r="G103" s="3">
        <f t="shared" si="12"/>
        <v>87</v>
      </c>
      <c r="H103" s="178">
        <f t="shared" si="10"/>
        <v>12618.916560000001</v>
      </c>
      <c r="I103" s="14"/>
      <c r="J103" s="19"/>
      <c r="K103" s="14"/>
      <c r="N103" s="203"/>
    </row>
    <row r="104" spans="2:14" x14ac:dyDescent="0.2">
      <c r="B104" s="3">
        <f t="shared" si="11"/>
        <v>88</v>
      </c>
      <c r="C104" s="178">
        <f t="shared" si="9"/>
        <v>5722.6257396000001</v>
      </c>
      <c r="D104" s="14"/>
      <c r="E104" s="19"/>
      <c r="F104" s="3"/>
      <c r="G104" s="3">
        <f t="shared" si="12"/>
        <v>88</v>
      </c>
      <c r="H104" s="178">
        <f t="shared" si="10"/>
        <v>12618.916560000001</v>
      </c>
      <c r="I104" s="14"/>
      <c r="J104" s="19"/>
      <c r="K104" s="14"/>
      <c r="N104" s="203"/>
    </row>
    <row r="105" spans="2:14" x14ac:dyDescent="0.2">
      <c r="B105" s="3">
        <f t="shared" si="11"/>
        <v>89</v>
      </c>
      <c r="C105" s="178">
        <f t="shared" si="9"/>
        <v>5722.6257396000001</v>
      </c>
      <c r="D105" s="14"/>
      <c r="E105" s="19"/>
      <c r="F105" s="3"/>
      <c r="G105" s="3">
        <f t="shared" si="12"/>
        <v>89</v>
      </c>
      <c r="H105" s="178">
        <f t="shared" si="10"/>
        <v>12618.916560000001</v>
      </c>
      <c r="I105" s="14"/>
      <c r="J105" s="19"/>
      <c r="K105" s="14"/>
      <c r="N105" s="203"/>
    </row>
    <row r="106" spans="2:14" x14ac:dyDescent="0.2">
      <c r="B106" s="3">
        <f t="shared" si="11"/>
        <v>90</v>
      </c>
      <c r="C106" s="178">
        <f t="shared" si="9"/>
        <v>5722.6257396000001</v>
      </c>
      <c r="D106" s="14"/>
      <c r="E106" s="19"/>
      <c r="F106" s="3"/>
      <c r="G106" s="3">
        <f t="shared" si="12"/>
        <v>90</v>
      </c>
      <c r="H106" s="178">
        <f t="shared" si="10"/>
        <v>12618.916560000001</v>
      </c>
      <c r="I106" s="14"/>
      <c r="J106" s="19"/>
      <c r="K106" s="14"/>
      <c r="N106" s="203"/>
    </row>
    <row r="107" spans="2:14" x14ac:dyDescent="0.2">
      <c r="B107" s="3">
        <f t="shared" si="11"/>
        <v>91</v>
      </c>
      <c r="C107" s="178">
        <f t="shared" si="9"/>
        <v>5722.6257396000001</v>
      </c>
      <c r="D107" s="14"/>
      <c r="E107" s="19"/>
      <c r="F107" s="3"/>
      <c r="G107" s="3">
        <f t="shared" si="12"/>
        <v>91</v>
      </c>
      <c r="H107" s="178">
        <f t="shared" si="10"/>
        <v>12618.916560000001</v>
      </c>
      <c r="I107" s="14"/>
      <c r="J107" s="19"/>
      <c r="K107" s="14"/>
      <c r="N107" s="203"/>
    </row>
    <row r="108" spans="2:14" x14ac:dyDescent="0.2">
      <c r="B108" s="3">
        <f t="shared" si="11"/>
        <v>92</v>
      </c>
      <c r="C108" s="178">
        <f t="shared" si="9"/>
        <v>5722.6257396000001</v>
      </c>
      <c r="D108" s="14"/>
      <c r="E108" s="19"/>
      <c r="F108" s="3"/>
      <c r="G108" s="3">
        <f t="shared" si="12"/>
        <v>92</v>
      </c>
      <c r="H108" s="178">
        <f t="shared" si="10"/>
        <v>12618.916560000001</v>
      </c>
      <c r="I108" s="14"/>
      <c r="J108" s="19"/>
      <c r="K108" s="14"/>
      <c r="N108" s="203"/>
    </row>
    <row r="109" spans="2:14" x14ac:dyDescent="0.2">
      <c r="B109" s="3">
        <f t="shared" si="11"/>
        <v>93</v>
      </c>
      <c r="C109" s="178">
        <f t="shared" si="9"/>
        <v>5722.6257396000001</v>
      </c>
      <c r="D109" s="14"/>
      <c r="E109" s="19"/>
      <c r="F109" s="3"/>
      <c r="G109" s="3">
        <f t="shared" si="12"/>
        <v>93</v>
      </c>
      <c r="H109" s="178">
        <f t="shared" si="10"/>
        <v>12618.916560000001</v>
      </c>
      <c r="I109" s="14"/>
      <c r="J109" s="19"/>
      <c r="K109" s="14"/>
      <c r="N109" s="203"/>
    </row>
    <row r="110" spans="2:14" x14ac:dyDescent="0.2">
      <c r="B110" s="3">
        <f t="shared" si="11"/>
        <v>94</v>
      </c>
      <c r="C110" s="178">
        <f t="shared" si="9"/>
        <v>5722.6257396000001</v>
      </c>
      <c r="D110" s="14"/>
      <c r="E110" s="19"/>
      <c r="F110" s="3"/>
      <c r="G110" s="3">
        <f t="shared" si="12"/>
        <v>94</v>
      </c>
      <c r="H110" s="178">
        <f t="shared" si="10"/>
        <v>12618.916560000001</v>
      </c>
      <c r="I110" s="14"/>
      <c r="J110" s="19"/>
      <c r="K110" s="14"/>
      <c r="N110" s="203"/>
    </row>
    <row r="111" spans="2:14" x14ac:dyDescent="0.2">
      <c r="B111" s="3">
        <f t="shared" si="11"/>
        <v>95</v>
      </c>
      <c r="C111" s="178">
        <f t="shared" si="9"/>
        <v>5722.6257396000001</v>
      </c>
      <c r="D111" s="14"/>
      <c r="E111" s="19"/>
      <c r="F111" s="3"/>
      <c r="G111" s="3">
        <f t="shared" si="12"/>
        <v>95</v>
      </c>
      <c r="H111" s="178">
        <f t="shared" si="10"/>
        <v>12618.916560000001</v>
      </c>
      <c r="I111" s="14"/>
      <c r="J111" s="19"/>
      <c r="K111" s="14"/>
      <c r="N111" s="203"/>
    </row>
    <row r="112" spans="2:14" x14ac:dyDescent="0.2">
      <c r="B112" s="3">
        <f t="shared" si="11"/>
        <v>96</v>
      </c>
      <c r="C112" s="178">
        <f t="shared" si="9"/>
        <v>5722.6257396000001</v>
      </c>
      <c r="D112" s="14"/>
      <c r="E112" s="19"/>
      <c r="F112" s="3"/>
      <c r="G112" s="3">
        <f t="shared" si="12"/>
        <v>96</v>
      </c>
      <c r="H112" s="178">
        <f t="shared" si="10"/>
        <v>12618.916560000001</v>
      </c>
      <c r="I112" s="14"/>
      <c r="J112" s="19"/>
      <c r="K112" s="14"/>
      <c r="N112" s="203"/>
    </row>
    <row r="113" spans="2:14" x14ac:dyDescent="0.2">
      <c r="B113" s="3">
        <f t="shared" si="11"/>
        <v>97</v>
      </c>
      <c r="C113" s="178">
        <f t="shared" si="9"/>
        <v>5722.6257396000001</v>
      </c>
      <c r="D113" s="14"/>
      <c r="E113" s="19"/>
      <c r="F113" s="3"/>
      <c r="G113" s="3">
        <f t="shared" si="12"/>
        <v>97</v>
      </c>
      <c r="H113" s="178">
        <f t="shared" si="10"/>
        <v>12618.916560000001</v>
      </c>
      <c r="I113" s="14"/>
      <c r="J113" s="19"/>
      <c r="K113" s="14"/>
      <c r="N113" s="203"/>
    </row>
    <row r="114" spans="2:14" x14ac:dyDescent="0.2">
      <c r="B114" s="3">
        <f t="shared" si="11"/>
        <v>98</v>
      </c>
      <c r="C114" s="178">
        <f t="shared" si="9"/>
        <v>5722.6257396000001</v>
      </c>
      <c r="D114" s="14"/>
      <c r="E114" s="19"/>
      <c r="F114" s="3"/>
      <c r="G114" s="3">
        <f t="shared" si="12"/>
        <v>98</v>
      </c>
      <c r="H114" s="178">
        <f t="shared" si="10"/>
        <v>12618.916560000001</v>
      </c>
      <c r="I114" s="14"/>
      <c r="J114" s="19"/>
      <c r="K114" s="14"/>
      <c r="N114" s="203"/>
    </row>
    <row r="115" spans="2:14" x14ac:dyDescent="0.2">
      <c r="B115" s="3">
        <f t="shared" si="11"/>
        <v>99</v>
      </c>
      <c r="C115" s="178">
        <f t="shared" si="9"/>
        <v>5722.6257396000001</v>
      </c>
      <c r="D115" s="14"/>
      <c r="E115" s="19"/>
      <c r="F115" s="3"/>
      <c r="G115" s="3">
        <f t="shared" si="12"/>
        <v>99</v>
      </c>
      <c r="H115" s="178">
        <f t="shared" si="10"/>
        <v>12618.916560000001</v>
      </c>
      <c r="I115" s="14"/>
      <c r="J115" s="19"/>
      <c r="K115" s="14"/>
      <c r="N115" s="203"/>
    </row>
    <row r="116" spans="2:14" x14ac:dyDescent="0.2">
      <c r="B116" s="111" t="s">
        <v>86</v>
      </c>
      <c r="C116" s="178">
        <f>SUM(C16:C115)</f>
        <v>1545108.9496920011</v>
      </c>
      <c r="D116" s="14"/>
      <c r="E116" s="14"/>
      <c r="F116" s="3"/>
      <c r="G116" s="3"/>
      <c r="H116" s="178">
        <f>SUM(H16:H115)</f>
        <v>2044264.4827200032</v>
      </c>
      <c r="I116" s="14"/>
      <c r="J116" s="14"/>
      <c r="K116" s="14"/>
    </row>
    <row r="117" spans="2:14" x14ac:dyDescent="0.2">
      <c r="B117" s="111"/>
      <c r="C117" s="178"/>
      <c r="D117" s="3"/>
      <c r="E117" s="3"/>
      <c r="F117" s="3"/>
      <c r="G117" s="3"/>
      <c r="H117" s="3"/>
      <c r="I117" s="3"/>
      <c r="J117" s="3"/>
      <c r="K117" s="3"/>
    </row>
    <row r="118" spans="2:14" ht="25.5" x14ac:dyDescent="0.2">
      <c r="B118" s="111" t="s">
        <v>87</v>
      </c>
      <c r="C118" s="178">
        <f>C116+H116</f>
        <v>3589373.4324120041</v>
      </c>
      <c r="D118" s="130"/>
      <c r="E118" s="3"/>
      <c r="F118" s="3"/>
      <c r="G118" s="3"/>
      <c r="H118" s="3"/>
      <c r="I118" s="3"/>
      <c r="J118" s="3"/>
      <c r="K118" s="3"/>
    </row>
    <row r="119" spans="2:14" x14ac:dyDescent="0.2">
      <c r="C119" s="3"/>
      <c r="D119" s="3"/>
      <c r="E119" s="3"/>
      <c r="F119" s="3"/>
      <c r="G119" s="3"/>
      <c r="H119" s="3"/>
      <c r="I119" s="3"/>
      <c r="J119" s="3"/>
      <c r="K119" s="3"/>
    </row>
    <row r="120" spans="2:14" x14ac:dyDescent="0.2">
      <c r="B120" s="113" t="s">
        <v>88</v>
      </c>
      <c r="C120" s="113"/>
      <c r="D120" s="113"/>
      <c r="E120" s="113"/>
      <c r="F120" s="113"/>
      <c r="G120" s="20" t="s">
        <v>17</v>
      </c>
      <c r="H120" s="113"/>
      <c r="I120" s="113"/>
      <c r="J120" s="113"/>
      <c r="K120" s="113"/>
    </row>
    <row r="121" spans="2:14" x14ac:dyDescent="0.2">
      <c r="B121" s="114" t="s">
        <v>89</v>
      </c>
      <c r="C121" s="113"/>
      <c r="D121" s="113"/>
      <c r="E121" s="113"/>
      <c r="F121" s="113"/>
      <c r="G121" s="113" t="s">
        <v>90</v>
      </c>
      <c r="H121" s="113"/>
      <c r="I121" s="113"/>
      <c r="J121" s="113"/>
      <c r="K121" s="113"/>
    </row>
    <row r="122" spans="2:14" x14ac:dyDescent="0.2">
      <c r="B122" s="113" t="s">
        <v>91</v>
      </c>
      <c r="C122" s="113"/>
      <c r="D122" s="113"/>
      <c r="E122" s="113"/>
      <c r="F122" s="113"/>
      <c r="G122" s="113" t="s">
        <v>92</v>
      </c>
      <c r="H122" s="113"/>
      <c r="I122" s="113"/>
      <c r="J122" s="113"/>
      <c r="K122" s="113"/>
    </row>
    <row r="123" spans="2:14" ht="13.5" thickBot="1" x14ac:dyDescent="0.25">
      <c r="B123" s="20" t="s">
        <v>93</v>
      </c>
      <c r="C123" s="113"/>
      <c r="D123" s="113"/>
      <c r="E123" s="113"/>
      <c r="F123" s="113"/>
      <c r="G123" s="20" t="s">
        <v>94</v>
      </c>
      <c r="H123" s="113"/>
      <c r="I123" s="113"/>
      <c r="J123" s="113"/>
      <c r="K123" s="113"/>
    </row>
    <row r="124" spans="2:14" ht="13.5" thickBot="1" x14ac:dyDescent="0.25">
      <c r="B124" s="146"/>
      <c r="C124" s="147" t="s">
        <v>95</v>
      </c>
      <c r="D124" s="147" t="s">
        <v>96</v>
      </c>
      <c r="E124" s="148" t="s">
        <v>15</v>
      </c>
      <c r="F124" s="113"/>
      <c r="G124" s="115"/>
      <c r="H124" s="116" t="s">
        <v>10</v>
      </c>
      <c r="I124" s="116" t="s">
        <v>11</v>
      </c>
      <c r="J124" s="117" t="s">
        <v>13</v>
      </c>
      <c r="K124" s="113"/>
    </row>
    <row r="125" spans="2:14" x14ac:dyDescent="0.2">
      <c r="B125" s="149" t="s">
        <v>97</v>
      </c>
      <c r="C125" s="150">
        <v>1</v>
      </c>
      <c r="D125" s="179">
        <v>38.65</v>
      </c>
      <c r="E125" s="180">
        <f>C125*D125*8</f>
        <v>309.2</v>
      </c>
      <c r="F125" s="113"/>
      <c r="G125" s="118"/>
      <c r="H125" s="119" t="s">
        <v>6</v>
      </c>
      <c r="I125" s="119" t="s">
        <v>12</v>
      </c>
      <c r="J125" s="120" t="s">
        <v>98</v>
      </c>
      <c r="K125" s="113"/>
    </row>
    <row r="126" spans="2:14" ht="13.5" thickBot="1" x14ac:dyDescent="0.25">
      <c r="B126" s="151" t="s">
        <v>99</v>
      </c>
      <c r="C126" s="152">
        <v>2</v>
      </c>
      <c r="D126" s="181">
        <v>36.65</v>
      </c>
      <c r="E126" s="182">
        <f>C126*D126*8</f>
        <v>586.4</v>
      </c>
      <c r="F126" s="113"/>
      <c r="G126" s="118"/>
      <c r="H126" s="119" t="s">
        <v>14</v>
      </c>
      <c r="I126" s="119" t="s">
        <v>14</v>
      </c>
      <c r="J126" s="120" t="s">
        <v>100</v>
      </c>
      <c r="K126" s="113"/>
    </row>
    <row r="127" spans="2:14" x14ac:dyDescent="0.2">
      <c r="B127" s="151" t="s">
        <v>101</v>
      </c>
      <c r="C127" s="152">
        <v>2</v>
      </c>
      <c r="D127" s="181">
        <v>48.9</v>
      </c>
      <c r="E127" s="182">
        <f>C127*D127*8</f>
        <v>782.4</v>
      </c>
      <c r="F127" s="113"/>
      <c r="G127" s="121" t="s">
        <v>30</v>
      </c>
      <c r="H127" s="155">
        <v>164.06</v>
      </c>
      <c r="I127" s="155">
        <v>47.58</v>
      </c>
      <c r="J127" s="122">
        <f>(H127+I127)*24</f>
        <v>5079.3599999999997</v>
      </c>
      <c r="K127" s="113"/>
    </row>
    <row r="128" spans="2:14" ht="13.5" thickBot="1" x14ac:dyDescent="0.25">
      <c r="B128" s="156" t="s">
        <v>102</v>
      </c>
      <c r="C128" s="157">
        <v>2</v>
      </c>
      <c r="D128" s="183">
        <v>37.549999999999997</v>
      </c>
      <c r="E128" s="184">
        <f>C128*D128*8</f>
        <v>600.79999999999995</v>
      </c>
      <c r="F128" s="113"/>
      <c r="G128" s="123" t="s">
        <v>103</v>
      </c>
      <c r="H128" s="125">
        <v>171.97</v>
      </c>
      <c r="I128" s="125">
        <v>42.82</v>
      </c>
      <c r="J128" s="124">
        <f>(H128+I128)*24</f>
        <v>5154.96</v>
      </c>
      <c r="K128" s="113"/>
    </row>
    <row r="129" spans="2:11" x14ac:dyDescent="0.2">
      <c r="B129" s="158"/>
      <c r="C129" s="152"/>
      <c r="D129" s="153"/>
      <c r="E129" s="154"/>
      <c r="F129" s="113"/>
      <c r="G129" s="159"/>
      <c r="H129" s="155"/>
      <c r="I129" s="155"/>
      <c r="J129" s="160"/>
      <c r="K129" s="113"/>
    </row>
    <row r="130" spans="2:11" x14ac:dyDescent="0.2">
      <c r="B130" s="158"/>
      <c r="C130" s="152"/>
      <c r="D130" s="161" t="s">
        <v>15</v>
      </c>
      <c r="E130" s="162" t="s">
        <v>15</v>
      </c>
      <c r="F130" s="113"/>
      <c r="G130" s="163"/>
      <c r="H130" s="125"/>
      <c r="I130" s="125"/>
      <c r="J130" s="164"/>
      <c r="K130" s="113"/>
    </row>
    <row r="131" spans="2:11" x14ac:dyDescent="0.2">
      <c r="B131" s="151" t="s">
        <v>104</v>
      </c>
      <c r="C131" s="152">
        <v>1</v>
      </c>
      <c r="D131" s="181">
        <v>1532</v>
      </c>
      <c r="E131" s="182">
        <f>C131*D131</f>
        <v>1532</v>
      </c>
      <c r="F131" s="113"/>
      <c r="G131" s="113"/>
      <c r="H131" s="125"/>
      <c r="I131" s="125"/>
      <c r="J131" s="113"/>
      <c r="K131" s="113"/>
    </row>
    <row r="132" spans="2:11" ht="13.5" thickBot="1" x14ac:dyDescent="0.25">
      <c r="B132" s="165" t="s">
        <v>105</v>
      </c>
      <c r="C132" s="166">
        <v>2</v>
      </c>
      <c r="D132" s="185">
        <v>834.4</v>
      </c>
      <c r="E132" s="186">
        <f>C132*D132</f>
        <v>1668.8</v>
      </c>
      <c r="F132" s="113"/>
      <c r="G132" s="126"/>
      <c r="H132" s="125"/>
      <c r="I132" s="127" t="s">
        <v>106</v>
      </c>
      <c r="J132" s="128">
        <f>SUM(J127:J130)</f>
        <v>10234.32</v>
      </c>
      <c r="K132" s="113" t="s">
        <v>107</v>
      </c>
    </row>
    <row r="133" spans="2:11" x14ac:dyDescent="0.2">
      <c r="B133" s="113"/>
      <c r="C133" s="113"/>
      <c r="D133" s="113"/>
      <c r="E133" s="113"/>
      <c r="F133" s="113"/>
      <c r="G133" s="126"/>
      <c r="H133" s="125"/>
      <c r="I133" s="127" t="s">
        <v>20</v>
      </c>
      <c r="J133" s="167">
        <f>'21 Sum'!$C$21</f>
        <v>0.23300000000000001</v>
      </c>
      <c r="K133" s="113"/>
    </row>
    <row r="134" spans="2:11" x14ac:dyDescent="0.2">
      <c r="B134" s="113"/>
      <c r="C134" s="113"/>
      <c r="D134" s="127" t="s">
        <v>13</v>
      </c>
      <c r="E134" s="168">
        <f>SUM(E125:E128,E131:E132)</f>
        <v>5479.6</v>
      </c>
      <c r="F134" s="20" t="s">
        <v>15</v>
      </c>
      <c r="G134" s="126"/>
      <c r="H134" s="125"/>
      <c r="I134" s="127" t="s">
        <v>85</v>
      </c>
      <c r="J134" s="169">
        <f>J132*(1+J133)</f>
        <v>12618.916560000001</v>
      </c>
      <c r="K134" s="113" t="s">
        <v>107</v>
      </c>
    </row>
    <row r="135" spans="2:11" x14ac:dyDescent="0.2">
      <c r="B135" s="113"/>
      <c r="C135" s="113"/>
      <c r="D135" s="127"/>
      <c r="E135" s="170">
        <v>0.84699999999999998</v>
      </c>
      <c r="F135" s="20" t="s">
        <v>9</v>
      </c>
      <c r="G135" s="113"/>
      <c r="H135" s="113"/>
      <c r="I135" s="113"/>
      <c r="J135" s="113"/>
      <c r="K135" s="113"/>
    </row>
    <row r="136" spans="2:11" x14ac:dyDescent="0.2">
      <c r="B136" s="113"/>
      <c r="C136" s="113"/>
      <c r="D136" s="127" t="s">
        <v>106</v>
      </c>
      <c r="E136" s="168">
        <f>E134*E135</f>
        <v>4641.2212</v>
      </c>
      <c r="F136" s="20" t="s">
        <v>108</v>
      </c>
      <c r="G136" s="113"/>
      <c r="H136" s="113"/>
      <c r="I136" s="113"/>
      <c r="J136" s="113"/>
      <c r="K136" s="113"/>
    </row>
    <row r="137" spans="2:11" x14ac:dyDescent="0.2">
      <c r="B137" s="113"/>
      <c r="C137" s="113"/>
      <c r="D137" s="127" t="s">
        <v>20</v>
      </c>
      <c r="E137" s="171">
        <f>'21 Sum'!$C$21</f>
        <v>0.23300000000000001</v>
      </c>
      <c r="F137" s="113"/>
      <c r="G137" s="20"/>
      <c r="H137" s="113"/>
      <c r="I137" s="113"/>
      <c r="J137" s="113"/>
      <c r="K137" s="113"/>
    </row>
    <row r="138" spans="2:11" x14ac:dyDescent="0.2">
      <c r="B138" s="113"/>
      <c r="C138" s="113"/>
      <c r="D138" s="127" t="s">
        <v>85</v>
      </c>
      <c r="E138" s="172">
        <f>E136*(1+E137)</f>
        <v>5722.6257396000001</v>
      </c>
      <c r="F138" s="113" t="s">
        <v>15</v>
      </c>
      <c r="G138" s="20"/>
      <c r="H138" s="113"/>
      <c r="I138" s="113"/>
      <c r="J138" s="113"/>
      <c r="K138" s="113"/>
    </row>
    <row r="139" spans="2:11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  <c r="K139" s="113"/>
    </row>
  </sheetData>
  <phoneticPr fontId="0" type="noConversion"/>
  <printOptions horizontalCentered="1"/>
  <pageMargins left="0.75" right="0.75" top="1" bottom="1" header="0.5" footer="0.5"/>
  <pageSetup scale="51" fitToHeight="2" orientation="portrait" r:id="rId1"/>
  <headerFooter alignWithMargins="0">
    <oddFooter>&amp;C&amp;F
&amp;  O&amp;&amp;M Sheet 20
&amp;
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 codeName="Sheet17"/>
  <dimension ref="A1:X119"/>
  <sheetViews>
    <sheetView tabSelected="1" defaultGridColor="0" view="pageBreakPreview" topLeftCell="A4" colorId="22" zoomScaleNormal="80" zoomScaleSheetLayoutView="100" workbookViewId="0">
      <selection activeCell="E13" sqref="E13"/>
    </sheetView>
  </sheetViews>
  <sheetFormatPr defaultColWidth="12.5703125" defaultRowHeight="15" x14ac:dyDescent="0.2"/>
  <cols>
    <col min="1" max="1" width="23.85546875" style="26" customWidth="1"/>
    <col min="2" max="2" width="40.140625" style="26" customWidth="1"/>
    <col min="3" max="3" width="8.85546875" style="26" customWidth="1"/>
    <col min="4" max="4" width="18.85546875" style="26" customWidth="1"/>
    <col min="5" max="5" width="13.7109375" style="26" customWidth="1"/>
    <col min="6" max="6" width="8.42578125" style="26" customWidth="1"/>
    <col min="7" max="7" width="14.85546875" style="26" bestFit="1" customWidth="1"/>
    <col min="8" max="8" width="14.28515625" style="26" customWidth="1"/>
    <col min="9" max="10" width="12.7109375" style="26" bestFit="1" customWidth="1"/>
    <col min="11" max="11" width="13.42578125" style="26" bestFit="1" customWidth="1"/>
    <col min="12" max="16384" width="12.5703125" style="26"/>
  </cols>
  <sheetData>
    <row r="1" spans="1:18" ht="13.9" customHeight="1" x14ac:dyDescent="0.2">
      <c r="A1" s="4"/>
      <c r="B1" s="22"/>
      <c r="C1" s="23"/>
      <c r="D1" s="23"/>
      <c r="E1" s="24" t="s">
        <v>29</v>
      </c>
      <c r="F1" s="23"/>
      <c r="G1" s="25"/>
      <c r="H1" s="25"/>
      <c r="I1" s="25"/>
      <c r="J1" s="25"/>
      <c r="K1" s="25"/>
    </row>
    <row r="2" spans="1:18" ht="17.25" customHeight="1" x14ac:dyDescent="0.25">
      <c r="A2" s="187"/>
      <c r="B2" s="22"/>
      <c r="C2" s="22"/>
      <c r="D2" s="23"/>
      <c r="E2" s="24" t="s">
        <v>82</v>
      </c>
      <c r="F2" s="23"/>
      <c r="G2" s="25"/>
      <c r="H2" s="25"/>
      <c r="I2" s="25"/>
      <c r="J2" s="25"/>
      <c r="K2" s="25"/>
    </row>
    <row r="3" spans="1:18" ht="13.9" customHeight="1" x14ac:dyDescent="0.2">
      <c r="A3" s="27" t="s">
        <v>53</v>
      </c>
      <c r="B3" s="22"/>
      <c r="C3" s="22"/>
      <c r="D3" s="23"/>
      <c r="E3" s="139">
        <v>41978</v>
      </c>
      <c r="F3" s="23"/>
      <c r="G3" s="25"/>
      <c r="H3" s="25"/>
      <c r="I3" s="25"/>
      <c r="J3" s="25"/>
      <c r="K3" s="25"/>
    </row>
    <row r="4" spans="1:18" ht="13.9" customHeight="1" x14ac:dyDescent="0.2">
      <c r="A4" s="27"/>
      <c r="B4" s="22"/>
      <c r="C4" s="22"/>
      <c r="D4" s="28"/>
      <c r="E4" s="23"/>
      <c r="F4" s="29"/>
      <c r="G4" s="25"/>
      <c r="H4" s="25"/>
      <c r="I4" s="25"/>
      <c r="J4" s="25"/>
      <c r="K4" s="25"/>
    </row>
    <row r="5" spans="1:18" ht="13.9" customHeight="1" x14ac:dyDescent="0.2">
      <c r="A5" s="23"/>
      <c r="B5" s="22"/>
      <c r="C5" s="22"/>
      <c r="D5" s="30"/>
      <c r="E5" s="204"/>
      <c r="F5" s="23"/>
      <c r="G5" s="25"/>
      <c r="H5" s="25"/>
      <c r="I5" s="25"/>
      <c r="J5" s="25"/>
      <c r="K5" s="25"/>
    </row>
    <row r="6" spans="1:18" ht="17.25" customHeight="1" x14ac:dyDescent="0.3">
      <c r="A6" s="33" t="s">
        <v>31</v>
      </c>
      <c r="B6" s="22"/>
      <c r="C6" s="22"/>
      <c r="D6" s="31"/>
      <c r="E6" s="204"/>
      <c r="F6" s="204"/>
      <c r="G6" s="25"/>
      <c r="H6" s="25"/>
      <c r="I6" s="25"/>
      <c r="J6" s="25"/>
      <c r="K6" s="32"/>
    </row>
    <row r="7" spans="1:18" ht="15.95" customHeight="1" x14ac:dyDescent="0.2">
      <c r="A7" s="59" t="s">
        <v>133</v>
      </c>
      <c r="B7" s="29"/>
      <c r="C7" s="29"/>
      <c r="D7" s="25" t="s">
        <v>42</v>
      </c>
      <c r="E7" s="204"/>
      <c r="F7" s="204"/>
      <c r="G7" s="25"/>
      <c r="H7" s="25"/>
      <c r="I7" s="25"/>
      <c r="J7" s="25"/>
      <c r="K7" s="32"/>
    </row>
    <row r="8" spans="1:18" ht="15.95" customHeight="1" x14ac:dyDescent="0.2">
      <c r="A8" s="59" t="s">
        <v>123</v>
      </c>
      <c r="B8" s="29"/>
      <c r="C8" s="29"/>
      <c r="D8" s="25"/>
      <c r="E8" s="109"/>
      <c r="F8" s="109"/>
      <c r="G8" s="25"/>
      <c r="H8" s="25"/>
      <c r="I8" s="25"/>
      <c r="J8" s="25"/>
      <c r="K8" s="32"/>
    </row>
    <row r="9" spans="1:18" x14ac:dyDescent="0.2">
      <c r="A9" s="34" t="s">
        <v>21</v>
      </c>
      <c r="B9" s="29" t="s">
        <v>41</v>
      </c>
      <c r="C9" s="29"/>
      <c r="D9" s="35">
        <v>0</v>
      </c>
      <c r="E9" s="36"/>
      <c r="F9" s="29"/>
      <c r="G9" s="37"/>
      <c r="H9" s="37"/>
      <c r="I9" s="37"/>
      <c r="J9" s="37"/>
      <c r="K9" s="37"/>
    </row>
    <row r="10" spans="1:18" x14ac:dyDescent="0.2">
      <c r="A10" s="29"/>
      <c r="B10" s="29" t="s">
        <v>22</v>
      </c>
      <c r="C10" s="29"/>
      <c r="D10" s="38">
        <v>0</v>
      </c>
      <c r="E10" s="36"/>
      <c r="F10" s="29"/>
      <c r="G10" s="37"/>
      <c r="H10" s="37"/>
      <c r="I10" s="37"/>
      <c r="J10" s="37"/>
      <c r="K10" s="37"/>
      <c r="M10" s="39"/>
    </row>
    <row r="11" spans="1:18" x14ac:dyDescent="0.2">
      <c r="A11" s="29"/>
      <c r="B11" s="29" t="s">
        <v>43</v>
      </c>
      <c r="C11" s="40"/>
      <c r="D11" s="38">
        <f>(' 19 Veg Maintenance'!K12)/(1+C21)</f>
        <v>206994.09526521375</v>
      </c>
      <c r="E11" s="36"/>
      <c r="F11" s="29"/>
      <c r="G11" s="41"/>
      <c r="H11" s="41"/>
      <c r="I11" s="41"/>
      <c r="J11" s="41"/>
      <c r="K11" s="41"/>
      <c r="M11" s="39"/>
    </row>
    <row r="12" spans="1:18" ht="12" customHeight="1" x14ac:dyDescent="0.2">
      <c r="A12" s="29"/>
      <c r="B12" s="29" t="s">
        <v>23</v>
      </c>
      <c r="C12" s="29"/>
      <c r="D12" s="38">
        <f>('20 O&amp;M'!C118)/(1+C21)</f>
        <v>2911089.564000003</v>
      </c>
      <c r="E12" s="36"/>
      <c r="F12" s="29"/>
      <c r="G12" s="41"/>
      <c r="H12" s="41"/>
      <c r="I12" s="41"/>
      <c r="J12" s="41"/>
      <c r="K12" s="41"/>
      <c r="M12" s="39"/>
      <c r="N12" s="39"/>
    </row>
    <row r="13" spans="1:18" ht="12" customHeight="1" x14ac:dyDescent="0.2">
      <c r="A13" s="29"/>
      <c r="B13" s="42" t="s">
        <v>24</v>
      </c>
      <c r="C13" s="43"/>
      <c r="D13" s="44">
        <f>SUM(D9:D12)</f>
        <v>3118083.6592652169</v>
      </c>
      <c r="E13" s="36"/>
      <c r="F13" s="29"/>
      <c r="G13" s="41"/>
      <c r="H13" s="41"/>
      <c r="I13" s="41"/>
      <c r="J13" s="41"/>
      <c r="K13" s="41"/>
      <c r="M13" s="39"/>
      <c r="N13" s="39"/>
      <c r="O13" s="39"/>
    </row>
    <row r="14" spans="1:18" ht="12" customHeight="1" x14ac:dyDescent="0.2">
      <c r="A14" s="29"/>
      <c r="B14" s="29"/>
      <c r="C14" s="45"/>
      <c r="D14" s="29"/>
      <c r="E14" s="46"/>
      <c r="F14" s="29"/>
      <c r="G14" s="41"/>
      <c r="H14" s="41"/>
      <c r="I14" s="41"/>
      <c r="J14" s="41"/>
      <c r="K14" s="41"/>
      <c r="M14" s="39"/>
      <c r="N14" s="39"/>
      <c r="O14" s="39"/>
      <c r="P14" s="39"/>
    </row>
    <row r="15" spans="1:18" ht="12" customHeight="1" x14ac:dyDescent="0.2">
      <c r="A15" s="34" t="s">
        <v>52</v>
      </c>
      <c r="B15" s="29" t="s">
        <v>54</v>
      </c>
      <c r="C15" s="47">
        <v>3.7999999999999999E-2</v>
      </c>
      <c r="D15" s="38">
        <f t="shared" ref="D15:D20" si="0">C15*$D$13</f>
        <v>118487.17905207824</v>
      </c>
      <c r="E15" s="38"/>
      <c r="F15" s="29"/>
      <c r="G15" s="41"/>
      <c r="H15" s="41"/>
      <c r="I15" s="41"/>
      <c r="J15" s="41"/>
      <c r="K15" s="41"/>
      <c r="M15" s="39"/>
      <c r="N15" s="39"/>
      <c r="O15" s="39"/>
      <c r="P15" s="39"/>
      <c r="Q15" s="39"/>
    </row>
    <row r="16" spans="1:18" ht="12" customHeight="1" x14ac:dyDescent="0.2">
      <c r="A16" s="29"/>
      <c r="B16" s="29" t="s">
        <v>55</v>
      </c>
      <c r="C16" s="47">
        <v>0.04</v>
      </c>
      <c r="D16" s="38">
        <f t="shared" si="0"/>
        <v>124723.34637060868</v>
      </c>
      <c r="E16" s="38"/>
      <c r="F16" s="29"/>
      <c r="G16" s="41"/>
      <c r="H16" s="41"/>
      <c r="I16" s="41"/>
      <c r="J16" s="41"/>
      <c r="K16" s="41"/>
      <c r="M16" s="39"/>
      <c r="N16" s="39"/>
      <c r="O16" s="39"/>
      <c r="P16" s="39"/>
      <c r="Q16" s="39"/>
      <c r="R16" s="39"/>
    </row>
    <row r="17" spans="1:24" ht="12" customHeight="1" x14ac:dyDescent="0.2">
      <c r="A17" s="29"/>
      <c r="B17" s="29" t="s">
        <v>56</v>
      </c>
      <c r="C17" s="47">
        <v>2.5000000000000001E-2</v>
      </c>
      <c r="D17" s="38">
        <f t="shared" si="0"/>
        <v>77952.091481630428</v>
      </c>
      <c r="E17" s="38"/>
      <c r="F17" s="29"/>
      <c r="G17" s="41"/>
      <c r="H17" s="41"/>
      <c r="I17" s="41"/>
      <c r="J17" s="41"/>
      <c r="K17" s="41"/>
      <c r="M17" s="39"/>
      <c r="N17" s="39"/>
      <c r="O17" s="39"/>
      <c r="P17" s="39"/>
      <c r="Q17" s="39"/>
      <c r="R17" s="39"/>
      <c r="S17" s="39"/>
    </row>
    <row r="18" spans="1:24" ht="15.75" customHeight="1" x14ac:dyDescent="0.2">
      <c r="A18" s="29"/>
      <c r="B18" s="29" t="s">
        <v>57</v>
      </c>
      <c r="C18" s="47">
        <v>0.1</v>
      </c>
      <c r="D18" s="38">
        <f t="shared" si="0"/>
        <v>311808.36592652171</v>
      </c>
      <c r="E18" s="38"/>
      <c r="F18" s="29"/>
      <c r="G18" s="41"/>
      <c r="H18" s="41"/>
      <c r="I18" s="41"/>
      <c r="J18" s="41"/>
      <c r="K18" s="41"/>
      <c r="M18" s="39"/>
      <c r="N18" s="39"/>
      <c r="O18" s="39"/>
      <c r="P18" s="39"/>
      <c r="Q18" s="39"/>
      <c r="R18" s="39"/>
      <c r="S18" s="39"/>
      <c r="T18" s="39"/>
    </row>
    <row r="19" spans="1:24" ht="12" customHeight="1" x14ac:dyDescent="0.2">
      <c r="A19" s="29"/>
      <c r="B19" s="29" t="s">
        <v>58</v>
      </c>
      <c r="C19" s="47">
        <v>0.03</v>
      </c>
      <c r="D19" s="38">
        <f t="shared" si="0"/>
        <v>93542.509777956497</v>
      </c>
      <c r="E19" s="38"/>
      <c r="F19" s="29"/>
      <c r="G19" s="41"/>
      <c r="H19" s="41"/>
      <c r="I19" s="41"/>
      <c r="J19" s="41"/>
      <c r="K19" s="41"/>
      <c r="M19" s="39"/>
      <c r="N19" s="39"/>
      <c r="O19" s="39"/>
      <c r="P19" s="39"/>
      <c r="Q19" s="39"/>
      <c r="R19" s="39"/>
      <c r="S19" s="39"/>
      <c r="T19" s="39"/>
      <c r="U19" s="39"/>
    </row>
    <row r="20" spans="1:24" ht="12" customHeight="1" x14ac:dyDescent="0.2">
      <c r="A20" s="29"/>
      <c r="B20" s="29" t="s">
        <v>25</v>
      </c>
      <c r="C20" s="47">
        <v>0</v>
      </c>
      <c r="D20" s="38">
        <f t="shared" si="0"/>
        <v>0</v>
      </c>
      <c r="E20" s="38"/>
      <c r="F20" s="29"/>
      <c r="G20" s="41"/>
      <c r="H20" s="41"/>
      <c r="I20" s="41"/>
      <c r="J20" s="41"/>
      <c r="K20" s="41"/>
      <c r="M20" s="39"/>
      <c r="N20" s="39"/>
      <c r="O20" s="39"/>
      <c r="P20" s="39"/>
      <c r="Q20" s="39"/>
      <c r="R20" s="39"/>
      <c r="S20" s="39"/>
      <c r="T20" s="39"/>
      <c r="U20" s="39"/>
      <c r="V20" s="39"/>
    </row>
    <row r="21" spans="1:24" ht="12" customHeight="1" x14ac:dyDescent="0.2">
      <c r="A21" s="23"/>
      <c r="B21" s="25" t="s">
        <v>26</v>
      </c>
      <c r="C21" s="48">
        <f>SUM(C15:C20)</f>
        <v>0.23300000000000001</v>
      </c>
      <c r="D21" s="23"/>
      <c r="E21" s="46"/>
      <c r="F21" s="29"/>
      <c r="G21" s="41"/>
      <c r="H21" s="41"/>
      <c r="I21" s="41"/>
      <c r="J21" s="41"/>
      <c r="K21" s="41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4" ht="12" customHeight="1" x14ac:dyDescent="0.2">
      <c r="A22" s="23"/>
      <c r="B22" s="42" t="s">
        <v>27</v>
      </c>
      <c r="C22" s="48"/>
      <c r="D22" s="44">
        <f>SUM(D15:D21)</f>
        <v>726513.49260879552</v>
      </c>
      <c r="E22" s="46"/>
      <c r="F22" s="29"/>
      <c r="G22" s="41"/>
      <c r="H22" s="41"/>
      <c r="I22" s="41"/>
      <c r="J22" s="41"/>
      <c r="K22" s="41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</row>
    <row r="23" spans="1:24" ht="12" customHeight="1" x14ac:dyDescent="0.2">
      <c r="A23" s="23"/>
      <c r="B23" s="42"/>
      <c r="C23" s="48"/>
      <c r="D23" s="23"/>
      <c r="E23" s="46"/>
      <c r="F23" s="29"/>
      <c r="G23" s="41"/>
      <c r="H23" s="41"/>
      <c r="I23" s="23"/>
      <c r="J23" s="41"/>
      <c r="K23" s="41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</row>
    <row r="24" spans="1:24" x14ac:dyDescent="0.2">
      <c r="A24" s="34"/>
      <c r="B24" s="29"/>
      <c r="C24" s="49"/>
      <c r="D24" s="50"/>
      <c r="E24" s="38"/>
      <c r="F24" s="29"/>
      <c r="G24" s="23"/>
      <c r="H24" s="23"/>
      <c r="I24" s="23"/>
      <c r="J24" s="41"/>
      <c r="K24" s="23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</row>
    <row r="25" spans="1:24" x14ac:dyDescent="0.2">
      <c r="A25" s="29"/>
      <c r="B25" s="51"/>
      <c r="C25" s="29"/>
      <c r="D25" s="29"/>
      <c r="E25" s="29"/>
      <c r="F25" s="29"/>
      <c r="G25" s="41"/>
      <c r="H25" s="41"/>
      <c r="I25" s="41"/>
      <c r="J25" s="41"/>
      <c r="K25" s="41"/>
      <c r="O25" s="39"/>
      <c r="P25" s="39"/>
      <c r="Q25" s="39"/>
      <c r="R25" s="39"/>
      <c r="S25" s="39"/>
      <c r="T25" s="39"/>
      <c r="U25" s="39"/>
      <c r="V25" s="39"/>
      <c r="W25" s="39"/>
      <c r="X25" s="39"/>
    </row>
    <row r="26" spans="1:24" x14ac:dyDescent="0.2">
      <c r="A26" s="29"/>
      <c r="B26" s="51"/>
      <c r="C26" s="29"/>
      <c r="D26" s="29"/>
      <c r="E26" s="29"/>
      <c r="F26" s="29"/>
      <c r="G26" s="41"/>
      <c r="H26" s="41"/>
      <c r="I26" s="41"/>
      <c r="J26" s="41"/>
      <c r="K26" s="41"/>
      <c r="P26" s="39"/>
      <c r="Q26" s="39"/>
      <c r="R26" s="39"/>
      <c r="S26" s="39"/>
      <c r="T26" s="39"/>
      <c r="U26" s="39"/>
      <c r="V26" s="39"/>
      <c r="W26" s="39"/>
      <c r="X26" s="39"/>
    </row>
    <row r="27" spans="1:24" x14ac:dyDescent="0.2">
      <c r="A27" s="34" t="s">
        <v>28</v>
      </c>
      <c r="B27" s="29"/>
      <c r="C27" s="47"/>
      <c r="D27" s="50">
        <f>D13+D22</f>
        <v>3844597.1518740123</v>
      </c>
      <c r="E27" s="46"/>
      <c r="F27" s="29"/>
      <c r="G27" s="41"/>
      <c r="H27" s="41"/>
      <c r="I27" s="41"/>
      <c r="J27" s="41"/>
      <c r="K27" s="41"/>
      <c r="Q27" s="39"/>
      <c r="R27" s="39"/>
      <c r="S27" s="39"/>
      <c r="T27" s="39"/>
      <c r="U27" s="39"/>
      <c r="V27" s="39"/>
      <c r="W27" s="39"/>
      <c r="X27" s="39"/>
    </row>
    <row r="28" spans="1:24" x14ac:dyDescent="0.2">
      <c r="A28" s="29"/>
      <c r="B28" s="51"/>
      <c r="C28" s="29"/>
      <c r="D28" s="29"/>
      <c r="E28" s="29"/>
      <c r="F28" s="29"/>
      <c r="G28" s="41"/>
      <c r="H28" s="41"/>
      <c r="I28" s="41"/>
      <c r="J28" s="41"/>
      <c r="K28" s="41"/>
      <c r="R28" s="39"/>
      <c r="S28" s="39"/>
      <c r="T28" s="39"/>
      <c r="U28" s="39"/>
      <c r="V28" s="39"/>
      <c r="W28" s="39"/>
      <c r="X28" s="39"/>
    </row>
    <row r="29" spans="1:24" x14ac:dyDescent="0.2">
      <c r="A29" s="173" t="s">
        <v>44</v>
      </c>
      <c r="B29" s="173"/>
      <c r="C29" s="29"/>
      <c r="D29" s="29"/>
      <c r="E29" s="29"/>
      <c r="F29" s="29"/>
      <c r="G29" s="41"/>
      <c r="H29" s="41"/>
      <c r="I29" s="41"/>
      <c r="J29" s="41"/>
      <c r="K29" s="41"/>
      <c r="S29" s="39"/>
      <c r="T29" s="39"/>
      <c r="U29" s="39"/>
      <c r="V29" s="39"/>
      <c r="W29" s="39"/>
      <c r="X29" s="39"/>
    </row>
    <row r="30" spans="1:24" x14ac:dyDescent="0.2">
      <c r="A30" s="173" t="s">
        <v>45</v>
      </c>
      <c r="B30" s="173"/>
      <c r="C30" s="29"/>
      <c r="D30" s="29"/>
      <c r="E30" s="29"/>
      <c r="F30" s="29"/>
      <c r="G30" s="41"/>
      <c r="H30" s="41"/>
      <c r="I30" s="41"/>
      <c r="J30" s="41"/>
      <c r="K30" s="41"/>
      <c r="T30" s="39"/>
      <c r="U30" s="39"/>
      <c r="V30" s="39"/>
      <c r="W30" s="39"/>
      <c r="X30" s="39"/>
    </row>
    <row r="31" spans="1:24" x14ac:dyDescent="0.2">
      <c r="A31" s="173" t="s">
        <v>46</v>
      </c>
      <c r="B31" s="173"/>
      <c r="C31" s="29"/>
      <c r="D31" s="29"/>
      <c r="E31" s="29"/>
      <c r="F31" s="29"/>
      <c r="G31" s="41"/>
      <c r="H31" s="41"/>
      <c r="I31" s="41"/>
      <c r="J31" s="41"/>
      <c r="K31" s="41"/>
      <c r="U31" s="39"/>
      <c r="V31" s="39"/>
      <c r="W31" s="39"/>
      <c r="X31" s="39"/>
    </row>
    <row r="32" spans="1:24" x14ac:dyDescent="0.2">
      <c r="A32" s="173" t="s">
        <v>47</v>
      </c>
      <c r="B32" s="173"/>
      <c r="C32" s="29"/>
      <c r="D32" s="29"/>
      <c r="E32" s="29"/>
      <c r="F32" s="29"/>
      <c r="G32" s="41"/>
      <c r="H32" s="41"/>
      <c r="I32" s="23"/>
      <c r="J32" s="41"/>
      <c r="K32" s="41"/>
      <c r="V32" s="39"/>
      <c r="W32" s="39"/>
      <c r="X32" s="39"/>
    </row>
    <row r="33" spans="1:24" x14ac:dyDescent="0.2">
      <c r="A33" s="173" t="s">
        <v>48</v>
      </c>
      <c r="B33" s="173"/>
      <c r="C33" s="29"/>
      <c r="D33" s="29"/>
      <c r="E33" s="23"/>
      <c r="F33" s="29"/>
      <c r="G33" s="23"/>
      <c r="H33" s="23"/>
      <c r="I33" s="23"/>
      <c r="J33" s="41"/>
      <c r="K33" s="23"/>
      <c r="W33" s="39"/>
      <c r="X33" s="39"/>
    </row>
    <row r="34" spans="1:24" x14ac:dyDescent="0.2">
      <c r="A34" s="173"/>
      <c r="B34" s="173"/>
      <c r="C34" s="53"/>
      <c r="D34" s="53"/>
      <c r="E34" s="53"/>
      <c r="F34" s="23"/>
      <c r="G34" s="46"/>
      <c r="H34" s="46"/>
      <c r="I34" s="46"/>
      <c r="J34" s="46"/>
      <c r="K34" s="46"/>
    </row>
    <row r="35" spans="1:24" x14ac:dyDescent="0.2">
      <c r="A35" s="173" t="s">
        <v>49</v>
      </c>
      <c r="B35" s="173"/>
      <c r="C35" s="23"/>
      <c r="D35" s="23"/>
      <c r="E35" s="23"/>
      <c r="F35" s="23"/>
      <c r="G35" s="46"/>
      <c r="H35" s="46"/>
      <c r="I35" s="46"/>
      <c r="J35" s="46"/>
      <c r="K35" s="46"/>
    </row>
    <row r="36" spans="1:24" x14ac:dyDescent="0.2">
      <c r="A36" s="174" t="s">
        <v>50</v>
      </c>
      <c r="B36" s="175" t="s">
        <v>51</v>
      </c>
      <c r="C36" s="23"/>
      <c r="D36" s="23"/>
      <c r="E36" s="23"/>
      <c r="F36" s="23"/>
      <c r="G36" s="23"/>
      <c r="H36" s="23"/>
      <c r="I36" s="29"/>
      <c r="J36" s="23"/>
      <c r="K36" s="36"/>
    </row>
    <row r="37" spans="1:24" x14ac:dyDescent="0.2">
      <c r="A37" s="37"/>
      <c r="B37" s="29"/>
      <c r="C37" s="23"/>
      <c r="D37" s="23"/>
      <c r="E37" s="23"/>
      <c r="F37" s="23"/>
      <c r="G37" s="23"/>
      <c r="H37" s="23"/>
      <c r="I37" s="29"/>
      <c r="J37" s="23"/>
      <c r="K37" s="46"/>
    </row>
    <row r="38" spans="1:24" x14ac:dyDescent="0.2">
      <c r="A38" s="37"/>
      <c r="B38" s="52"/>
      <c r="C38" s="23"/>
      <c r="D38" s="23"/>
      <c r="E38" s="23"/>
      <c r="F38" s="23"/>
      <c r="G38" s="23"/>
      <c r="H38" s="23"/>
      <c r="I38" s="23"/>
      <c r="J38" s="23"/>
      <c r="K38" s="23"/>
    </row>
    <row r="39" spans="1:24" x14ac:dyDescent="0.2">
      <c r="B39" s="52"/>
      <c r="C39" s="23"/>
      <c r="D39" s="23"/>
      <c r="E39" s="23"/>
      <c r="F39" s="23"/>
      <c r="G39" s="23"/>
      <c r="H39" s="23"/>
      <c r="I39" s="23"/>
      <c r="J39" s="23"/>
      <c r="K39" s="23"/>
    </row>
    <row r="40" spans="1:24" x14ac:dyDescent="0.2">
      <c r="B40" s="52"/>
      <c r="C40" s="29"/>
      <c r="D40" s="23"/>
      <c r="E40" s="23"/>
      <c r="F40" s="23"/>
      <c r="G40" s="23"/>
      <c r="H40" s="23"/>
      <c r="I40" s="23"/>
      <c r="J40" s="23"/>
      <c r="K40" s="23"/>
    </row>
    <row r="41" spans="1:24" x14ac:dyDescent="0.2">
      <c r="B41" s="52"/>
      <c r="C41" s="29"/>
      <c r="D41" s="23"/>
      <c r="E41" s="23"/>
      <c r="F41" s="23"/>
      <c r="G41" s="23"/>
      <c r="H41" s="23"/>
      <c r="I41" s="23"/>
      <c r="J41" s="23"/>
      <c r="K41" s="23"/>
    </row>
    <row r="42" spans="1:24" x14ac:dyDescent="0.2">
      <c r="B42" s="52"/>
      <c r="C42" s="29"/>
      <c r="D42" s="23"/>
      <c r="E42" s="23"/>
      <c r="F42" s="23"/>
      <c r="G42" s="23"/>
      <c r="H42" s="23"/>
      <c r="I42" s="23"/>
      <c r="J42" s="23"/>
      <c r="K42" s="23"/>
    </row>
    <row r="43" spans="1:24" x14ac:dyDescent="0.2">
      <c r="B43" s="52"/>
      <c r="C43" s="29"/>
      <c r="D43" s="29"/>
      <c r="E43" s="23"/>
      <c r="F43" s="23"/>
      <c r="G43" s="23"/>
      <c r="H43" s="23"/>
      <c r="I43" s="23"/>
      <c r="J43" s="23"/>
      <c r="K43" s="23"/>
    </row>
    <row r="44" spans="1:24" x14ac:dyDescent="0.2">
      <c r="A44" s="23"/>
      <c r="B44" s="52"/>
      <c r="C44" s="29"/>
      <c r="D44" s="29"/>
      <c r="E44" s="23"/>
      <c r="F44" s="23"/>
      <c r="G44" s="23"/>
      <c r="H44" s="23"/>
      <c r="I44" s="23"/>
      <c r="J44" s="23"/>
      <c r="K44" s="23"/>
    </row>
    <row r="45" spans="1:24" x14ac:dyDescent="0.2">
      <c r="A45" s="29"/>
      <c r="B45" s="52"/>
      <c r="C45" s="29"/>
      <c r="D45" s="29"/>
      <c r="E45" s="23"/>
      <c r="F45" s="23"/>
      <c r="G45" s="23"/>
      <c r="H45" s="23"/>
      <c r="I45" s="23"/>
      <c r="J45" s="23"/>
      <c r="K45" s="23"/>
    </row>
    <row r="46" spans="1:24" x14ac:dyDescent="0.2">
      <c r="A46" s="37"/>
      <c r="B46" s="52"/>
      <c r="C46" s="29"/>
      <c r="D46" s="29"/>
      <c r="E46" s="23"/>
      <c r="F46" s="23"/>
      <c r="G46" s="23"/>
      <c r="H46" s="23"/>
      <c r="I46" s="23"/>
      <c r="J46" s="23"/>
      <c r="K46" s="23"/>
    </row>
    <row r="47" spans="1:24" x14ac:dyDescent="0.2">
      <c r="A47" s="23"/>
      <c r="B47" s="52"/>
      <c r="C47" s="23"/>
      <c r="D47" s="23"/>
      <c r="E47" s="23"/>
      <c r="F47" s="23"/>
      <c r="G47" s="23"/>
      <c r="H47" s="23"/>
      <c r="I47" s="23"/>
      <c r="J47" s="23"/>
      <c r="K47" s="23"/>
    </row>
    <row r="48" spans="1:24" x14ac:dyDescent="0.2">
      <c r="A48" s="23"/>
      <c r="B48" s="52"/>
      <c r="C48" s="54"/>
      <c r="D48" s="54"/>
    </row>
    <row r="49" spans="1:4" x14ac:dyDescent="0.2">
      <c r="B49" s="52"/>
      <c r="C49" s="54"/>
      <c r="D49" s="54"/>
    </row>
    <row r="50" spans="1:4" x14ac:dyDescent="0.2">
      <c r="A50" s="54"/>
      <c r="B50" s="54"/>
      <c r="C50" s="54"/>
      <c r="D50" s="54"/>
    </row>
    <row r="51" spans="1:4" x14ac:dyDescent="0.2">
      <c r="A51" s="54"/>
      <c r="B51" s="54"/>
      <c r="C51" s="54"/>
      <c r="D51" s="54"/>
    </row>
    <row r="52" spans="1:4" x14ac:dyDescent="0.2">
      <c r="A52" s="54"/>
      <c r="B52" s="54"/>
      <c r="C52" s="54"/>
      <c r="D52" s="54"/>
    </row>
    <row r="53" spans="1:4" x14ac:dyDescent="0.2">
      <c r="A53" s="54"/>
      <c r="B53" s="54"/>
      <c r="C53" s="54"/>
      <c r="D53" s="54"/>
    </row>
    <row r="54" spans="1:4" x14ac:dyDescent="0.2">
      <c r="A54" s="54"/>
      <c r="B54" s="54"/>
      <c r="C54" s="54"/>
      <c r="D54" s="54"/>
    </row>
    <row r="55" spans="1:4" x14ac:dyDescent="0.2">
      <c r="A55" s="54"/>
      <c r="B55" s="54"/>
      <c r="C55" s="54"/>
      <c r="D55" s="54"/>
    </row>
    <row r="56" spans="1:4" x14ac:dyDescent="0.2">
      <c r="A56" s="54"/>
      <c r="B56" s="54"/>
      <c r="C56" s="54"/>
      <c r="D56" s="54"/>
    </row>
    <row r="57" spans="1:4" x14ac:dyDescent="0.2">
      <c r="A57" s="54"/>
      <c r="B57" s="54"/>
      <c r="C57" s="54"/>
      <c r="D57" s="54"/>
    </row>
    <row r="58" spans="1:4" x14ac:dyDescent="0.2">
      <c r="A58" s="54"/>
      <c r="B58" s="54"/>
      <c r="C58" s="54"/>
      <c r="D58" s="54"/>
    </row>
    <row r="59" spans="1:4" x14ac:dyDescent="0.2">
      <c r="A59" s="54"/>
      <c r="B59" s="54"/>
      <c r="C59" s="54"/>
      <c r="D59" s="54"/>
    </row>
    <row r="60" spans="1:4" x14ac:dyDescent="0.2">
      <c r="A60" s="54"/>
      <c r="B60" s="54"/>
      <c r="C60" s="54"/>
      <c r="D60" s="54"/>
    </row>
    <row r="61" spans="1:4" x14ac:dyDescent="0.2">
      <c r="A61" s="54"/>
      <c r="B61" s="54"/>
      <c r="C61" s="54"/>
      <c r="D61" s="54"/>
    </row>
    <row r="62" spans="1:4" x14ac:dyDescent="0.2">
      <c r="A62" s="54"/>
      <c r="B62" s="54"/>
      <c r="C62" s="54"/>
      <c r="D62" s="54"/>
    </row>
    <row r="63" spans="1:4" x14ac:dyDescent="0.2">
      <c r="A63" s="54"/>
      <c r="B63" s="54"/>
      <c r="C63" s="54"/>
      <c r="D63" s="54"/>
    </row>
    <row r="64" spans="1:4" x14ac:dyDescent="0.2">
      <c r="A64" s="54"/>
      <c r="B64" s="54"/>
      <c r="C64" s="54"/>
      <c r="D64" s="54"/>
    </row>
    <row r="65" spans="1:4" x14ac:dyDescent="0.2">
      <c r="A65" s="54"/>
      <c r="B65" s="54"/>
      <c r="C65" s="54"/>
      <c r="D65" s="54"/>
    </row>
    <row r="66" spans="1:4" x14ac:dyDescent="0.2">
      <c r="A66" s="54"/>
      <c r="B66" s="54"/>
      <c r="C66" s="54"/>
      <c r="D66" s="54"/>
    </row>
    <row r="67" spans="1:4" x14ac:dyDescent="0.2">
      <c r="A67" s="54"/>
      <c r="B67" s="54"/>
      <c r="C67" s="54"/>
      <c r="D67" s="54"/>
    </row>
    <row r="68" spans="1:4" x14ac:dyDescent="0.2">
      <c r="A68" s="54"/>
      <c r="B68" s="54"/>
      <c r="C68" s="54"/>
      <c r="D68" s="54"/>
    </row>
    <row r="69" spans="1:4" x14ac:dyDescent="0.2">
      <c r="A69" s="54"/>
      <c r="B69" s="54"/>
      <c r="C69" s="54"/>
      <c r="D69" s="54"/>
    </row>
    <row r="70" spans="1:4" x14ac:dyDescent="0.2">
      <c r="A70" s="54"/>
      <c r="B70" s="54"/>
      <c r="C70" s="54"/>
      <c r="D70" s="54"/>
    </row>
    <row r="71" spans="1:4" x14ac:dyDescent="0.2">
      <c r="A71" s="54"/>
      <c r="B71" s="54"/>
      <c r="C71" s="54"/>
      <c r="D71" s="54"/>
    </row>
    <row r="72" spans="1:4" x14ac:dyDescent="0.2">
      <c r="A72" s="54"/>
      <c r="B72" s="54"/>
      <c r="C72" s="54"/>
      <c r="D72" s="54"/>
    </row>
    <row r="73" spans="1:4" x14ac:dyDescent="0.2">
      <c r="A73" s="54"/>
      <c r="B73" s="54"/>
      <c r="C73" s="54"/>
      <c r="D73" s="54"/>
    </row>
    <row r="74" spans="1:4" x14ac:dyDescent="0.2">
      <c r="A74" s="54"/>
      <c r="B74" s="54"/>
      <c r="C74" s="54"/>
      <c r="D74" s="54"/>
    </row>
    <row r="75" spans="1:4" x14ac:dyDescent="0.2">
      <c r="A75" s="54"/>
      <c r="B75" s="54"/>
      <c r="C75" s="54"/>
      <c r="D75" s="54"/>
    </row>
    <row r="76" spans="1:4" x14ac:dyDescent="0.2">
      <c r="A76" s="54"/>
      <c r="B76" s="54"/>
      <c r="C76" s="54"/>
      <c r="D76" s="54"/>
    </row>
    <row r="77" spans="1:4" x14ac:dyDescent="0.2">
      <c r="A77" s="54"/>
      <c r="B77" s="54"/>
      <c r="C77" s="54"/>
      <c r="D77" s="54"/>
    </row>
    <row r="78" spans="1:4" x14ac:dyDescent="0.2">
      <c r="A78" s="54"/>
      <c r="B78" s="54"/>
      <c r="C78" s="54"/>
      <c r="D78" s="54"/>
    </row>
    <row r="79" spans="1:4" x14ac:dyDescent="0.2">
      <c r="A79" s="54"/>
      <c r="B79" s="54"/>
      <c r="C79" s="54"/>
      <c r="D79" s="54"/>
    </row>
    <row r="80" spans="1:4" x14ac:dyDescent="0.2">
      <c r="A80" s="54"/>
      <c r="B80" s="54"/>
      <c r="C80" s="54"/>
      <c r="D80" s="54"/>
    </row>
    <row r="81" spans="1:4" x14ac:dyDescent="0.2">
      <c r="A81" s="54"/>
      <c r="B81" s="54"/>
      <c r="C81" s="54"/>
      <c r="D81" s="54"/>
    </row>
    <row r="82" spans="1:4" x14ac:dyDescent="0.2">
      <c r="A82" s="54"/>
      <c r="B82" s="54"/>
      <c r="C82" s="54"/>
      <c r="D82" s="54"/>
    </row>
    <row r="83" spans="1:4" x14ac:dyDescent="0.2">
      <c r="A83" s="54"/>
      <c r="B83" s="54"/>
      <c r="C83" s="54"/>
      <c r="D83" s="54"/>
    </row>
    <row r="84" spans="1:4" x14ac:dyDescent="0.2">
      <c r="A84" s="54"/>
      <c r="B84" s="54"/>
      <c r="C84" s="54"/>
      <c r="D84" s="54"/>
    </row>
    <row r="85" spans="1:4" x14ac:dyDescent="0.2">
      <c r="A85" s="54"/>
      <c r="B85" s="54"/>
      <c r="C85" s="54"/>
      <c r="D85" s="54"/>
    </row>
    <row r="86" spans="1:4" x14ac:dyDescent="0.2">
      <c r="A86" s="54"/>
      <c r="B86" s="54"/>
      <c r="C86" s="54"/>
      <c r="D86" s="54"/>
    </row>
    <row r="87" spans="1:4" x14ac:dyDescent="0.2">
      <c r="A87" s="54"/>
      <c r="B87" s="54"/>
      <c r="C87" s="54"/>
      <c r="D87" s="54"/>
    </row>
    <row r="88" spans="1:4" x14ac:dyDescent="0.2">
      <c r="A88" s="54"/>
      <c r="B88" s="54"/>
      <c r="C88" s="54"/>
      <c r="D88" s="54"/>
    </row>
    <row r="89" spans="1:4" x14ac:dyDescent="0.2">
      <c r="A89" s="54"/>
      <c r="B89" s="54"/>
      <c r="C89" s="54"/>
      <c r="D89" s="54"/>
    </row>
    <row r="90" spans="1:4" x14ac:dyDescent="0.2">
      <c r="A90" s="54"/>
      <c r="B90" s="54"/>
      <c r="C90" s="54"/>
      <c r="D90" s="54"/>
    </row>
    <row r="91" spans="1:4" x14ac:dyDescent="0.2">
      <c r="A91" s="54"/>
      <c r="B91" s="54"/>
      <c r="C91" s="54"/>
      <c r="D91" s="54"/>
    </row>
    <row r="92" spans="1:4" x14ac:dyDescent="0.2">
      <c r="A92" s="54"/>
      <c r="B92" s="54"/>
      <c r="C92" s="54"/>
      <c r="D92" s="54"/>
    </row>
    <row r="93" spans="1:4" x14ac:dyDescent="0.2">
      <c r="A93" s="54"/>
      <c r="B93" s="54"/>
      <c r="C93" s="54"/>
      <c r="D93" s="54"/>
    </row>
    <row r="94" spans="1:4" x14ac:dyDescent="0.2">
      <c r="A94" s="54"/>
      <c r="B94" s="54"/>
      <c r="C94" s="54"/>
      <c r="D94" s="54"/>
    </row>
    <row r="95" spans="1:4" x14ac:dyDescent="0.2">
      <c r="A95" s="54"/>
      <c r="B95" s="54"/>
      <c r="C95" s="54"/>
      <c r="D95" s="54"/>
    </row>
    <row r="96" spans="1:4" x14ac:dyDescent="0.2">
      <c r="A96" s="54"/>
      <c r="B96" s="54"/>
      <c r="C96" s="54"/>
      <c r="D96" s="54"/>
    </row>
    <row r="97" spans="1:4" x14ac:dyDescent="0.2">
      <c r="A97" s="54"/>
      <c r="B97" s="54"/>
      <c r="C97" s="54"/>
      <c r="D97" s="54"/>
    </row>
    <row r="98" spans="1:4" x14ac:dyDescent="0.2">
      <c r="A98" s="54"/>
      <c r="B98" s="54"/>
      <c r="C98" s="54"/>
      <c r="D98" s="54"/>
    </row>
    <row r="99" spans="1:4" x14ac:dyDescent="0.2">
      <c r="A99" s="54"/>
      <c r="B99" s="54"/>
      <c r="C99" s="54"/>
      <c r="D99" s="54"/>
    </row>
    <row r="100" spans="1:4" x14ac:dyDescent="0.2">
      <c r="A100" s="54"/>
      <c r="B100" s="54"/>
      <c r="C100" s="54"/>
      <c r="D100" s="54"/>
    </row>
    <row r="101" spans="1:4" x14ac:dyDescent="0.2">
      <c r="A101" s="54"/>
      <c r="B101" s="54"/>
      <c r="C101" s="54"/>
      <c r="D101" s="54"/>
    </row>
    <row r="102" spans="1:4" x14ac:dyDescent="0.2">
      <c r="A102" s="54"/>
      <c r="B102" s="54"/>
      <c r="C102" s="54"/>
      <c r="D102" s="54"/>
    </row>
    <row r="103" spans="1:4" x14ac:dyDescent="0.2">
      <c r="A103" s="54"/>
      <c r="B103" s="54"/>
      <c r="C103" s="54"/>
      <c r="D103" s="54"/>
    </row>
    <row r="104" spans="1:4" x14ac:dyDescent="0.2">
      <c r="A104" s="54"/>
      <c r="B104" s="54"/>
      <c r="C104" s="54"/>
      <c r="D104" s="54"/>
    </row>
    <row r="105" spans="1:4" x14ac:dyDescent="0.2">
      <c r="A105" s="54"/>
      <c r="B105" s="54"/>
      <c r="C105" s="54"/>
      <c r="D105" s="54"/>
    </row>
    <row r="106" spans="1:4" x14ac:dyDescent="0.2">
      <c r="A106" s="54"/>
      <c r="B106" s="54"/>
      <c r="C106" s="54"/>
      <c r="D106" s="54"/>
    </row>
    <row r="107" spans="1:4" x14ac:dyDescent="0.2">
      <c r="A107" s="54"/>
      <c r="B107" s="54"/>
      <c r="C107" s="54"/>
      <c r="D107" s="54"/>
    </row>
    <row r="108" spans="1:4" x14ac:dyDescent="0.2">
      <c r="A108" s="54"/>
      <c r="B108" s="54"/>
      <c r="C108" s="54"/>
      <c r="D108" s="54"/>
    </row>
    <row r="109" spans="1:4" x14ac:dyDescent="0.2">
      <c r="A109" s="54"/>
      <c r="B109" s="54"/>
      <c r="C109" s="54"/>
      <c r="D109" s="54"/>
    </row>
    <row r="110" spans="1:4" x14ac:dyDescent="0.2">
      <c r="A110" s="54"/>
      <c r="B110" s="54"/>
      <c r="C110" s="54"/>
      <c r="D110" s="54"/>
    </row>
    <row r="111" spans="1:4" x14ac:dyDescent="0.2">
      <c r="A111" s="54"/>
      <c r="B111" s="54"/>
      <c r="C111" s="54"/>
      <c r="D111" s="54"/>
    </row>
    <row r="112" spans="1:4" x14ac:dyDescent="0.2">
      <c r="A112" s="54"/>
      <c r="B112" s="54"/>
      <c r="C112" s="54"/>
      <c r="D112" s="54"/>
    </row>
    <row r="113" spans="1:4" x14ac:dyDescent="0.2">
      <c r="A113" s="54"/>
      <c r="B113" s="54"/>
      <c r="C113" s="54"/>
      <c r="D113" s="54"/>
    </row>
    <row r="114" spans="1:4" x14ac:dyDescent="0.2">
      <c r="A114" s="54"/>
      <c r="B114" s="54"/>
      <c r="C114" s="54"/>
      <c r="D114" s="54"/>
    </row>
    <row r="115" spans="1:4" x14ac:dyDescent="0.2">
      <c r="A115" s="54"/>
      <c r="B115" s="54"/>
      <c r="C115" s="54"/>
      <c r="D115" s="54"/>
    </row>
    <row r="116" spans="1:4" x14ac:dyDescent="0.2">
      <c r="A116" s="54"/>
      <c r="B116" s="54"/>
      <c r="C116" s="54"/>
      <c r="D116" s="54"/>
    </row>
    <row r="117" spans="1:4" x14ac:dyDescent="0.2">
      <c r="A117" s="54"/>
      <c r="B117" s="54"/>
      <c r="C117" s="54"/>
      <c r="D117" s="54"/>
    </row>
    <row r="118" spans="1:4" x14ac:dyDescent="0.2">
      <c r="A118" s="54"/>
      <c r="B118" s="54"/>
      <c r="C118" s="54"/>
      <c r="D118" s="54"/>
    </row>
    <row r="119" spans="1:4" x14ac:dyDescent="0.2">
      <c r="A119" s="54"/>
      <c r="B119" s="54"/>
      <c r="C119" s="54"/>
      <c r="D119" s="54"/>
    </row>
  </sheetData>
  <mergeCells count="2">
    <mergeCell ref="E5:E7"/>
    <mergeCell ref="F6:F7"/>
  </mergeCells>
  <phoneticPr fontId="2" type="noConversion"/>
  <printOptions horizontalCentered="1"/>
  <pageMargins left="0.33" right="0.3" top="0.5" bottom="0.25" header="0.5" footer="0.5"/>
  <pageSetup scale="75" orientation="portrait" r:id="rId1"/>
  <headerFooter alignWithMargins="0">
    <oddFooter>&amp;C&amp;F
&amp;   O&amp;&amp;M Summary Sheet 21
&amp;
Page &amp;P of &amp;N</oddFooter>
  </headerFooter>
  <colBreaks count="1" manualBreakCount="1">
    <brk id="5" max="52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Button 6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Button 7">
              <controlPr locked="0" defaultSize="0" autoFill="0" autoLine="0" autoPict="0">
                <anchor moveWithCells="1" sizeWithCells="1">
                  <from>
                    <xdr:col>0</xdr:col>
                    <xdr:colOff>0</xdr:colOff>
                    <xdr:row>14</xdr:row>
                    <xdr:rowOff>0</xdr:rowOff>
                  </from>
                  <to>
                    <xdr:col>0</xdr:col>
                    <xdr:colOff>0</xdr:colOff>
                    <xdr:row>14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14"/>
  <sheetViews>
    <sheetView workbookViewId="0">
      <selection activeCell="G16" sqref="G16"/>
    </sheetView>
  </sheetViews>
  <sheetFormatPr defaultRowHeight="12.75" x14ac:dyDescent="0.2"/>
  <cols>
    <col min="4" max="4" width="11.7109375" bestFit="1" customWidth="1"/>
    <col min="5" max="5" width="12.140625" customWidth="1"/>
    <col min="6" max="6" width="12" customWidth="1"/>
    <col min="7" max="7" width="15.7109375" customWidth="1"/>
    <col min="8" max="8" width="12.7109375" bestFit="1" customWidth="1"/>
    <col min="9" max="9" width="10.140625" bestFit="1" customWidth="1"/>
  </cols>
  <sheetData>
    <row r="1" spans="3:9" ht="13.5" thickBot="1" x14ac:dyDescent="0.25"/>
    <row r="2" spans="3:9" ht="13.5" thickTop="1" x14ac:dyDescent="0.2">
      <c r="C2" s="205" t="s">
        <v>37</v>
      </c>
      <c r="D2" s="206"/>
      <c r="E2" s="206"/>
      <c r="F2" s="206"/>
      <c r="G2" s="207"/>
    </row>
    <row r="3" spans="3:9" ht="26.25" thickBot="1" x14ac:dyDescent="0.25">
      <c r="C3" s="66" t="s">
        <v>38</v>
      </c>
      <c r="D3" s="67" t="s">
        <v>33</v>
      </c>
      <c r="E3" s="193" t="s">
        <v>34</v>
      </c>
      <c r="F3" s="198" t="s">
        <v>35</v>
      </c>
      <c r="G3" s="68" t="s">
        <v>39</v>
      </c>
      <c r="H3" s="57"/>
    </row>
    <row r="4" spans="3:9" ht="13.5" thickTop="1" x14ac:dyDescent="0.2">
      <c r="C4" s="192" t="s">
        <v>36</v>
      </c>
      <c r="D4" s="190"/>
      <c r="E4" s="190"/>
      <c r="F4" s="177"/>
      <c r="G4" s="191"/>
      <c r="H4" s="57"/>
    </row>
    <row r="5" spans="3:9" x14ac:dyDescent="0.2">
      <c r="C5" s="188" t="s">
        <v>126</v>
      </c>
      <c r="D5" s="64">
        <f>SUM('20 O&amp;M'!C16:C35)</f>
        <v>743941.34614799963</v>
      </c>
      <c r="E5" s="194">
        <f>SUM('20 O&amp;M'!H16:H35)</f>
        <v>782372.82672000024</v>
      </c>
      <c r="F5" s="199">
        <f>' 19 Veg Maintenance'!K12</f>
        <v>255223.71946200856</v>
      </c>
      <c r="G5" s="65">
        <f>ROUND(SUM(D5:F5),-3)</f>
        <v>1782000</v>
      </c>
    </row>
    <row r="6" spans="3:9" x14ac:dyDescent="0.2">
      <c r="C6" s="189" t="s">
        <v>127</v>
      </c>
      <c r="D6" s="61">
        <f>SUM('20 O&amp;M'!C36:C55)</f>
        <v>457810.05916800001</v>
      </c>
      <c r="E6" s="195">
        <f>SUM('20 O&amp;M'!H36:H55)</f>
        <v>504756.6624000002</v>
      </c>
      <c r="F6" s="200">
        <v>0</v>
      </c>
      <c r="G6" s="65">
        <f t="shared" ref="G6:G7" si="0">ROUND(SUM(D6:F6),-3)</f>
        <v>963000</v>
      </c>
    </row>
    <row r="7" spans="3:9" x14ac:dyDescent="0.2">
      <c r="C7" s="189" t="s">
        <v>128</v>
      </c>
      <c r="D7" s="61">
        <f>SUM('20 O&amp;M'!C56:C115)</f>
        <v>343357.54437599948</v>
      </c>
      <c r="E7" s="195">
        <f>SUM('20 O&amp;M'!H56:H115)</f>
        <v>757134.99360000051</v>
      </c>
      <c r="F7" s="200">
        <v>0</v>
      </c>
      <c r="G7" s="65">
        <f t="shared" si="0"/>
        <v>1100000</v>
      </c>
      <c r="H7" s="58"/>
    </row>
    <row r="8" spans="3:9" ht="13.5" thickBot="1" x14ac:dyDescent="0.25">
      <c r="C8" s="63" t="s">
        <v>32</v>
      </c>
      <c r="D8" s="62">
        <f>ROUND(SUM(D5:D7),-3)</f>
        <v>1545000</v>
      </c>
      <c r="E8" s="196">
        <f t="shared" ref="E8:G8" si="1">ROUND(SUM(E5:E7),-3)</f>
        <v>2044000</v>
      </c>
      <c r="F8" s="201">
        <f t="shared" si="1"/>
        <v>255000</v>
      </c>
      <c r="G8" s="197">
        <f t="shared" si="1"/>
        <v>3845000</v>
      </c>
    </row>
    <row r="9" spans="3:9" ht="13.5" thickTop="1" x14ac:dyDescent="0.2">
      <c r="C9" s="192" t="s">
        <v>132</v>
      </c>
      <c r="D9" s="190"/>
      <c r="E9" s="190"/>
      <c r="F9" s="190"/>
      <c r="G9" s="191"/>
    </row>
    <row r="10" spans="3:9" x14ac:dyDescent="0.2">
      <c r="C10" s="189" t="s">
        <v>129</v>
      </c>
      <c r="D10" s="61">
        <v>97284.637573200001</v>
      </c>
      <c r="E10" s="195" t="s">
        <v>130</v>
      </c>
      <c r="F10" s="200">
        <v>26141.738400000002</v>
      </c>
      <c r="G10" s="65">
        <v>123000</v>
      </c>
    </row>
    <row r="11" spans="3:9" ht="13.5" thickBot="1" x14ac:dyDescent="0.25">
      <c r="C11" s="63" t="s">
        <v>32</v>
      </c>
      <c r="D11" s="62">
        <f>D8+ROUND(D10,-3)</f>
        <v>1642000</v>
      </c>
      <c r="E11" s="196">
        <f>E8</f>
        <v>2044000</v>
      </c>
      <c r="F11" s="201">
        <f t="shared" ref="F11:G11" si="2">F8+ROUND(F10,-3)</f>
        <v>281000</v>
      </c>
      <c r="G11" s="197">
        <f t="shared" si="2"/>
        <v>3968000</v>
      </c>
      <c r="I11" s="60"/>
    </row>
    <row r="12" spans="3:9" ht="13.5" thickTop="1" x14ac:dyDescent="0.2">
      <c r="G12" s="60"/>
    </row>
    <row r="13" spans="3:9" x14ac:dyDescent="0.2">
      <c r="C13" s="202" t="s">
        <v>131</v>
      </c>
    </row>
    <row r="14" spans="3:9" x14ac:dyDescent="0.2">
      <c r="G14" s="60"/>
    </row>
  </sheetData>
  <mergeCells count="1">
    <mergeCell ref="C2:G2"/>
  </mergeCells>
  <phoneticPr fontId="9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 19 Veg Maintenance</vt:lpstr>
      <vt:lpstr>20 O&amp;M</vt:lpstr>
      <vt:lpstr>21 Sum</vt:lpstr>
      <vt:lpstr> O&amp;M Table</vt:lpstr>
      <vt:lpstr>' 19 Veg Maintenance'!Print_Area</vt:lpstr>
      <vt:lpstr>'20 O&amp;M'!Print_Area</vt:lpstr>
      <vt:lpstr>'21 Sum'!Print_Area</vt:lpstr>
      <vt:lpstr>'20 O&amp;M'!Print_Titles</vt:lpstr>
    </vt:vector>
  </TitlesOfParts>
  <Company>State of New Mexico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BKJOHNSON</dc:creator>
  <cp:lastModifiedBy>April Tischer</cp:lastModifiedBy>
  <cp:lastPrinted>2014-10-20T22:36:15Z</cp:lastPrinted>
  <dcterms:created xsi:type="dcterms:W3CDTF">2001-08-29T22:00:10Z</dcterms:created>
  <dcterms:modified xsi:type="dcterms:W3CDTF">2014-12-10T21:12:29Z</dcterms:modified>
</cp:coreProperties>
</file>