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35" windowWidth="21075" windowHeight="9210"/>
  </bookViews>
  <sheets>
    <sheet name="1 General" sheetId="1" r:id="rId1"/>
    <sheet name="2   Demo" sheetId="2" r:id="rId2"/>
    <sheet name="3   Material" sheetId="3" r:id="rId3"/>
    <sheet name="4   Earthwork" sheetId="4" r:id="rId4"/>
    <sheet name="5   Dozer" sheetId="5" r:id="rId5"/>
    <sheet name="6   Grading" sheetId="6" r:id="rId6"/>
    <sheet name="7   Ripper" sheetId="7" r:id="rId7"/>
    <sheet name="8  Excavator" sheetId="8" r:id="rId8"/>
    <sheet name="9   Trucks" sheetId="9" r:id="rId9"/>
    <sheet name="10   Loader" sheetId="10" r:id="rId10"/>
    <sheet name="11   Scraper" sheetId="11" r:id="rId11"/>
    <sheet name="12   M'grader" sheetId="12" r:id="rId12"/>
    <sheet name="13   EarthSum" sheetId="13" r:id="rId13"/>
    <sheet name="14   Reveg" sheetId="14" r:id="rId14"/>
    <sheet name="15   Other" sheetId="15" r:id="rId15"/>
    <sheet name="16   Sum" sheetId="16" r:id="rId16"/>
    <sheet name="17 Detailed Sum" sheetId="17" r:id="rId17"/>
    <sheet name="18 Facility Characteristics" sheetId="18" r:id="rId18"/>
    <sheet name="          " sheetId="19" r:id="rId19"/>
    <sheet name="Trucks.xls" sheetId="20" r:id="rId20"/>
    <sheet name="Productivity" sheetId="21" r:id="rId21"/>
    <sheet name="Time" sheetId="22" r:id="rId22"/>
    <sheet name="TruckCost" sheetId="23" r:id="rId23"/>
    <sheet name="LoaderCost" sheetId="24" r:id="rId24"/>
    <sheet name="TotalCost" sheetId="25" r:id="rId25"/>
    <sheet name="Optimum" sheetId="26" r:id="rId26"/>
    <sheet name="           " sheetId="27" r:id="rId27"/>
    <sheet name="Earthwork.xls" sheetId="28" r:id="rId28"/>
  </sheets>
  <definedNames>
    <definedName name="_xlnm._FilterDatabase" localSheetId="12" hidden="1">'13   EarthSum'!$A$1:$A$204</definedName>
    <definedName name="_xlnm._FilterDatabase" localSheetId="14" hidden="1">'15   Other'!$A$1:$A$115</definedName>
    <definedName name="_xlnm.Print_Area" localSheetId="0">'1 General'!$A$1:$C$22</definedName>
    <definedName name="_xlnm.Print_Area" localSheetId="9">'10   Loader'!$A$1:$L$31</definedName>
    <definedName name="_xlnm.Print_Area" localSheetId="10">'11   Scraper'!$A$1:$H$11</definedName>
    <definedName name="_xlnm.Print_Area" localSheetId="12">'13   EarthSum'!$B$1:$N$178</definedName>
    <definedName name="_xlnm.Print_Area" localSheetId="13">'14   Reveg'!$A$1:$E$60</definedName>
    <definedName name="_xlnm.Print_Area" localSheetId="14">'15   Other'!$A$1:$J$71</definedName>
    <definedName name="_xlnm.Print_Area" localSheetId="15">'16   Sum'!$A$1:$E$39</definedName>
    <definedName name="_xlnm.Print_Area" localSheetId="16">'17 Detailed Sum'!$A$1:$M$29</definedName>
    <definedName name="_xlnm.Print_Area" localSheetId="17">'18 Facility Characteristics'!$A$1:$J$31</definedName>
    <definedName name="_xlnm.Print_Area" localSheetId="1">'2   Demo'!$A$1:$J$7</definedName>
    <definedName name="_xlnm.Print_Area" localSheetId="2">'3   Material'!$A$1:$G$123</definedName>
    <definedName name="_xlnm.Print_Area" localSheetId="3">'4   Earthwork'!$A$1:$I$121</definedName>
    <definedName name="_xlnm.Print_Area" localSheetId="4">'5   Dozer'!$A$1:$S$36</definedName>
    <definedName name="_xlnm.Print_Area" localSheetId="5">'6   Grading'!$A$1:$W$52</definedName>
    <definedName name="_xlnm.Print_Area" localSheetId="7">'8  Excavator'!$A$1:$J$16</definedName>
    <definedName name="_xlnm.Print_Area" localSheetId="8">'9   Trucks'!$A$1:$AO$35</definedName>
    <definedName name="_xlnm.Print_Area" localSheetId="27">Earthwork.xls!$A$1:$E$15</definedName>
    <definedName name="_xlnm.Print_Area" localSheetId="23">LoaderCost!$A$1:$AB$17</definedName>
    <definedName name="_xlnm.Print_Area" localSheetId="25">Optimum!$A$1:$AC$22</definedName>
    <definedName name="_xlnm.Print_Area" localSheetId="20">Productivity!$A$1:$AB$26</definedName>
    <definedName name="_xlnm.Print_Area" localSheetId="21">Time!$A$1:$AB$19</definedName>
    <definedName name="_xlnm.Print_Area" localSheetId="24">TotalCost!$A$1:$AC$22</definedName>
    <definedName name="_xlnm.Print_Area" localSheetId="22">TruckCost!$A$1:$AB$17</definedName>
    <definedName name="_xlnm.Print_Titles" localSheetId="12">'13   EarthSum'!$B:$F,'13   EarthSum'!$1:$7</definedName>
    <definedName name="_xlnm.Print_Titles" localSheetId="13">'14   Reveg'!$A:$B,'14   Reveg'!$1:$10</definedName>
    <definedName name="_xlnm.Print_Titles" localSheetId="14">'15   Other'!$A:$A,'15   Other'!$1:$7</definedName>
    <definedName name="_xlnm.Print_Titles" localSheetId="16">'17 Detailed Sum'!$A:$B</definedName>
    <definedName name="_xlnm.Print_Titles" localSheetId="17">'18 Facility Characteristics'!$A:$A</definedName>
    <definedName name="_xlnm.Print_Titles" localSheetId="1">'2   Demo'!$A:$A,'2   Demo'!$1:$3</definedName>
    <definedName name="_xlnm.Print_Titles" localSheetId="2">'3   Material'!$1:$8</definedName>
    <definedName name="_xlnm.Print_Titles" localSheetId="3">'4   Earthwork'!$1:$8</definedName>
    <definedName name="_xlnm.Print_Titles" localSheetId="4">'5   Dozer'!$A:$C,'5   Dozer'!$5:$11</definedName>
    <definedName name="_xlnm.Print_Titles" localSheetId="5">'6   Grading'!$A:$C,'6   Grading'!$1:$10</definedName>
    <definedName name="_xlnm.Print_Titles" localSheetId="6">'7   Ripper'!$A:$C,'7   Ripper'!$1:$10</definedName>
    <definedName name="_xlnm.Print_Titles" localSheetId="7">'8  Excavator'!$A:$A,'8  Excavator'!$1:$3</definedName>
    <definedName name="_xlnm.Print_Titles" localSheetId="8">'9   Trucks'!$A:$C,'9   Trucks'!$1:$12</definedName>
    <definedName name="_xlnm.Print_Titles" localSheetId="27">Earthwork.xls!$A:$C,Earthwork.xls!$1:$10</definedName>
    <definedName name="_xlnm.Print_Titles" localSheetId="23">LoaderCost!$A:$C,LoaderCost!$1:$10</definedName>
    <definedName name="_xlnm.Print_Titles" localSheetId="25">Optimum!$A:$C,Optimum!$1:$10</definedName>
    <definedName name="_xlnm.Print_Titles" localSheetId="20">Productivity!$A:$C,Productivity!$1:$11</definedName>
    <definedName name="_xlnm.Print_Titles" localSheetId="21">Time!$A:$C,Time!$1:$11</definedName>
    <definedName name="_xlnm.Print_Titles" localSheetId="24">TotalCost!$A:$C,TotalCost!$1:$10</definedName>
    <definedName name="_xlnm.Print_Titles" localSheetId="22">TruckCost!$A:$C,TruckCost!$1:$10</definedName>
    <definedName name="Z_022582FA_9605_4A7F_B587_E5659EE41F6B_.wvu.Cols" localSheetId="8" hidden="1">'9   Trucks'!#REF!</definedName>
    <definedName name="Z_022582FA_9605_4A7F_B587_E5659EE41F6B_.wvu.Cols" localSheetId="27" hidden="1">Earthwork.xls!#REF!,Earthwork.xls!#REF!</definedName>
    <definedName name="Z_022582FA_9605_4A7F_B587_E5659EE41F6B_.wvu.PrintArea" localSheetId="0" hidden="1">'1 General'!$A$1:$C$22</definedName>
    <definedName name="Z_022582FA_9605_4A7F_B587_E5659EE41F6B_.wvu.PrintArea" localSheetId="10" hidden="1">'11   Scraper'!$A$1:$Q$5</definedName>
    <definedName name="Z_022582FA_9605_4A7F_B587_E5659EE41F6B_.wvu.PrintArea" localSheetId="12" hidden="1">'13   EarthSum'!$B$1:$P$188</definedName>
    <definedName name="Z_022582FA_9605_4A7F_B587_E5659EE41F6B_.wvu.PrintArea" localSheetId="13" hidden="1">'14   Reveg'!$A$1:$J$66</definedName>
    <definedName name="Z_022582FA_9605_4A7F_B587_E5659EE41F6B_.wvu.PrintArea" localSheetId="14" hidden="1">'15   Other'!$A$1:$M$90</definedName>
    <definedName name="Z_022582FA_9605_4A7F_B587_E5659EE41F6B_.wvu.PrintArea" localSheetId="15" hidden="1">'16   Sum'!$A$1:$K$51</definedName>
    <definedName name="Z_022582FA_9605_4A7F_B587_E5659EE41F6B_.wvu.PrintArea" localSheetId="1" hidden="1">'2   Demo'!$A$1:$T$3</definedName>
    <definedName name="Z_022582FA_9605_4A7F_B587_E5659EE41F6B_.wvu.PrintArea" localSheetId="2" hidden="1">'3   Material'!$A$1:$G$145</definedName>
    <definedName name="Z_022582FA_9605_4A7F_B587_E5659EE41F6B_.wvu.PrintArea" localSheetId="3" hidden="1">'4   Earthwork'!$A$1:$I$131</definedName>
    <definedName name="Z_022582FA_9605_4A7F_B587_E5659EE41F6B_.wvu.PrintArea" localSheetId="4" hidden="1">'5   Dozer'!$A$1:$R$11</definedName>
    <definedName name="Z_022582FA_9605_4A7F_B587_E5659EE41F6B_.wvu.PrintArea" localSheetId="5" hidden="1">'6   Grading'!$A$1:$S$16</definedName>
    <definedName name="Z_022582FA_9605_4A7F_B587_E5659EE41F6B_.wvu.PrintArea" localSheetId="6" hidden="1">'7   Ripper'!$A$1:$N$14</definedName>
    <definedName name="Z_022582FA_9605_4A7F_B587_E5659EE41F6B_.wvu.PrintArea" localSheetId="7" hidden="1">'8  Excavator'!$A$1:$O$16</definedName>
    <definedName name="Z_022582FA_9605_4A7F_B587_E5659EE41F6B_.wvu.PrintArea" localSheetId="8" hidden="1">'9   Trucks'!$A$1:$AN$35</definedName>
    <definedName name="Z_022582FA_9605_4A7F_B587_E5659EE41F6B_.wvu.PrintArea" localSheetId="27" hidden="1">Earthwork.xls!$A$1:$E$12</definedName>
    <definedName name="Z_022582FA_9605_4A7F_B587_E5659EE41F6B_.wvu.PrintArea" localSheetId="23" hidden="1">LoaderCost!$A$1:$AB$17</definedName>
    <definedName name="Z_022582FA_9605_4A7F_B587_E5659EE41F6B_.wvu.PrintArea" localSheetId="25" hidden="1">Optimum!$A$1:$AC$22</definedName>
    <definedName name="Z_022582FA_9605_4A7F_B587_E5659EE41F6B_.wvu.PrintArea" localSheetId="20" hidden="1">Productivity!$A$1:$AB$26</definedName>
    <definedName name="Z_022582FA_9605_4A7F_B587_E5659EE41F6B_.wvu.PrintArea" localSheetId="21" hidden="1">Time!$A$1:$AB$19</definedName>
    <definedName name="Z_022582FA_9605_4A7F_B587_E5659EE41F6B_.wvu.PrintArea" localSheetId="24" hidden="1">TotalCost!$A$1:$AC$22</definedName>
    <definedName name="Z_022582FA_9605_4A7F_B587_E5659EE41F6B_.wvu.PrintArea" localSheetId="22" hidden="1">TruckCost!$A$1:$AB$17</definedName>
    <definedName name="Z_022582FA_9605_4A7F_B587_E5659EE41F6B_.wvu.PrintTitles" localSheetId="10" hidden="1">'11   Scraper'!$A:$C,'11   Scraper'!#REF!</definedName>
    <definedName name="Z_022582FA_9605_4A7F_B587_E5659EE41F6B_.wvu.PrintTitles" localSheetId="12" hidden="1">'13   EarthSum'!$B:$F,'13   EarthSum'!$1:$7</definedName>
    <definedName name="Z_022582FA_9605_4A7F_B587_E5659EE41F6B_.wvu.PrintTitles" localSheetId="13" hidden="1">'14   Reveg'!$A:$B,'14   Reveg'!$1:$10</definedName>
    <definedName name="Z_022582FA_9605_4A7F_B587_E5659EE41F6B_.wvu.PrintTitles" localSheetId="14" hidden="1">'15   Other'!$A:$A,'15   Other'!$1:$7</definedName>
    <definedName name="Z_022582FA_9605_4A7F_B587_E5659EE41F6B_.wvu.PrintTitles" localSheetId="1" hidden="1">'2   Demo'!$A:$A,'2   Demo'!$1:$3</definedName>
    <definedName name="Z_022582FA_9605_4A7F_B587_E5659EE41F6B_.wvu.PrintTitles" localSheetId="2" hidden="1">'3   Material'!$1:$8</definedName>
    <definedName name="Z_022582FA_9605_4A7F_B587_E5659EE41F6B_.wvu.PrintTitles" localSheetId="3" hidden="1">'4   Earthwork'!$1:$8</definedName>
    <definedName name="Z_022582FA_9605_4A7F_B587_E5659EE41F6B_.wvu.PrintTitles" localSheetId="4" hidden="1">'5   Dozer'!$A:$C,'5   Dozer'!$5:$11</definedName>
    <definedName name="Z_022582FA_9605_4A7F_B587_E5659EE41F6B_.wvu.PrintTitles" localSheetId="5" hidden="1">'6   Grading'!$A:$C,'6   Grading'!$1:$10</definedName>
    <definedName name="Z_022582FA_9605_4A7F_B587_E5659EE41F6B_.wvu.PrintTitles" localSheetId="6" hidden="1">'7   Ripper'!$A:$C,'7   Ripper'!$1:$10</definedName>
    <definedName name="Z_022582FA_9605_4A7F_B587_E5659EE41F6B_.wvu.PrintTitles" localSheetId="7" hidden="1">'8  Excavator'!$A:$A,'8  Excavator'!$1:$3</definedName>
    <definedName name="Z_022582FA_9605_4A7F_B587_E5659EE41F6B_.wvu.PrintTitles" localSheetId="8" hidden="1">'9   Trucks'!$A:$C,'9   Trucks'!$1:$12</definedName>
    <definedName name="Z_022582FA_9605_4A7F_B587_E5659EE41F6B_.wvu.PrintTitles" localSheetId="27" hidden="1">Earthwork.xls!$A:$C,Earthwork.xls!$1:$10</definedName>
    <definedName name="Z_022582FA_9605_4A7F_B587_E5659EE41F6B_.wvu.PrintTitles" localSheetId="23" hidden="1">LoaderCost!$A:$C,LoaderCost!$1:$10</definedName>
    <definedName name="Z_022582FA_9605_4A7F_B587_E5659EE41F6B_.wvu.PrintTitles" localSheetId="25" hidden="1">Optimum!$A:$C,Optimum!$1:$10</definedName>
    <definedName name="Z_022582FA_9605_4A7F_B587_E5659EE41F6B_.wvu.PrintTitles" localSheetId="20" hidden="1">Productivity!$A:$C,Productivity!$1:$11</definedName>
    <definedName name="Z_022582FA_9605_4A7F_B587_E5659EE41F6B_.wvu.PrintTitles" localSheetId="21" hidden="1">Time!$A:$C,Time!$1:$11</definedName>
    <definedName name="Z_022582FA_9605_4A7F_B587_E5659EE41F6B_.wvu.PrintTitles" localSheetId="24" hidden="1">TotalCost!$A:$C,TotalCost!$1:$10</definedName>
    <definedName name="Z_022582FA_9605_4A7F_B587_E5659EE41F6B_.wvu.PrintTitles" localSheetId="22" hidden="1">TruckCost!$A:$C,TruckCost!$1:$10</definedName>
    <definedName name="Z_022582FA_9605_4A7F_B587_E5659EE41F6B_.wvu.Rows" localSheetId="10" hidden="1">'11   Scraper'!#REF!</definedName>
    <definedName name="Z_CFF26D3A_8717_40F2_B6BC_9E1EF0EFD095_.wvu.PrintArea" localSheetId="0" hidden="1">'1 General'!$A$1:$C$22</definedName>
    <definedName name="Z_CFF26D3A_8717_40F2_B6BC_9E1EF0EFD095_.wvu.PrintArea" localSheetId="10" hidden="1">'11   Scraper'!$A$1:$Q$5</definedName>
    <definedName name="Z_CFF26D3A_8717_40F2_B6BC_9E1EF0EFD095_.wvu.PrintArea" localSheetId="12" hidden="1">'13   EarthSum'!$B$1:$P$188</definedName>
    <definedName name="Z_CFF26D3A_8717_40F2_B6BC_9E1EF0EFD095_.wvu.PrintArea" localSheetId="13" hidden="1">'14   Reveg'!$A$1:$J$66</definedName>
    <definedName name="Z_CFF26D3A_8717_40F2_B6BC_9E1EF0EFD095_.wvu.PrintArea" localSheetId="14" hidden="1">'15   Other'!$A$1:$M$90</definedName>
    <definedName name="Z_CFF26D3A_8717_40F2_B6BC_9E1EF0EFD095_.wvu.PrintArea" localSheetId="15" hidden="1">'16   Sum'!$A$1:$K$51</definedName>
    <definedName name="Z_CFF26D3A_8717_40F2_B6BC_9E1EF0EFD095_.wvu.PrintArea" localSheetId="1" hidden="1">'2   Demo'!$A$1:$T$3</definedName>
    <definedName name="Z_CFF26D3A_8717_40F2_B6BC_9E1EF0EFD095_.wvu.PrintArea" localSheetId="2" hidden="1">'3   Material'!$A$1:$G$145</definedName>
    <definedName name="Z_CFF26D3A_8717_40F2_B6BC_9E1EF0EFD095_.wvu.PrintArea" localSheetId="3" hidden="1">'4   Earthwork'!$A$1:$I$131</definedName>
    <definedName name="Z_CFF26D3A_8717_40F2_B6BC_9E1EF0EFD095_.wvu.PrintArea" localSheetId="4" hidden="1">'5   Dozer'!$A$1:$R$11</definedName>
    <definedName name="Z_CFF26D3A_8717_40F2_B6BC_9E1EF0EFD095_.wvu.PrintArea" localSheetId="5" hidden="1">'6   Grading'!$A$1:$S$16</definedName>
    <definedName name="Z_CFF26D3A_8717_40F2_B6BC_9E1EF0EFD095_.wvu.PrintArea" localSheetId="6" hidden="1">'7   Ripper'!$A$1:$N$14</definedName>
    <definedName name="Z_CFF26D3A_8717_40F2_B6BC_9E1EF0EFD095_.wvu.PrintArea" localSheetId="7" hidden="1">'8  Excavator'!$A$1:$O$16</definedName>
    <definedName name="Z_CFF26D3A_8717_40F2_B6BC_9E1EF0EFD095_.wvu.PrintArea" localSheetId="8" hidden="1">'9   Trucks'!$A$1:$AN$35</definedName>
    <definedName name="Z_CFF26D3A_8717_40F2_B6BC_9E1EF0EFD095_.wvu.PrintArea" localSheetId="27" hidden="1">Earthwork.xls!$A$1:$E$12</definedName>
    <definedName name="Z_CFF26D3A_8717_40F2_B6BC_9E1EF0EFD095_.wvu.PrintArea" localSheetId="23" hidden="1">LoaderCost!$A$1:$AB$17</definedName>
    <definedName name="Z_CFF26D3A_8717_40F2_B6BC_9E1EF0EFD095_.wvu.PrintArea" localSheetId="25" hidden="1">Optimum!$A$1:$AC$22</definedName>
    <definedName name="Z_CFF26D3A_8717_40F2_B6BC_9E1EF0EFD095_.wvu.PrintArea" localSheetId="20" hidden="1">Productivity!$A$1:$AB$26</definedName>
    <definedName name="Z_CFF26D3A_8717_40F2_B6BC_9E1EF0EFD095_.wvu.PrintArea" localSheetId="21" hidden="1">Time!$A$1:$AB$19</definedName>
    <definedName name="Z_CFF26D3A_8717_40F2_B6BC_9E1EF0EFD095_.wvu.PrintArea" localSheetId="24" hidden="1">TotalCost!$A$1:$AC$22</definedName>
    <definedName name="Z_CFF26D3A_8717_40F2_B6BC_9E1EF0EFD095_.wvu.PrintArea" localSheetId="22" hidden="1">TruckCost!$A$1:$AB$17</definedName>
    <definedName name="Z_CFF26D3A_8717_40F2_B6BC_9E1EF0EFD095_.wvu.PrintTitles" localSheetId="10" hidden="1">'11   Scraper'!$A:$C,'11   Scraper'!#REF!</definedName>
    <definedName name="Z_CFF26D3A_8717_40F2_B6BC_9E1EF0EFD095_.wvu.PrintTitles" localSheetId="12" hidden="1">'13   EarthSum'!$B:$F,'13   EarthSum'!$1:$7</definedName>
    <definedName name="Z_CFF26D3A_8717_40F2_B6BC_9E1EF0EFD095_.wvu.PrintTitles" localSheetId="13" hidden="1">'14   Reveg'!$A:$B,'14   Reveg'!$1:$10</definedName>
    <definedName name="Z_CFF26D3A_8717_40F2_B6BC_9E1EF0EFD095_.wvu.PrintTitles" localSheetId="14" hidden="1">'15   Other'!$A:$A,'15   Other'!$1:$7</definedName>
    <definedName name="Z_CFF26D3A_8717_40F2_B6BC_9E1EF0EFD095_.wvu.PrintTitles" localSheetId="1" hidden="1">'2   Demo'!$A:$A,'2   Demo'!$1:$3</definedName>
    <definedName name="Z_CFF26D3A_8717_40F2_B6BC_9E1EF0EFD095_.wvu.PrintTitles" localSheetId="2" hidden="1">'3   Material'!$1:$8</definedName>
    <definedName name="Z_CFF26D3A_8717_40F2_B6BC_9E1EF0EFD095_.wvu.PrintTitles" localSheetId="3" hidden="1">'4   Earthwork'!$1:$8</definedName>
    <definedName name="Z_CFF26D3A_8717_40F2_B6BC_9E1EF0EFD095_.wvu.PrintTitles" localSheetId="4" hidden="1">'5   Dozer'!$A:$C,'5   Dozer'!$5:$11</definedName>
    <definedName name="Z_CFF26D3A_8717_40F2_B6BC_9E1EF0EFD095_.wvu.PrintTitles" localSheetId="5" hidden="1">'6   Grading'!$A:$C,'6   Grading'!$1:$10</definedName>
    <definedName name="Z_CFF26D3A_8717_40F2_B6BC_9E1EF0EFD095_.wvu.PrintTitles" localSheetId="6" hidden="1">'7   Ripper'!$A:$C,'7   Ripper'!$1:$10</definedName>
    <definedName name="Z_CFF26D3A_8717_40F2_B6BC_9E1EF0EFD095_.wvu.PrintTitles" localSheetId="7" hidden="1">'8  Excavator'!$A:$A,'8  Excavator'!$1:$3</definedName>
    <definedName name="Z_CFF26D3A_8717_40F2_B6BC_9E1EF0EFD095_.wvu.PrintTitles" localSheetId="8" hidden="1">'9   Trucks'!$A:$C,'9   Trucks'!$1:$12</definedName>
    <definedName name="Z_CFF26D3A_8717_40F2_B6BC_9E1EF0EFD095_.wvu.PrintTitles" localSheetId="27" hidden="1">Earthwork.xls!$A:$C,Earthwork.xls!$1:$10</definedName>
    <definedName name="Z_CFF26D3A_8717_40F2_B6BC_9E1EF0EFD095_.wvu.PrintTitles" localSheetId="23" hidden="1">LoaderCost!$A:$C,LoaderCost!$1:$10</definedName>
    <definedName name="Z_CFF26D3A_8717_40F2_B6BC_9E1EF0EFD095_.wvu.PrintTitles" localSheetId="25" hidden="1">Optimum!$A:$C,Optimum!$1:$10</definedName>
    <definedName name="Z_CFF26D3A_8717_40F2_B6BC_9E1EF0EFD095_.wvu.PrintTitles" localSheetId="20" hidden="1">Productivity!$A:$C,Productivity!$1:$11</definedName>
    <definedName name="Z_CFF26D3A_8717_40F2_B6BC_9E1EF0EFD095_.wvu.PrintTitles" localSheetId="21" hidden="1">Time!$A:$C,Time!$1:$11</definedName>
    <definedName name="Z_CFF26D3A_8717_40F2_B6BC_9E1EF0EFD095_.wvu.PrintTitles" localSheetId="24" hidden="1">TotalCost!$A:$C,TotalCost!$1:$10</definedName>
    <definedName name="Z_CFF26D3A_8717_40F2_B6BC_9E1EF0EFD095_.wvu.PrintTitles" localSheetId="22" hidden="1">TruckCost!$A:$C,TruckCost!$1:$10</definedName>
    <definedName name="Z_CFF26D3A_8717_40F2_B6BC_9E1EF0EFD095_.wvu.Rows" localSheetId="10" hidden="1">'11   Scraper'!#REF!</definedName>
    <definedName name="Z_CFF26D3A_8717_40F2_B6BC_9E1EF0EFD095_.wvu.Rows" localSheetId="14" hidden="1">'15   Other'!#REF!,'15   Other'!#REF!</definedName>
  </definedNames>
  <calcPr calcId="145621"/>
</workbook>
</file>

<file path=xl/calcChain.xml><?xml version="1.0" encoding="utf-8"?>
<calcChain xmlns="http://schemas.openxmlformats.org/spreadsheetml/2006/main">
  <c r="F60" i="15" l="1"/>
  <c r="C43" i="15"/>
  <c r="C51" i="15"/>
  <c r="C49" i="15"/>
  <c r="F24" i="15"/>
  <c r="A24" i="15"/>
  <c r="C47" i="15"/>
  <c r="C36" i="15"/>
  <c r="C34" i="15"/>
  <c r="O18" i="13"/>
  <c r="G23" i="4"/>
  <c r="L22" i="13" s="1"/>
  <c r="N105" i="13"/>
  <c r="O13" i="13"/>
  <c r="S13" i="13"/>
  <c r="E43" i="4"/>
  <c r="G43" i="4" s="1"/>
  <c r="E42" i="4"/>
  <c r="G42" i="4" s="1"/>
  <c r="I42" i="4" s="1"/>
  <c r="D42" i="4"/>
  <c r="C14" i="28"/>
  <c r="C15" i="28"/>
  <c r="C16" i="28"/>
  <c r="G21" i="4" l="1"/>
  <c r="I21" i="4" s="1"/>
  <c r="G105" i="4"/>
  <c r="G64" i="4"/>
  <c r="G22" i="4"/>
  <c r="G44" i="4"/>
  <c r="G65" i="4" s="1"/>
  <c r="G104" i="4"/>
  <c r="I104" i="4" s="1"/>
  <c r="G63" i="4"/>
  <c r="I63" i="4" s="1"/>
  <c r="F11" i="18" l="1"/>
  <c r="D46" i="14"/>
  <c r="D32" i="14"/>
  <c r="D19" i="14"/>
  <c r="D20" i="14" s="1"/>
  <c r="D21" i="14" s="1"/>
  <c r="D22" i="14" s="1"/>
  <c r="D23" i="14" s="1"/>
  <c r="D24" i="14" s="1"/>
  <c r="D18" i="14"/>
  <c r="E82" i="4"/>
  <c r="D21" i="3"/>
  <c r="D42" i="3"/>
  <c r="D43" i="3"/>
  <c r="H19" i="10"/>
  <c r="A19" i="10"/>
  <c r="B19" i="10"/>
  <c r="C19" i="10"/>
  <c r="D19" i="10"/>
  <c r="F19" i="10"/>
  <c r="L22" i="9" s="1"/>
  <c r="AF22" i="9" s="1"/>
  <c r="F22" i="9" s="1"/>
  <c r="A22" i="9"/>
  <c r="B22" i="9"/>
  <c r="C22" i="9"/>
  <c r="D22" i="9"/>
  <c r="M22" i="9"/>
  <c r="E64" i="3" s="1"/>
  <c r="U22" i="9"/>
  <c r="V22" i="9"/>
  <c r="W22" i="9"/>
  <c r="X22" i="9"/>
  <c r="Y22" i="9"/>
  <c r="AK22" i="9" s="1"/>
  <c r="Z22" i="9"/>
  <c r="AA22" i="9"/>
  <c r="AB22" i="9"/>
  <c r="AC22" i="9"/>
  <c r="AO22" i="9" s="1"/>
  <c r="AJ22" i="9"/>
  <c r="AL22" i="9"/>
  <c r="AM22" i="9"/>
  <c r="AN22" i="9"/>
  <c r="D23" i="3"/>
  <c r="D22" i="3"/>
  <c r="G11" i="4"/>
  <c r="L10" i="13" s="1"/>
  <c r="G12" i="4"/>
  <c r="G13" i="4"/>
  <c r="L12" i="13" s="1"/>
  <c r="E11" i="3"/>
  <c r="E12" i="3"/>
  <c r="E13" i="3"/>
  <c r="L15" i="5" s="1"/>
  <c r="M15" i="5" s="1"/>
  <c r="F15" i="5" s="1"/>
  <c r="G15" i="5" s="1"/>
  <c r="J12" i="13" s="1"/>
  <c r="P12" i="13" s="1"/>
  <c r="A17" i="28"/>
  <c r="A16" i="28"/>
  <c r="B16" i="28"/>
  <c r="A15" i="28"/>
  <c r="B15" i="28"/>
  <c r="A14" i="28"/>
  <c r="B14" i="28"/>
  <c r="A20" i="26"/>
  <c r="B20" i="26"/>
  <c r="D20" i="26"/>
  <c r="A20" i="25"/>
  <c r="B20" i="25"/>
  <c r="D20" i="25"/>
  <c r="A20" i="24"/>
  <c r="B20" i="24"/>
  <c r="D20" i="24"/>
  <c r="A20" i="23"/>
  <c r="B20" i="23"/>
  <c r="D20" i="23"/>
  <c r="A22" i="22"/>
  <c r="B22" i="22"/>
  <c r="D22" i="22"/>
  <c r="A22" i="21"/>
  <c r="B22" i="21"/>
  <c r="D22" i="21"/>
  <c r="A46" i="15"/>
  <c r="E36" i="15"/>
  <c r="F36" i="15" s="1"/>
  <c r="E35" i="15"/>
  <c r="F35" i="15" s="1"/>
  <c r="E34" i="15"/>
  <c r="F34" i="15" s="1"/>
  <c r="E33" i="15"/>
  <c r="F33" i="15" s="1"/>
  <c r="A32" i="15"/>
  <c r="A41" i="15"/>
  <c r="A19" i="15" s="1"/>
  <c r="A21" i="15" s="1"/>
  <c r="E41" i="15"/>
  <c r="F41" i="15" s="1"/>
  <c r="F21" i="15"/>
  <c r="F19" i="15"/>
  <c r="C103" i="13"/>
  <c r="D103" i="13"/>
  <c r="E103" i="13"/>
  <c r="G103" i="13"/>
  <c r="H103" i="13"/>
  <c r="C80" i="13"/>
  <c r="D80" i="13"/>
  <c r="E80" i="13"/>
  <c r="G80" i="13"/>
  <c r="H80" i="13"/>
  <c r="C57" i="13"/>
  <c r="D57" i="13"/>
  <c r="F57" i="13"/>
  <c r="G57" i="13"/>
  <c r="H57" i="13"/>
  <c r="C21" i="13"/>
  <c r="D21" i="13"/>
  <c r="E21" i="13"/>
  <c r="G21" i="13"/>
  <c r="H21" i="13"/>
  <c r="C12" i="13"/>
  <c r="D12" i="13"/>
  <c r="G12" i="13"/>
  <c r="H12" i="13"/>
  <c r="C10" i="13"/>
  <c r="D10" i="13"/>
  <c r="F10" i="13"/>
  <c r="G10" i="13"/>
  <c r="H10" i="13"/>
  <c r="A33" i="6"/>
  <c r="C33" i="6"/>
  <c r="D33" i="6"/>
  <c r="K33" i="6"/>
  <c r="P33" i="6"/>
  <c r="Q33" i="6"/>
  <c r="R33" i="6"/>
  <c r="S33" i="6"/>
  <c r="W33" i="6"/>
  <c r="A24" i="5"/>
  <c r="B24" i="5"/>
  <c r="D24" i="5"/>
  <c r="A15" i="5"/>
  <c r="C15" i="5"/>
  <c r="F12" i="13" s="1"/>
  <c r="D15" i="5"/>
  <c r="I15" i="5"/>
  <c r="A13" i="5"/>
  <c r="C13" i="5"/>
  <c r="D13" i="5"/>
  <c r="I13" i="5"/>
  <c r="L13" i="5"/>
  <c r="M13" i="5" s="1"/>
  <c r="F13" i="5" s="1"/>
  <c r="G13" i="5" s="1"/>
  <c r="J10" i="13" s="1"/>
  <c r="K10" i="13" s="1"/>
  <c r="A105" i="4"/>
  <c r="B105" i="4"/>
  <c r="D105" i="4"/>
  <c r="A64" i="4"/>
  <c r="B64" i="4"/>
  <c r="C64" i="4"/>
  <c r="A43" i="4"/>
  <c r="B43" i="4"/>
  <c r="C43" i="4"/>
  <c r="A22" i="4"/>
  <c r="B22" i="4"/>
  <c r="C22" i="4"/>
  <c r="D22" i="4"/>
  <c r="C24" i="5" s="1"/>
  <c r="F21" i="13" s="1"/>
  <c r="A13" i="4"/>
  <c r="B13" i="4"/>
  <c r="C13" i="4"/>
  <c r="B15" i="5" s="1"/>
  <c r="E12" i="13" s="1"/>
  <c r="A11" i="4"/>
  <c r="B11" i="4"/>
  <c r="C11" i="4"/>
  <c r="B13" i="5" s="1"/>
  <c r="E10" i="13" s="1"/>
  <c r="C64" i="3"/>
  <c r="D35" i="3"/>
  <c r="D34" i="3"/>
  <c r="D55" i="3" s="1"/>
  <c r="D36" i="3"/>
  <c r="D37" i="3"/>
  <c r="D38" i="3"/>
  <c r="D52" i="3"/>
  <c r="D54" i="3"/>
  <c r="D45" i="3"/>
  <c r="D64" i="3"/>
  <c r="C105" i="3" s="1"/>
  <c r="C105" i="4" s="1"/>
  <c r="B33" i="6" s="1"/>
  <c r="E57" i="13" s="1"/>
  <c r="D41" i="3"/>
  <c r="D40" i="3"/>
  <c r="C43" i="3"/>
  <c r="D44" i="3"/>
  <c r="F63" i="15" l="1"/>
  <c r="F74" i="15" s="1"/>
  <c r="F66" i="15"/>
  <c r="H33" i="6"/>
  <c r="S10" i="13"/>
  <c r="AE22" i="9"/>
  <c r="AD22" i="9"/>
  <c r="O22" i="21"/>
  <c r="D43" i="4"/>
  <c r="B18" i="14"/>
  <c r="B17" i="28"/>
  <c r="N10" i="13"/>
  <c r="O10" i="13" s="1"/>
  <c r="P10" i="13"/>
  <c r="T10" i="13" s="1"/>
  <c r="I11" i="4"/>
  <c r="E13" i="5" s="1"/>
  <c r="K12" i="13"/>
  <c r="I13" i="4"/>
  <c r="E15" i="5" s="1"/>
  <c r="A33" i="15"/>
  <c r="A35" i="15" s="1"/>
  <c r="T12" i="13" l="1"/>
  <c r="N12" i="13"/>
  <c r="O12" i="13" s="1"/>
  <c r="S12" i="13" s="1"/>
  <c r="H22" i="21"/>
  <c r="P22" i="21"/>
  <c r="T22" i="21"/>
  <c r="X22" i="21"/>
  <c r="AB22" i="21"/>
  <c r="Q22" i="21"/>
  <c r="Y22" i="21"/>
  <c r="F22" i="21"/>
  <c r="N22" i="21"/>
  <c r="R22" i="21"/>
  <c r="Z22" i="21"/>
  <c r="L22" i="21"/>
  <c r="E22" i="21"/>
  <c r="I22" i="21"/>
  <c r="M22" i="21"/>
  <c r="U22" i="21"/>
  <c r="J22" i="21"/>
  <c r="V22" i="21"/>
  <c r="W22" i="21"/>
  <c r="K22" i="21"/>
  <c r="AA22" i="21"/>
  <c r="G22" i="21"/>
  <c r="S22" i="21"/>
  <c r="D64" i="4"/>
  <c r="F80" i="13"/>
  <c r="A34" i="15"/>
  <c r="A36" i="15" s="1"/>
  <c r="F103" i="13" l="1"/>
  <c r="C22" i="21"/>
  <c r="C20" i="25" l="1"/>
  <c r="C22" i="22"/>
  <c r="C20" i="26"/>
  <c r="C20" i="24"/>
  <c r="C20" i="23"/>
  <c r="D5" i="17" l="1"/>
  <c r="A28" i="18"/>
  <c r="H5" i="17"/>
  <c r="A29" i="18"/>
  <c r="B11" i="18"/>
  <c r="C48" i="15"/>
  <c r="C20" i="3" l="1"/>
  <c r="C21" i="3" s="1"/>
  <c r="C22" i="3" s="1"/>
  <c r="C38" i="13" l="1"/>
  <c r="G38" i="13"/>
  <c r="H38" i="13"/>
  <c r="D14" i="6"/>
  <c r="K14" i="6"/>
  <c r="G14" i="6" s="1"/>
  <c r="E86" i="4"/>
  <c r="F14" i="6" s="1"/>
  <c r="A86" i="4"/>
  <c r="B86" i="4"/>
  <c r="A14" i="6" s="1"/>
  <c r="D38" i="13" s="1"/>
  <c r="D86" i="4"/>
  <c r="C14" i="6" s="1"/>
  <c r="F38" i="13" s="1"/>
  <c r="C86" i="3"/>
  <c r="C86" i="4" s="1"/>
  <c r="B14" i="6" s="1"/>
  <c r="E38" i="13" s="1"/>
  <c r="L38" i="13" l="1"/>
  <c r="I14" i="6"/>
  <c r="J38" i="13" s="1"/>
  <c r="K38" i="13" s="1"/>
  <c r="E14" i="18" s="1"/>
  <c r="E58" i="15"/>
  <c r="F58" i="15" s="1"/>
  <c r="F57" i="15"/>
  <c r="F61" i="15" l="1"/>
  <c r="E8" i="17" s="1"/>
  <c r="N38" i="13"/>
  <c r="I5" i="17" l="1"/>
  <c r="C16" i="18" l="1"/>
  <c r="D16" i="18"/>
  <c r="E16" i="18"/>
  <c r="G16" i="18"/>
  <c r="J13" i="18"/>
  <c r="I13" i="18"/>
  <c r="D14" i="18"/>
  <c r="C14" i="18"/>
  <c r="J11" i="18"/>
  <c r="E11" i="18"/>
  <c r="C11" i="18"/>
  <c r="D56" i="14"/>
  <c r="H11" i="18"/>
  <c r="G11" i="18"/>
  <c r="D11" i="18"/>
  <c r="K5" i="17"/>
  <c r="AO3" i="9"/>
  <c r="AO1" i="9"/>
  <c r="W3" i="9"/>
  <c r="W1" i="9"/>
  <c r="J144" i="13"/>
  <c r="J140" i="13"/>
  <c r="E90" i="4"/>
  <c r="E91" i="4"/>
  <c r="E89" i="4"/>
  <c r="E88" i="4"/>
  <c r="E87" i="4"/>
  <c r="E83" i="4"/>
  <c r="E81" i="4"/>
  <c r="E80" i="4"/>
  <c r="E79" i="4"/>
  <c r="E78" i="4"/>
  <c r="E77" i="4"/>
  <c r="E63" i="15"/>
  <c r="C50" i="15"/>
  <c r="A49" i="15"/>
  <c r="F48" i="15"/>
  <c r="A47" i="15"/>
  <c r="C45" i="15"/>
  <c r="A43" i="15"/>
  <c r="C38" i="15"/>
  <c r="C15" i="15"/>
  <c r="T45" i="6"/>
  <c r="T42" i="6"/>
  <c r="T41" i="6"/>
  <c r="T40" i="6"/>
  <c r="T39" i="6"/>
  <c r="T38" i="6"/>
  <c r="T37" i="6"/>
  <c r="T36" i="6"/>
  <c r="K12" i="6"/>
  <c r="K13" i="6"/>
  <c r="C26" i="18" l="1"/>
  <c r="J22" i="18"/>
  <c r="J24" i="18"/>
  <c r="J23" i="18"/>
  <c r="D137" i="13" l="1"/>
  <c r="N13" i="7"/>
  <c r="N14" i="7"/>
  <c r="N15" i="7"/>
  <c r="N16" i="7"/>
  <c r="N17" i="7"/>
  <c r="N12" i="7"/>
  <c r="M13" i="7"/>
  <c r="M14" i="7"/>
  <c r="M15" i="7"/>
  <c r="M16" i="7"/>
  <c r="M17" i="7"/>
  <c r="M12" i="7"/>
  <c r="L13" i="7"/>
  <c r="L14" i="7"/>
  <c r="L15" i="7"/>
  <c r="L16" i="7"/>
  <c r="L17" i="7"/>
  <c r="L12" i="7"/>
  <c r="K13" i="7"/>
  <c r="K14" i="7"/>
  <c r="K15" i="7"/>
  <c r="K16" i="7"/>
  <c r="K17" i="7"/>
  <c r="K12" i="7"/>
  <c r="J13" i="7"/>
  <c r="J14" i="7"/>
  <c r="J15" i="7"/>
  <c r="J16" i="7"/>
  <c r="J17" i="7"/>
  <c r="J12" i="7"/>
  <c r="C82" i="3"/>
  <c r="C77" i="3" l="1"/>
  <c r="C78" i="3"/>
  <c r="C33" i="3"/>
  <c r="C31" i="3"/>
  <c r="C30" i="3"/>
  <c r="C29" i="3"/>
  <c r="C28" i="3"/>
  <c r="C27" i="3"/>
  <c r="C44" i="3" l="1"/>
  <c r="C17" i="3"/>
  <c r="C38" i="3" s="1"/>
  <c r="C56" i="3"/>
  <c r="C35" i="3"/>
  <c r="C15" i="3"/>
  <c r="C36" i="3" s="1"/>
  <c r="C32" i="3" l="1"/>
  <c r="C25" i="3"/>
  <c r="C26" i="3"/>
  <c r="C34" i="3"/>
  <c r="C41" i="3"/>
  <c r="C24" i="3" l="1"/>
  <c r="C45" i="3" s="1"/>
  <c r="C42" i="3"/>
  <c r="C13" i="28" l="1"/>
  <c r="B13" i="28"/>
  <c r="A13" i="28"/>
  <c r="E3" i="28"/>
  <c r="E1" i="28"/>
  <c r="F10" i="26"/>
  <c r="G10" i="26" s="1"/>
  <c r="H10" i="26" s="1"/>
  <c r="I10" i="26" s="1"/>
  <c r="J10" i="26" s="1"/>
  <c r="K10" i="26" s="1"/>
  <c r="L10" i="26" s="1"/>
  <c r="M10" i="26" s="1"/>
  <c r="N10" i="26" s="1"/>
  <c r="O10" i="26" s="1"/>
  <c r="P10" i="26" s="1"/>
  <c r="Q10" i="26" s="1"/>
  <c r="R10" i="26" s="1"/>
  <c r="S10" i="26" s="1"/>
  <c r="T10" i="26" s="1"/>
  <c r="U10" i="26" s="1"/>
  <c r="V10" i="26" s="1"/>
  <c r="W10" i="26" s="1"/>
  <c r="X10" i="26" s="1"/>
  <c r="Y10" i="26" s="1"/>
  <c r="Z10" i="26" s="1"/>
  <c r="AA10" i="26" s="1"/>
  <c r="AB10" i="26" s="1"/>
  <c r="F10" i="25"/>
  <c r="G10" i="25" s="1"/>
  <c r="H10" i="25" s="1"/>
  <c r="I10" i="25" s="1"/>
  <c r="J10" i="25" s="1"/>
  <c r="K10" i="25" s="1"/>
  <c r="L10" i="25" s="1"/>
  <c r="M10" i="25" s="1"/>
  <c r="N10" i="25" s="1"/>
  <c r="O10" i="25" s="1"/>
  <c r="P10" i="25" s="1"/>
  <c r="Q10" i="25" s="1"/>
  <c r="R10" i="25" s="1"/>
  <c r="S10" i="25" s="1"/>
  <c r="T10" i="25" s="1"/>
  <c r="U10" i="25" s="1"/>
  <c r="V10" i="25" s="1"/>
  <c r="W10" i="25" s="1"/>
  <c r="X10" i="25" s="1"/>
  <c r="Y10" i="25" s="1"/>
  <c r="Z10" i="25" s="1"/>
  <c r="AA10" i="25" s="1"/>
  <c r="AB10" i="25" s="1"/>
  <c r="F10" i="24"/>
  <c r="G10" i="24" s="1"/>
  <c r="H10" i="24" s="1"/>
  <c r="I10" i="24" s="1"/>
  <c r="J10" i="24" s="1"/>
  <c r="K10" i="24" s="1"/>
  <c r="L10" i="24" s="1"/>
  <c r="M10" i="24" s="1"/>
  <c r="N10" i="24" s="1"/>
  <c r="O10" i="24" s="1"/>
  <c r="P10" i="24" s="1"/>
  <c r="Q10" i="24" s="1"/>
  <c r="R10" i="24" s="1"/>
  <c r="S10" i="24" s="1"/>
  <c r="T10" i="24" s="1"/>
  <c r="U10" i="24" s="1"/>
  <c r="V10" i="24" s="1"/>
  <c r="W10" i="24" s="1"/>
  <c r="X10" i="24" s="1"/>
  <c r="Y10" i="24" s="1"/>
  <c r="Z10" i="24" s="1"/>
  <c r="AA10" i="24" s="1"/>
  <c r="AB10" i="24" s="1"/>
  <c r="F10" i="23"/>
  <c r="G10" i="23" s="1"/>
  <c r="H10" i="23" s="1"/>
  <c r="I10" i="23" s="1"/>
  <c r="J10" i="23" s="1"/>
  <c r="K10" i="23" s="1"/>
  <c r="L10" i="23" s="1"/>
  <c r="M10" i="23" s="1"/>
  <c r="N10" i="23" s="1"/>
  <c r="O10" i="23" s="1"/>
  <c r="P10" i="23" s="1"/>
  <c r="Q10" i="23" s="1"/>
  <c r="R10" i="23" s="1"/>
  <c r="S10" i="23" s="1"/>
  <c r="T10" i="23" s="1"/>
  <c r="U10" i="23" s="1"/>
  <c r="V10" i="23" s="1"/>
  <c r="W10" i="23" s="1"/>
  <c r="X10" i="23" s="1"/>
  <c r="Y10" i="23" s="1"/>
  <c r="Z10" i="23" s="1"/>
  <c r="AA10" i="23" s="1"/>
  <c r="AB10" i="23" s="1"/>
  <c r="F11" i="22"/>
  <c r="G11" i="22" s="1"/>
  <c r="H11" i="22" s="1"/>
  <c r="I11" i="22" s="1"/>
  <c r="J11" i="22" s="1"/>
  <c r="K11" i="22" s="1"/>
  <c r="L11" i="22" s="1"/>
  <c r="M11" i="22" s="1"/>
  <c r="N11" i="22" s="1"/>
  <c r="O11" i="22" s="1"/>
  <c r="P11" i="22" s="1"/>
  <c r="Q11" i="22" s="1"/>
  <c r="R11" i="22" s="1"/>
  <c r="S11" i="22" s="1"/>
  <c r="T11" i="22" s="1"/>
  <c r="U11" i="22" s="1"/>
  <c r="V11" i="22" s="1"/>
  <c r="W11" i="22" s="1"/>
  <c r="X11" i="22" s="1"/>
  <c r="Y11" i="22" s="1"/>
  <c r="Z11" i="22" s="1"/>
  <c r="AA11" i="22" s="1"/>
  <c r="AB11" i="22" s="1"/>
  <c r="D34" i="21"/>
  <c r="D33" i="21"/>
  <c r="D32" i="21"/>
  <c r="D31" i="21"/>
  <c r="D30" i="21"/>
  <c r="D29" i="21"/>
  <c r="D28" i="21"/>
  <c r="D27" i="21"/>
  <c r="D25" i="25" s="1"/>
  <c r="D26" i="21"/>
  <c r="D25" i="21"/>
  <c r="D24" i="21"/>
  <c r="D23" i="21"/>
  <c r="D21" i="21"/>
  <c r="D19" i="25" s="1"/>
  <c r="D20" i="21"/>
  <c r="D19" i="21"/>
  <c r="D18" i="21"/>
  <c r="D17" i="21"/>
  <c r="D17" i="22" s="1"/>
  <c r="D16" i="21"/>
  <c r="D14" i="26" s="1"/>
  <c r="D15" i="21"/>
  <c r="D15" i="22" s="1"/>
  <c r="D14" i="21"/>
  <c r="D14" i="22" s="1"/>
  <c r="F11" i="21"/>
  <c r="G11" i="21" s="1"/>
  <c r="H11" i="21" s="1"/>
  <c r="I11" i="21" s="1"/>
  <c r="J11" i="21" s="1"/>
  <c r="J3" i="21"/>
  <c r="P3" i="22" s="1"/>
  <c r="J1" i="21"/>
  <c r="P1" i="22" s="1"/>
  <c r="A30" i="18"/>
  <c r="A31" i="18"/>
  <c r="H7" i="18"/>
  <c r="J3" i="18"/>
  <c r="J1" i="18"/>
  <c r="C16" i="17"/>
  <c r="C15" i="17"/>
  <c r="C14" i="17"/>
  <c r="C13" i="17"/>
  <c r="C12" i="17"/>
  <c r="C11" i="17"/>
  <c r="L5" i="17"/>
  <c r="J7" i="18" s="1"/>
  <c r="I7" i="18"/>
  <c r="M3" i="17"/>
  <c r="M1" i="17"/>
  <c r="C20" i="16"/>
  <c r="C17" i="17" s="1"/>
  <c r="A7" i="16"/>
  <c r="E3" i="16"/>
  <c r="E1" i="16"/>
  <c r="E55" i="15"/>
  <c r="F54" i="15"/>
  <c r="E51" i="15"/>
  <c r="F51" i="15" s="1"/>
  <c r="E50" i="15"/>
  <c r="F50" i="15" s="1"/>
  <c r="F49" i="15"/>
  <c r="E47" i="15"/>
  <c r="E45" i="15"/>
  <c r="E43" i="15"/>
  <c r="E40" i="15"/>
  <c r="C40" i="15"/>
  <c r="E38" i="15"/>
  <c r="E46" i="15"/>
  <c r="F46" i="15" s="1"/>
  <c r="E44" i="15"/>
  <c r="F44" i="15" s="1"/>
  <c r="E42" i="15"/>
  <c r="F42" i="15" s="1"/>
  <c r="E39" i="15"/>
  <c r="F39" i="15" s="1"/>
  <c r="E37" i="15"/>
  <c r="F37" i="15" s="1"/>
  <c r="F26" i="15"/>
  <c r="F25" i="15"/>
  <c r="F23" i="15"/>
  <c r="F22" i="15"/>
  <c r="F20" i="15"/>
  <c r="E32" i="15"/>
  <c r="C32" i="15"/>
  <c r="E31" i="15"/>
  <c r="F31" i="15" s="1"/>
  <c r="E30" i="15"/>
  <c r="C30" i="15"/>
  <c r="E29" i="15"/>
  <c r="F29" i="15" s="1"/>
  <c r="F18" i="15"/>
  <c r="A37" i="15"/>
  <c r="E15" i="15"/>
  <c r="F15" i="15" s="1"/>
  <c r="F62" i="15" s="1"/>
  <c r="K8" i="17" s="1"/>
  <c r="E12" i="15"/>
  <c r="C12" i="15"/>
  <c r="B12" i="15"/>
  <c r="E11" i="15"/>
  <c r="C11" i="15"/>
  <c r="E10" i="15"/>
  <c r="C10" i="15"/>
  <c r="E9" i="15"/>
  <c r="C9" i="15"/>
  <c r="J3" i="15"/>
  <c r="J1" i="15"/>
  <c r="B60" i="14"/>
  <c r="D11" i="14"/>
  <c r="D12" i="14" s="1"/>
  <c r="E3" i="14"/>
  <c r="E1" i="14"/>
  <c r="H159" i="13"/>
  <c r="F159" i="13"/>
  <c r="H158" i="13"/>
  <c r="F158" i="13"/>
  <c r="H157" i="13"/>
  <c r="F157" i="13"/>
  <c r="H156" i="13"/>
  <c r="F156" i="13"/>
  <c r="H155" i="13"/>
  <c r="F155" i="13"/>
  <c r="H154" i="13"/>
  <c r="F154" i="13"/>
  <c r="H138" i="13"/>
  <c r="G138" i="13"/>
  <c r="D138" i="13"/>
  <c r="C138" i="13"/>
  <c r="H137" i="13"/>
  <c r="G137" i="13"/>
  <c r="C137" i="13"/>
  <c r="H136" i="13"/>
  <c r="G136" i="13"/>
  <c r="C136" i="13"/>
  <c r="H135" i="13"/>
  <c r="G135" i="13"/>
  <c r="C135" i="13"/>
  <c r="H134" i="13"/>
  <c r="G134" i="13"/>
  <c r="C134" i="13"/>
  <c r="H133" i="13"/>
  <c r="G133" i="13"/>
  <c r="C133" i="13"/>
  <c r="H132" i="13"/>
  <c r="G132" i="13"/>
  <c r="C132" i="13"/>
  <c r="H131" i="13"/>
  <c r="G131" i="13"/>
  <c r="C131" i="13"/>
  <c r="H130" i="13"/>
  <c r="G130" i="13"/>
  <c r="C130" i="13"/>
  <c r="H129" i="13"/>
  <c r="G129" i="13"/>
  <c r="C129" i="13"/>
  <c r="H128" i="13"/>
  <c r="G128" i="13"/>
  <c r="C128" i="13"/>
  <c r="H127" i="13"/>
  <c r="G127" i="13"/>
  <c r="C127" i="13"/>
  <c r="H124" i="13"/>
  <c r="G124" i="13"/>
  <c r="F124" i="13"/>
  <c r="D124" i="13"/>
  <c r="C124" i="13"/>
  <c r="H123" i="13"/>
  <c r="G123" i="13"/>
  <c r="F123" i="13"/>
  <c r="D123" i="13"/>
  <c r="C123" i="13"/>
  <c r="H122" i="13"/>
  <c r="G122" i="13"/>
  <c r="F122" i="13"/>
  <c r="D122" i="13"/>
  <c r="C122" i="13"/>
  <c r="H121" i="13"/>
  <c r="G121" i="13"/>
  <c r="F121" i="13"/>
  <c r="D121" i="13"/>
  <c r="C121" i="13"/>
  <c r="H120" i="13"/>
  <c r="G120" i="13"/>
  <c r="F120" i="13"/>
  <c r="D120" i="13"/>
  <c r="C120" i="13"/>
  <c r="H119" i="13"/>
  <c r="G119" i="13"/>
  <c r="F119" i="13"/>
  <c r="D119" i="13"/>
  <c r="C119" i="13"/>
  <c r="H118" i="13"/>
  <c r="G118" i="13"/>
  <c r="F118" i="13"/>
  <c r="E118" i="13"/>
  <c r="D118" i="13"/>
  <c r="C118" i="13"/>
  <c r="H115" i="13"/>
  <c r="G115" i="13"/>
  <c r="C115" i="13"/>
  <c r="D32" i="23" s="1"/>
  <c r="H114" i="13"/>
  <c r="G114" i="13"/>
  <c r="C114" i="13"/>
  <c r="D31" i="23" s="1"/>
  <c r="H113" i="13"/>
  <c r="G113" i="13"/>
  <c r="C113" i="13"/>
  <c r="D30" i="23" s="1"/>
  <c r="H112" i="13"/>
  <c r="G112" i="13"/>
  <c r="C112" i="13"/>
  <c r="D29" i="23" s="1"/>
  <c r="H111" i="13"/>
  <c r="G111" i="13"/>
  <c r="C111" i="13"/>
  <c r="D28" i="23" s="1"/>
  <c r="H110" i="13"/>
  <c r="G110" i="13"/>
  <c r="C110" i="13"/>
  <c r="D27" i="23" s="1"/>
  <c r="H109" i="13"/>
  <c r="G109" i="13"/>
  <c r="C109" i="13"/>
  <c r="D26" i="23" s="1"/>
  <c r="H108" i="13"/>
  <c r="G108" i="13"/>
  <c r="C108" i="13"/>
  <c r="D25" i="23" s="1"/>
  <c r="H107" i="13"/>
  <c r="G107" i="13"/>
  <c r="C107" i="13"/>
  <c r="D24" i="23" s="1"/>
  <c r="H106" i="13"/>
  <c r="G106" i="13"/>
  <c r="C106" i="13"/>
  <c r="D23" i="23" s="1"/>
  <c r="H105" i="13"/>
  <c r="G105" i="13"/>
  <c r="C105" i="13"/>
  <c r="D22" i="23" s="1"/>
  <c r="H104" i="13"/>
  <c r="G104" i="13"/>
  <c r="C104" i="13"/>
  <c r="D21" i="23" s="1"/>
  <c r="H102" i="13"/>
  <c r="G102" i="13"/>
  <c r="C102" i="13"/>
  <c r="D19" i="23" s="1"/>
  <c r="H101" i="13"/>
  <c r="G101" i="13"/>
  <c r="C101" i="13"/>
  <c r="D18" i="23" s="1"/>
  <c r="H100" i="13"/>
  <c r="G100" i="13"/>
  <c r="C100" i="13"/>
  <c r="D17" i="23" s="1"/>
  <c r="H99" i="13"/>
  <c r="G99" i="13"/>
  <c r="C99" i="13"/>
  <c r="D16" i="23" s="1"/>
  <c r="H98" i="13"/>
  <c r="G98" i="13"/>
  <c r="C98" i="13"/>
  <c r="D15" i="23" s="1"/>
  <c r="H97" i="13"/>
  <c r="G97" i="13"/>
  <c r="C97" i="13"/>
  <c r="D14" i="23" s="1"/>
  <c r="H96" i="13"/>
  <c r="G96" i="13"/>
  <c r="C96" i="13"/>
  <c r="D13" i="23" s="1"/>
  <c r="H95" i="13"/>
  <c r="G95" i="13"/>
  <c r="C95" i="13"/>
  <c r="D12" i="23" s="1"/>
  <c r="H92" i="13"/>
  <c r="G92" i="13"/>
  <c r="C92" i="13"/>
  <c r="D32" i="24" s="1"/>
  <c r="H91" i="13"/>
  <c r="G91" i="13"/>
  <c r="C91" i="13"/>
  <c r="D31" i="24" s="1"/>
  <c r="H90" i="13"/>
  <c r="G90" i="13"/>
  <c r="C90" i="13"/>
  <c r="D30" i="24" s="1"/>
  <c r="H89" i="13"/>
  <c r="G89" i="13"/>
  <c r="C89" i="13"/>
  <c r="D29" i="24" s="1"/>
  <c r="H88" i="13"/>
  <c r="G88" i="13"/>
  <c r="C88" i="13"/>
  <c r="D28" i="24" s="1"/>
  <c r="H87" i="13"/>
  <c r="G87" i="13"/>
  <c r="C87" i="13"/>
  <c r="D27" i="24" s="1"/>
  <c r="H86" i="13"/>
  <c r="G86" i="13"/>
  <c r="C86" i="13"/>
  <c r="D26" i="24" s="1"/>
  <c r="H85" i="13"/>
  <c r="G85" i="13"/>
  <c r="C85" i="13"/>
  <c r="D25" i="24" s="1"/>
  <c r="H84" i="13"/>
  <c r="G84" i="13"/>
  <c r="C84" i="13"/>
  <c r="D24" i="24" s="1"/>
  <c r="H83" i="13"/>
  <c r="G83" i="13"/>
  <c r="C83" i="13"/>
  <c r="D23" i="24" s="1"/>
  <c r="H82" i="13"/>
  <c r="G82" i="13"/>
  <c r="C82" i="13"/>
  <c r="D22" i="24" s="1"/>
  <c r="H81" i="13"/>
  <c r="G81" i="13"/>
  <c r="C81" i="13"/>
  <c r="D21" i="24" s="1"/>
  <c r="H79" i="13"/>
  <c r="G79" i="13"/>
  <c r="C79" i="13"/>
  <c r="D19" i="24" s="1"/>
  <c r="H78" i="13"/>
  <c r="G78" i="13"/>
  <c r="C78" i="13"/>
  <c r="D18" i="24" s="1"/>
  <c r="H77" i="13"/>
  <c r="G77" i="13"/>
  <c r="C77" i="13"/>
  <c r="D17" i="24" s="1"/>
  <c r="H76" i="13"/>
  <c r="G76" i="13"/>
  <c r="C76" i="13"/>
  <c r="D16" i="24" s="1"/>
  <c r="H75" i="13"/>
  <c r="G75" i="13"/>
  <c r="C75" i="13"/>
  <c r="D15" i="24" s="1"/>
  <c r="H74" i="13"/>
  <c r="G74" i="13"/>
  <c r="C74" i="13"/>
  <c r="D14" i="24" s="1"/>
  <c r="H73" i="13"/>
  <c r="G73" i="13"/>
  <c r="C73" i="13"/>
  <c r="D13" i="24" s="1"/>
  <c r="H72" i="13"/>
  <c r="G72" i="13"/>
  <c r="C72" i="13"/>
  <c r="D12" i="24" s="1"/>
  <c r="T71" i="13"/>
  <c r="T70" i="13"/>
  <c r="H69" i="13"/>
  <c r="G69" i="13"/>
  <c r="C69" i="13"/>
  <c r="H68" i="13"/>
  <c r="G68" i="13"/>
  <c r="C68" i="13"/>
  <c r="H67" i="13"/>
  <c r="G67" i="13"/>
  <c r="C67" i="13"/>
  <c r="H66" i="13"/>
  <c r="G66" i="13"/>
  <c r="C66" i="13"/>
  <c r="H65" i="13"/>
  <c r="G65" i="13"/>
  <c r="C65" i="13"/>
  <c r="H64" i="13"/>
  <c r="G64" i="13"/>
  <c r="C64" i="13"/>
  <c r="H63" i="13"/>
  <c r="G63" i="13"/>
  <c r="C63" i="13"/>
  <c r="H62" i="13"/>
  <c r="G62" i="13"/>
  <c r="C62" i="13"/>
  <c r="H61" i="13"/>
  <c r="G61" i="13"/>
  <c r="C61" i="13"/>
  <c r="H60" i="13"/>
  <c r="G60" i="13"/>
  <c r="C60" i="13"/>
  <c r="H59" i="13"/>
  <c r="G59" i="13"/>
  <c r="C59" i="13"/>
  <c r="H58" i="13"/>
  <c r="G58" i="13"/>
  <c r="C58" i="13"/>
  <c r="H56" i="13"/>
  <c r="G56" i="13"/>
  <c r="C56" i="13"/>
  <c r="H55" i="13"/>
  <c r="G55" i="13"/>
  <c r="C55" i="13"/>
  <c r="H54" i="13"/>
  <c r="G54" i="13"/>
  <c r="C54" i="13"/>
  <c r="H53" i="13"/>
  <c r="G53" i="13"/>
  <c r="C53" i="13"/>
  <c r="H52" i="13"/>
  <c r="G52" i="13"/>
  <c r="C52" i="13"/>
  <c r="H51" i="13"/>
  <c r="G51" i="13"/>
  <c r="C51" i="13"/>
  <c r="H50" i="13"/>
  <c r="G50" i="13"/>
  <c r="C50" i="13"/>
  <c r="H49" i="13"/>
  <c r="G49" i="13"/>
  <c r="C49" i="13"/>
  <c r="H48" i="13"/>
  <c r="G48" i="13"/>
  <c r="C48" i="13"/>
  <c r="H47" i="13"/>
  <c r="G47" i="13"/>
  <c r="C47" i="13"/>
  <c r="H46" i="13"/>
  <c r="G46" i="13"/>
  <c r="C46" i="13"/>
  <c r="H45" i="13"/>
  <c r="G45" i="13"/>
  <c r="C45" i="13"/>
  <c r="T44" i="13"/>
  <c r="S44" i="13"/>
  <c r="H44" i="13"/>
  <c r="G44" i="13"/>
  <c r="C44" i="13"/>
  <c r="H43" i="13"/>
  <c r="G43" i="13"/>
  <c r="C43" i="13"/>
  <c r="H42" i="13"/>
  <c r="G42" i="13"/>
  <c r="C42" i="13"/>
  <c r="H41" i="13"/>
  <c r="G41" i="13"/>
  <c r="C41" i="13"/>
  <c r="T40" i="13"/>
  <c r="S40" i="13"/>
  <c r="H40" i="13"/>
  <c r="G40" i="13"/>
  <c r="C40" i="13"/>
  <c r="H39" i="13"/>
  <c r="G39" i="13"/>
  <c r="C39" i="13"/>
  <c r="H37" i="13"/>
  <c r="G37" i="13"/>
  <c r="C37" i="13"/>
  <c r="H36" i="13"/>
  <c r="G36" i="13"/>
  <c r="C36" i="13"/>
  <c r="T35" i="13"/>
  <c r="S35" i="13"/>
  <c r="T34" i="13"/>
  <c r="S34" i="13"/>
  <c r="H33" i="13"/>
  <c r="G33" i="13"/>
  <c r="H32" i="13"/>
  <c r="G32" i="13"/>
  <c r="H31" i="13"/>
  <c r="G31" i="13"/>
  <c r="H30" i="13"/>
  <c r="G30" i="13"/>
  <c r="H29" i="13"/>
  <c r="G29" i="13"/>
  <c r="H28" i="13"/>
  <c r="G28" i="13"/>
  <c r="H27" i="13"/>
  <c r="G27" i="13"/>
  <c r="H26" i="13"/>
  <c r="G26" i="13"/>
  <c r="H25" i="13"/>
  <c r="G25" i="13"/>
  <c r="H24" i="13"/>
  <c r="G24" i="13"/>
  <c r="H23" i="13"/>
  <c r="G23" i="13"/>
  <c r="H22" i="13"/>
  <c r="G22" i="13"/>
  <c r="H20" i="13"/>
  <c r="G20" i="13"/>
  <c r="H19" i="13"/>
  <c r="G19" i="13"/>
  <c r="H18" i="13"/>
  <c r="G18" i="13"/>
  <c r="H17" i="13"/>
  <c r="G17" i="13"/>
  <c r="H16" i="13"/>
  <c r="G16" i="13"/>
  <c r="H15" i="13"/>
  <c r="G15" i="13"/>
  <c r="H14" i="13"/>
  <c r="G14" i="13"/>
  <c r="H13" i="13"/>
  <c r="G13" i="13"/>
  <c r="H11" i="13"/>
  <c r="G11" i="13"/>
  <c r="H9" i="13"/>
  <c r="G9" i="13"/>
  <c r="N3" i="13"/>
  <c r="N1" i="13"/>
  <c r="G3" i="12"/>
  <c r="G1" i="12"/>
  <c r="H3" i="11"/>
  <c r="H1" i="11"/>
  <c r="F31" i="10"/>
  <c r="H31" i="10" s="1"/>
  <c r="D31" i="10"/>
  <c r="F30" i="10"/>
  <c r="H30" i="10" s="1"/>
  <c r="D30" i="10"/>
  <c r="F29" i="10"/>
  <c r="H29" i="10" s="1"/>
  <c r="D29" i="10"/>
  <c r="F28" i="10"/>
  <c r="H28" i="10" s="1"/>
  <c r="D28" i="10"/>
  <c r="F27" i="10"/>
  <c r="H27" i="10" s="1"/>
  <c r="D27" i="10"/>
  <c r="F26" i="10"/>
  <c r="H26" i="10" s="1"/>
  <c r="D26" i="10"/>
  <c r="F25" i="10"/>
  <c r="H25" i="10" s="1"/>
  <c r="D25" i="10"/>
  <c r="F24" i="10"/>
  <c r="H24" i="10" s="1"/>
  <c r="D24" i="10"/>
  <c r="F23" i="10"/>
  <c r="H23" i="10" s="1"/>
  <c r="D23" i="10"/>
  <c r="F22" i="10"/>
  <c r="H22" i="10" s="1"/>
  <c r="D22" i="10"/>
  <c r="F21" i="10"/>
  <c r="L24" i="9" s="1"/>
  <c r="AF24" i="9" s="1"/>
  <c r="D21" i="10"/>
  <c r="F20" i="10"/>
  <c r="H20" i="10" s="1"/>
  <c r="D20" i="10"/>
  <c r="F18" i="10"/>
  <c r="H18" i="10" s="1"/>
  <c r="D18" i="10"/>
  <c r="F17" i="10"/>
  <c r="L20" i="9" s="1"/>
  <c r="AF20" i="9" s="1"/>
  <c r="D17" i="10"/>
  <c r="F16" i="10"/>
  <c r="L19" i="9" s="1"/>
  <c r="D16" i="10"/>
  <c r="F15" i="10"/>
  <c r="H15" i="10" s="1"/>
  <c r="D15" i="10"/>
  <c r="F14" i="10"/>
  <c r="H14" i="10" s="1"/>
  <c r="D14" i="10"/>
  <c r="F13" i="10"/>
  <c r="H13" i="10" s="1"/>
  <c r="D13" i="10"/>
  <c r="F12" i="10"/>
  <c r="L15" i="9" s="1"/>
  <c r="AF15" i="9" s="1"/>
  <c r="D12" i="10"/>
  <c r="F11" i="10"/>
  <c r="H11" i="10" s="1"/>
  <c r="D11" i="10"/>
  <c r="L3" i="10"/>
  <c r="L1" i="10"/>
  <c r="AC34" i="9"/>
  <c r="AO34" i="9" s="1"/>
  <c r="AB34" i="9"/>
  <c r="AN34" i="9" s="1"/>
  <c r="AA34" i="9"/>
  <c r="AM34" i="9" s="1"/>
  <c r="Z34" i="9"/>
  <c r="AL34" i="9" s="1"/>
  <c r="Y34" i="9"/>
  <c r="AK34" i="9" s="1"/>
  <c r="X34" i="9"/>
  <c r="AJ34" i="9" s="1"/>
  <c r="W34" i="9"/>
  <c r="V34" i="9"/>
  <c r="U34" i="9"/>
  <c r="M34" i="9"/>
  <c r="E76" i="3" s="1"/>
  <c r="D34" i="9"/>
  <c r="AC33" i="9"/>
  <c r="AO33" i="9" s="1"/>
  <c r="AB33" i="9"/>
  <c r="AN33" i="9" s="1"/>
  <c r="AA33" i="9"/>
  <c r="AM33" i="9" s="1"/>
  <c r="Z33" i="9"/>
  <c r="AL33" i="9" s="1"/>
  <c r="Y33" i="9"/>
  <c r="AK33" i="9" s="1"/>
  <c r="X33" i="9"/>
  <c r="AJ33" i="9" s="1"/>
  <c r="W33" i="9"/>
  <c r="V33" i="9"/>
  <c r="U33" i="9"/>
  <c r="M33" i="9"/>
  <c r="E75" i="3" s="1"/>
  <c r="L33" i="9"/>
  <c r="AF33" i="9" s="1"/>
  <c r="D33" i="9"/>
  <c r="AC32" i="9"/>
  <c r="AO32" i="9" s="1"/>
  <c r="AB32" i="9"/>
  <c r="AN32" i="9" s="1"/>
  <c r="AA32" i="9"/>
  <c r="AM32" i="9" s="1"/>
  <c r="Z32" i="9"/>
  <c r="AL32" i="9" s="1"/>
  <c r="Y32" i="9"/>
  <c r="AK32" i="9" s="1"/>
  <c r="X32" i="9"/>
  <c r="AJ32" i="9" s="1"/>
  <c r="W32" i="9"/>
  <c r="V32" i="9"/>
  <c r="U32" i="9"/>
  <c r="M32" i="9"/>
  <c r="E74" i="3" s="1"/>
  <c r="D32" i="9"/>
  <c r="AC31" i="9"/>
  <c r="AO31" i="9" s="1"/>
  <c r="AB31" i="9"/>
  <c r="AN31" i="9" s="1"/>
  <c r="AA31" i="9"/>
  <c r="AM31" i="9" s="1"/>
  <c r="Z31" i="9"/>
  <c r="AL31" i="9" s="1"/>
  <c r="Y31" i="9"/>
  <c r="AK31" i="9" s="1"/>
  <c r="X31" i="9"/>
  <c r="AJ31" i="9" s="1"/>
  <c r="W31" i="9"/>
  <c r="V31" i="9"/>
  <c r="U31" i="9"/>
  <c r="M31" i="9"/>
  <c r="E73" i="3" s="1"/>
  <c r="L31" i="9"/>
  <c r="D31" i="9"/>
  <c r="AC30" i="9"/>
  <c r="AO30" i="9" s="1"/>
  <c r="AB30" i="9"/>
  <c r="AN30" i="9" s="1"/>
  <c r="AA30" i="9"/>
  <c r="AM30" i="9" s="1"/>
  <c r="Z30" i="9"/>
  <c r="AL30" i="9" s="1"/>
  <c r="Y30" i="9"/>
  <c r="AK30" i="9" s="1"/>
  <c r="X30" i="9"/>
  <c r="AJ30" i="9" s="1"/>
  <c r="W30" i="9"/>
  <c r="V30" i="9"/>
  <c r="U30" i="9"/>
  <c r="M30" i="9"/>
  <c r="E72" i="3" s="1"/>
  <c r="D30" i="9"/>
  <c r="AC29" i="9"/>
  <c r="AO29" i="9" s="1"/>
  <c r="AB29" i="9"/>
  <c r="AN29" i="9" s="1"/>
  <c r="AA29" i="9"/>
  <c r="AM29" i="9" s="1"/>
  <c r="Z29" i="9"/>
  <c r="AL29" i="9" s="1"/>
  <c r="Y29" i="9"/>
  <c r="AK29" i="9" s="1"/>
  <c r="X29" i="9"/>
  <c r="AJ29" i="9" s="1"/>
  <c r="W29" i="9"/>
  <c r="V29" i="9"/>
  <c r="U29" i="9"/>
  <c r="M29" i="9"/>
  <c r="E71" i="3" s="1"/>
  <c r="D29" i="9"/>
  <c r="AC28" i="9"/>
  <c r="AO28" i="9" s="1"/>
  <c r="AB28" i="9"/>
  <c r="AN28" i="9" s="1"/>
  <c r="AA28" i="9"/>
  <c r="AM28" i="9" s="1"/>
  <c r="Z28" i="9"/>
  <c r="AL28" i="9" s="1"/>
  <c r="Y28" i="9"/>
  <c r="AK28" i="9" s="1"/>
  <c r="X28" i="9"/>
  <c r="AJ28" i="9" s="1"/>
  <c r="W28" i="9"/>
  <c r="V28" i="9"/>
  <c r="U28" i="9"/>
  <c r="M28" i="9"/>
  <c r="E70" i="3" s="1"/>
  <c r="D28" i="9"/>
  <c r="AC27" i="9"/>
  <c r="AO27" i="9" s="1"/>
  <c r="AB27" i="9"/>
  <c r="AN27" i="9" s="1"/>
  <c r="AA27" i="9"/>
  <c r="AM27" i="9" s="1"/>
  <c r="Z27" i="9"/>
  <c r="AL27" i="9" s="1"/>
  <c r="Y27" i="9"/>
  <c r="AK27" i="9" s="1"/>
  <c r="X27" i="9"/>
  <c r="AJ27" i="9" s="1"/>
  <c r="W27" i="9"/>
  <c r="V27" i="9"/>
  <c r="U27" i="9"/>
  <c r="M27" i="9"/>
  <c r="E69" i="3" s="1"/>
  <c r="L27" i="9"/>
  <c r="D27" i="9"/>
  <c r="AC26" i="9"/>
  <c r="AO26" i="9" s="1"/>
  <c r="AB26" i="9"/>
  <c r="AN26" i="9" s="1"/>
  <c r="AA26" i="9"/>
  <c r="AM26" i="9" s="1"/>
  <c r="Z26" i="9"/>
  <c r="AL26" i="9" s="1"/>
  <c r="Y26" i="9"/>
  <c r="AK26" i="9" s="1"/>
  <c r="X26" i="9"/>
  <c r="AJ26" i="9" s="1"/>
  <c r="W26" i="9"/>
  <c r="V26" i="9"/>
  <c r="U26" i="9"/>
  <c r="M26" i="9"/>
  <c r="E68" i="3" s="1"/>
  <c r="D26" i="9"/>
  <c r="AC25" i="9"/>
  <c r="AO25" i="9" s="1"/>
  <c r="AB25" i="9"/>
  <c r="AN25" i="9" s="1"/>
  <c r="AA25" i="9"/>
  <c r="AM25" i="9" s="1"/>
  <c r="Z25" i="9"/>
  <c r="AL25" i="9" s="1"/>
  <c r="Y25" i="9"/>
  <c r="AK25" i="9" s="1"/>
  <c r="X25" i="9"/>
  <c r="AJ25" i="9" s="1"/>
  <c r="W25" i="9"/>
  <c r="V25" i="9"/>
  <c r="U25" i="9"/>
  <c r="M25" i="9"/>
  <c r="E67" i="3" s="1"/>
  <c r="D25" i="9"/>
  <c r="AC24" i="9"/>
  <c r="AO24" i="9" s="1"/>
  <c r="AB24" i="9"/>
  <c r="AN24" i="9" s="1"/>
  <c r="AA24" i="9"/>
  <c r="AM24" i="9" s="1"/>
  <c r="Z24" i="9"/>
  <c r="AL24" i="9" s="1"/>
  <c r="Y24" i="9"/>
  <c r="AK24" i="9" s="1"/>
  <c r="X24" i="9"/>
  <c r="AJ24" i="9" s="1"/>
  <c r="W24" i="9"/>
  <c r="V24" i="9"/>
  <c r="U24" i="9"/>
  <c r="M24" i="9"/>
  <c r="E66" i="3" s="1"/>
  <c r="D24" i="9"/>
  <c r="AC23" i="9"/>
  <c r="AO23" i="9" s="1"/>
  <c r="AB23" i="9"/>
  <c r="AN23" i="9" s="1"/>
  <c r="AA23" i="9"/>
  <c r="AM23" i="9" s="1"/>
  <c r="Z23" i="9"/>
  <c r="AL23" i="9" s="1"/>
  <c r="Y23" i="9"/>
  <c r="AK23" i="9" s="1"/>
  <c r="X23" i="9"/>
  <c r="AJ23" i="9" s="1"/>
  <c r="W23" i="9"/>
  <c r="V23" i="9"/>
  <c r="U23" i="9"/>
  <c r="M23" i="9"/>
  <c r="E65" i="3" s="1"/>
  <c r="D23" i="9"/>
  <c r="AC21" i="9"/>
  <c r="AO21" i="9" s="1"/>
  <c r="AB21" i="9"/>
  <c r="AN21" i="9" s="1"/>
  <c r="AA21" i="9"/>
  <c r="AM21" i="9" s="1"/>
  <c r="Z21" i="9"/>
  <c r="AL21" i="9" s="1"/>
  <c r="Y21" i="9"/>
  <c r="AK21" i="9" s="1"/>
  <c r="X21" i="9"/>
  <c r="AJ21" i="9" s="1"/>
  <c r="W21" i="9"/>
  <c r="V21" i="9"/>
  <c r="U21" i="9"/>
  <c r="M21" i="9"/>
  <c r="E63" i="3" s="1"/>
  <c r="D21" i="9"/>
  <c r="AC20" i="9"/>
  <c r="AO20" i="9" s="1"/>
  <c r="AB20" i="9"/>
  <c r="AN20" i="9" s="1"/>
  <c r="AA20" i="9"/>
  <c r="AM20" i="9" s="1"/>
  <c r="Z20" i="9"/>
  <c r="AL20" i="9" s="1"/>
  <c r="Y20" i="9"/>
  <c r="AK20" i="9" s="1"/>
  <c r="X20" i="9"/>
  <c r="AJ20" i="9" s="1"/>
  <c r="W20" i="9"/>
  <c r="V20" i="9"/>
  <c r="U20" i="9"/>
  <c r="M20" i="9"/>
  <c r="E62" i="3" s="1"/>
  <c r="D20" i="9"/>
  <c r="AC19" i="9"/>
  <c r="AO19" i="9" s="1"/>
  <c r="AB19" i="9"/>
  <c r="AN19" i="9" s="1"/>
  <c r="AA19" i="9"/>
  <c r="AM19" i="9" s="1"/>
  <c r="Z19" i="9"/>
  <c r="AL19" i="9" s="1"/>
  <c r="Y19" i="9"/>
  <c r="AK19" i="9" s="1"/>
  <c r="X19" i="9"/>
  <c r="AJ19" i="9" s="1"/>
  <c r="W19" i="9"/>
  <c r="V19" i="9"/>
  <c r="U19" i="9"/>
  <c r="M19" i="9"/>
  <c r="E61" i="3" s="1"/>
  <c r="D19" i="9"/>
  <c r="AC18" i="9"/>
  <c r="AO18" i="9" s="1"/>
  <c r="AB18" i="9"/>
  <c r="AN18" i="9" s="1"/>
  <c r="AA18" i="9"/>
  <c r="AM18" i="9" s="1"/>
  <c r="Z18" i="9"/>
  <c r="AL18" i="9" s="1"/>
  <c r="Y18" i="9"/>
  <c r="AK18" i="9" s="1"/>
  <c r="X18" i="9"/>
  <c r="AJ18" i="9" s="1"/>
  <c r="W18" i="9"/>
  <c r="V18" i="9"/>
  <c r="U18" i="9"/>
  <c r="M18" i="9"/>
  <c r="E60" i="3" s="1"/>
  <c r="D18" i="9"/>
  <c r="AC17" i="9"/>
  <c r="AO17" i="9" s="1"/>
  <c r="AB17" i="9"/>
  <c r="AN17" i="9" s="1"/>
  <c r="AA17" i="9"/>
  <c r="AM17" i="9" s="1"/>
  <c r="Z17" i="9"/>
  <c r="AL17" i="9" s="1"/>
  <c r="Y17" i="9"/>
  <c r="AK17" i="9" s="1"/>
  <c r="X17" i="9"/>
  <c r="AJ17" i="9" s="1"/>
  <c r="W17" i="9"/>
  <c r="V17" i="9"/>
  <c r="U17" i="9"/>
  <c r="M17" i="9"/>
  <c r="E59" i="3" s="1"/>
  <c r="D17" i="9"/>
  <c r="AC16" i="9"/>
  <c r="AO16" i="9" s="1"/>
  <c r="AB16" i="9"/>
  <c r="AN16" i="9" s="1"/>
  <c r="AA16" i="9"/>
  <c r="AM16" i="9" s="1"/>
  <c r="Z16" i="9"/>
  <c r="AL16" i="9" s="1"/>
  <c r="Y16" i="9"/>
  <c r="AK16" i="9" s="1"/>
  <c r="X16" i="9"/>
  <c r="AJ16" i="9" s="1"/>
  <c r="W16" i="9"/>
  <c r="V16" i="9"/>
  <c r="U16" i="9"/>
  <c r="M16" i="9"/>
  <c r="E58" i="3" s="1"/>
  <c r="D16" i="9"/>
  <c r="AC15" i="9"/>
  <c r="AO15" i="9" s="1"/>
  <c r="AB15" i="9"/>
  <c r="AN15" i="9" s="1"/>
  <c r="AA15" i="9"/>
  <c r="AM15" i="9" s="1"/>
  <c r="Z15" i="9"/>
  <c r="AL15" i="9" s="1"/>
  <c r="Y15" i="9"/>
  <c r="AK15" i="9" s="1"/>
  <c r="X15" i="9"/>
  <c r="AJ15" i="9" s="1"/>
  <c r="W15" i="9"/>
  <c r="V15" i="9"/>
  <c r="U15" i="9"/>
  <c r="M15" i="9"/>
  <c r="E57" i="3" s="1"/>
  <c r="D15" i="9"/>
  <c r="AC14" i="9"/>
  <c r="AO14" i="9" s="1"/>
  <c r="AB14" i="9"/>
  <c r="AN14" i="9" s="1"/>
  <c r="AA14" i="9"/>
  <c r="AM14" i="9" s="1"/>
  <c r="Z14" i="9"/>
  <c r="AL14" i="9" s="1"/>
  <c r="Y14" i="9"/>
  <c r="AK14" i="9" s="1"/>
  <c r="X14" i="9"/>
  <c r="AJ14" i="9" s="1"/>
  <c r="W14" i="9"/>
  <c r="V14" i="9"/>
  <c r="U14" i="9"/>
  <c r="M14" i="9"/>
  <c r="E56" i="3" s="1"/>
  <c r="D14" i="9"/>
  <c r="J3" i="8"/>
  <c r="J1" i="8"/>
  <c r="Q17" i="7"/>
  <c r="I17" i="7"/>
  <c r="E17" i="7"/>
  <c r="D17" i="7"/>
  <c r="I16" i="7"/>
  <c r="D16" i="7"/>
  <c r="I15" i="7"/>
  <c r="E15" i="7"/>
  <c r="D15" i="7"/>
  <c r="I14" i="7"/>
  <c r="E14" i="7"/>
  <c r="D14" i="7"/>
  <c r="O14" i="7"/>
  <c r="O15" i="7" s="1"/>
  <c r="O16" i="7" s="1"/>
  <c r="Q13" i="7"/>
  <c r="I13" i="7"/>
  <c r="E13" i="7"/>
  <c r="D13" i="7"/>
  <c r="I12" i="7"/>
  <c r="D12" i="7"/>
  <c r="O12" i="7"/>
  <c r="I11" i="7"/>
  <c r="D11" i="7"/>
  <c r="Q3" i="7"/>
  <c r="Q1" i="7"/>
  <c r="W49" i="6"/>
  <c r="S49" i="6"/>
  <c r="R49" i="6"/>
  <c r="Q49" i="6"/>
  <c r="P49" i="6"/>
  <c r="K49" i="6"/>
  <c r="F49" i="6"/>
  <c r="D49" i="6"/>
  <c r="C49" i="6"/>
  <c r="A49" i="6"/>
  <c r="W48" i="6"/>
  <c r="S48" i="6"/>
  <c r="R48" i="6"/>
  <c r="Q48" i="6"/>
  <c r="P48" i="6"/>
  <c r="K48" i="6"/>
  <c r="F48" i="6"/>
  <c r="D48" i="6"/>
  <c r="C48" i="6"/>
  <c r="A48" i="6"/>
  <c r="W47" i="6"/>
  <c r="S47" i="6"/>
  <c r="R47" i="6"/>
  <c r="Q47" i="6"/>
  <c r="P47" i="6"/>
  <c r="K47" i="6"/>
  <c r="F47" i="6"/>
  <c r="D47" i="6"/>
  <c r="C47" i="6"/>
  <c r="A47" i="6"/>
  <c r="W46" i="6"/>
  <c r="S46" i="6"/>
  <c r="R46" i="6"/>
  <c r="Q46" i="6"/>
  <c r="P46" i="6"/>
  <c r="K46" i="6"/>
  <c r="F46" i="6"/>
  <c r="D46" i="6"/>
  <c r="C46" i="6"/>
  <c r="A46" i="6"/>
  <c r="W45" i="6"/>
  <c r="S45" i="6"/>
  <c r="R45" i="6"/>
  <c r="Q45" i="6"/>
  <c r="P45" i="6"/>
  <c r="K45" i="6"/>
  <c r="D45" i="6"/>
  <c r="W44" i="6"/>
  <c r="T44" i="6"/>
  <c r="K44" i="6" s="1"/>
  <c r="S44" i="6"/>
  <c r="R44" i="6"/>
  <c r="Q44" i="6"/>
  <c r="P44" i="6"/>
  <c r="D44" i="6"/>
  <c r="W43" i="6"/>
  <c r="T43" i="6"/>
  <c r="K43" i="6" s="1"/>
  <c r="S43" i="6"/>
  <c r="R43" i="6"/>
  <c r="Q43" i="6"/>
  <c r="P43" i="6"/>
  <c r="D43" i="6"/>
  <c r="W42" i="6"/>
  <c r="K42" i="6"/>
  <c r="S42" i="6"/>
  <c r="R42" i="6"/>
  <c r="Q42" i="6"/>
  <c r="P42" i="6"/>
  <c r="D42" i="6"/>
  <c r="W41" i="6"/>
  <c r="K41" i="6"/>
  <c r="S41" i="6"/>
  <c r="R41" i="6"/>
  <c r="Q41" i="6"/>
  <c r="P41" i="6"/>
  <c r="D41" i="6"/>
  <c r="W40" i="6"/>
  <c r="K40" i="6"/>
  <c r="S40" i="6"/>
  <c r="R40" i="6"/>
  <c r="Q40" i="6"/>
  <c r="P40" i="6"/>
  <c r="D40" i="6"/>
  <c r="W39" i="6"/>
  <c r="K39" i="6"/>
  <c r="S39" i="6"/>
  <c r="R39" i="6"/>
  <c r="Q39" i="6"/>
  <c r="P39" i="6"/>
  <c r="D39" i="6"/>
  <c r="W38" i="6"/>
  <c r="K38" i="6"/>
  <c r="S38" i="6"/>
  <c r="R38" i="6"/>
  <c r="Q38" i="6"/>
  <c r="P38" i="6"/>
  <c r="D38" i="6"/>
  <c r="W37" i="6"/>
  <c r="K37" i="6"/>
  <c r="S37" i="6"/>
  <c r="R37" i="6"/>
  <c r="Q37" i="6"/>
  <c r="P37" i="6"/>
  <c r="D37" i="6"/>
  <c r="W36" i="6"/>
  <c r="K36" i="6"/>
  <c r="S36" i="6"/>
  <c r="R36" i="6"/>
  <c r="Q36" i="6"/>
  <c r="P36" i="6"/>
  <c r="D36" i="6"/>
  <c r="W35" i="6"/>
  <c r="S35" i="6"/>
  <c r="R35" i="6"/>
  <c r="Q35" i="6"/>
  <c r="P35" i="6"/>
  <c r="K35" i="6"/>
  <c r="D35" i="6"/>
  <c r="W34" i="6"/>
  <c r="K34" i="6"/>
  <c r="S34" i="6"/>
  <c r="R34" i="6"/>
  <c r="Q34" i="6"/>
  <c r="P34" i="6"/>
  <c r="D34" i="6"/>
  <c r="W32" i="6"/>
  <c r="K32" i="6"/>
  <c r="S32" i="6"/>
  <c r="R32" i="6"/>
  <c r="Q32" i="6"/>
  <c r="P32" i="6"/>
  <c r="D32" i="6"/>
  <c r="W31" i="6"/>
  <c r="K31" i="6"/>
  <c r="S31" i="6"/>
  <c r="R31" i="6"/>
  <c r="Q31" i="6"/>
  <c r="P31" i="6"/>
  <c r="D31" i="6"/>
  <c r="W30" i="6"/>
  <c r="K30" i="6"/>
  <c r="S30" i="6"/>
  <c r="R30" i="6"/>
  <c r="Q30" i="6"/>
  <c r="P30" i="6"/>
  <c r="D30" i="6"/>
  <c r="W29" i="6"/>
  <c r="K29" i="6"/>
  <c r="S29" i="6"/>
  <c r="R29" i="6"/>
  <c r="Q29" i="6"/>
  <c r="P29" i="6"/>
  <c r="D29" i="6"/>
  <c r="W28" i="6"/>
  <c r="K28" i="6"/>
  <c r="S28" i="6"/>
  <c r="R28" i="6"/>
  <c r="Q28" i="6"/>
  <c r="P28" i="6"/>
  <c r="D28" i="6"/>
  <c r="W27" i="6"/>
  <c r="K27" i="6"/>
  <c r="S27" i="6"/>
  <c r="R27" i="6"/>
  <c r="Q27" i="6"/>
  <c r="P27" i="6"/>
  <c r="D27" i="6"/>
  <c r="W26" i="6"/>
  <c r="K26" i="6"/>
  <c r="S26" i="6"/>
  <c r="R26" i="6"/>
  <c r="Q26" i="6"/>
  <c r="P26" i="6"/>
  <c r="D26" i="6"/>
  <c r="W25" i="6"/>
  <c r="T25" i="6"/>
  <c r="K25" i="6" s="1"/>
  <c r="S25" i="6"/>
  <c r="R25" i="6"/>
  <c r="Q25" i="6"/>
  <c r="P25" i="6"/>
  <c r="D25" i="6"/>
  <c r="V24" i="6"/>
  <c r="S24" i="6"/>
  <c r="R24" i="6"/>
  <c r="Q24" i="6"/>
  <c r="P24" i="6"/>
  <c r="K24" i="6"/>
  <c r="D24" i="6"/>
  <c r="V23" i="6"/>
  <c r="S23" i="6"/>
  <c r="R23" i="6"/>
  <c r="Q23" i="6"/>
  <c r="P23" i="6"/>
  <c r="K23" i="6"/>
  <c r="D23" i="6"/>
  <c r="V22" i="6"/>
  <c r="S22" i="6"/>
  <c r="R22" i="6"/>
  <c r="Q22" i="6"/>
  <c r="P22" i="6"/>
  <c r="K22" i="6"/>
  <c r="D22" i="6"/>
  <c r="V21" i="6"/>
  <c r="S21" i="6"/>
  <c r="R21" i="6"/>
  <c r="Q21" i="6"/>
  <c r="P21" i="6"/>
  <c r="K21" i="6"/>
  <c r="D21" i="6"/>
  <c r="V20" i="6"/>
  <c r="S20" i="6"/>
  <c r="R20" i="6"/>
  <c r="Q20" i="6"/>
  <c r="P20" i="6"/>
  <c r="K20" i="6"/>
  <c r="D20" i="6"/>
  <c r="K19" i="6"/>
  <c r="G19" i="6" s="1"/>
  <c r="D19" i="6"/>
  <c r="K18" i="6"/>
  <c r="G18" i="6" s="1"/>
  <c r="D18" i="6"/>
  <c r="K17" i="6"/>
  <c r="G17" i="6" s="1"/>
  <c r="D17" i="6"/>
  <c r="K16" i="6"/>
  <c r="G16" i="6" s="1"/>
  <c r="D16" i="6"/>
  <c r="K15" i="6"/>
  <c r="G15" i="6" s="1"/>
  <c r="D15" i="6"/>
  <c r="G13" i="6"/>
  <c r="D13" i="6"/>
  <c r="G12" i="6"/>
  <c r="D12" i="6"/>
  <c r="W3" i="6"/>
  <c r="W1" i="6"/>
  <c r="D36" i="5"/>
  <c r="C33" i="13" s="1"/>
  <c r="A36" i="5"/>
  <c r="D33" i="13" s="1"/>
  <c r="D35" i="5"/>
  <c r="C32" i="13" s="1"/>
  <c r="A35" i="5"/>
  <c r="D32" i="13" s="1"/>
  <c r="D34" i="5"/>
  <c r="C31" i="13" s="1"/>
  <c r="A34" i="5"/>
  <c r="D31" i="13" s="1"/>
  <c r="D33" i="5"/>
  <c r="C30" i="13" s="1"/>
  <c r="A33" i="5"/>
  <c r="D30" i="13" s="1"/>
  <c r="D32" i="5"/>
  <c r="C29" i="13" s="1"/>
  <c r="A32" i="5"/>
  <c r="D29" i="13" s="1"/>
  <c r="D31" i="5"/>
  <c r="C28" i="13" s="1"/>
  <c r="A31" i="5"/>
  <c r="D28" i="13" s="1"/>
  <c r="D30" i="5"/>
  <c r="C27" i="13" s="1"/>
  <c r="A30" i="5"/>
  <c r="D27" i="13" s="1"/>
  <c r="D29" i="5"/>
  <c r="C26" i="13" s="1"/>
  <c r="A29" i="5"/>
  <c r="D26" i="13" s="1"/>
  <c r="D28" i="5"/>
  <c r="C25" i="13" s="1"/>
  <c r="A28" i="5"/>
  <c r="D25" i="13" s="1"/>
  <c r="D27" i="5"/>
  <c r="C24" i="13" s="1"/>
  <c r="A27" i="5"/>
  <c r="D24" i="13" s="1"/>
  <c r="D26" i="5"/>
  <c r="C23" i="13" s="1"/>
  <c r="A26" i="5"/>
  <c r="D23" i="13" s="1"/>
  <c r="D25" i="5"/>
  <c r="C22" i="13" s="1"/>
  <c r="A25" i="5"/>
  <c r="D22" i="13" s="1"/>
  <c r="D23" i="5"/>
  <c r="C20" i="13" s="1"/>
  <c r="A23" i="5"/>
  <c r="D20" i="13" s="1"/>
  <c r="D22" i="5"/>
  <c r="C19" i="13" s="1"/>
  <c r="A22" i="5"/>
  <c r="D19" i="13" s="1"/>
  <c r="D21" i="5"/>
  <c r="C18" i="13" s="1"/>
  <c r="A21" i="5"/>
  <c r="D18" i="13" s="1"/>
  <c r="D20" i="5"/>
  <c r="C17" i="13" s="1"/>
  <c r="A20" i="5"/>
  <c r="D17" i="13" s="1"/>
  <c r="D19" i="5"/>
  <c r="C16" i="13" s="1"/>
  <c r="A19" i="5"/>
  <c r="D16" i="13" s="1"/>
  <c r="D18" i="5"/>
  <c r="C15" i="13" s="1"/>
  <c r="A18" i="5"/>
  <c r="D15" i="13" s="1"/>
  <c r="D17" i="5"/>
  <c r="C14" i="13" s="1"/>
  <c r="A17" i="5"/>
  <c r="D14" i="13" s="1"/>
  <c r="D16" i="5"/>
  <c r="C13" i="13" s="1"/>
  <c r="A16" i="5"/>
  <c r="D13" i="13" s="1"/>
  <c r="I14" i="5"/>
  <c r="D14" i="5"/>
  <c r="C11" i="13" s="1"/>
  <c r="C14" i="5"/>
  <c r="F11" i="13" s="1"/>
  <c r="A14" i="5"/>
  <c r="D11" i="13" s="1"/>
  <c r="I12" i="5"/>
  <c r="D12" i="5"/>
  <c r="C9" i="13" s="1"/>
  <c r="C12" i="5"/>
  <c r="F9" i="13" s="1"/>
  <c r="A12" i="5"/>
  <c r="D9" i="13" s="1"/>
  <c r="S3" i="5"/>
  <c r="S1" i="5"/>
  <c r="B119" i="4"/>
  <c r="A119" i="4"/>
  <c r="B118" i="4"/>
  <c r="A118" i="4"/>
  <c r="B49" i="6"/>
  <c r="B48" i="6"/>
  <c r="B47" i="6"/>
  <c r="B46" i="6"/>
  <c r="D117" i="4"/>
  <c r="C45" i="6" s="1"/>
  <c r="F69" i="13" s="1"/>
  <c r="B117" i="4"/>
  <c r="A45" i="6" s="1"/>
  <c r="D69" i="13" s="1"/>
  <c r="A117" i="4"/>
  <c r="D116" i="4"/>
  <c r="C44" i="6" s="1"/>
  <c r="F68" i="13" s="1"/>
  <c r="B116" i="4"/>
  <c r="A44" i="6" s="1"/>
  <c r="D68" i="13" s="1"/>
  <c r="A116" i="4"/>
  <c r="D115" i="4"/>
  <c r="C43" i="6" s="1"/>
  <c r="F67" i="13" s="1"/>
  <c r="B115" i="4"/>
  <c r="A43" i="6" s="1"/>
  <c r="D67" i="13" s="1"/>
  <c r="A115" i="4"/>
  <c r="D114" i="4"/>
  <c r="C42" i="6" s="1"/>
  <c r="F66" i="13" s="1"/>
  <c r="B114" i="4"/>
  <c r="A42" i="6" s="1"/>
  <c r="D66" i="13" s="1"/>
  <c r="A114" i="4"/>
  <c r="D113" i="4"/>
  <c r="C41" i="6" s="1"/>
  <c r="F65" i="13" s="1"/>
  <c r="B113" i="4"/>
  <c r="A41" i="6" s="1"/>
  <c r="D65" i="13" s="1"/>
  <c r="A113" i="4"/>
  <c r="D112" i="4"/>
  <c r="C40" i="6" s="1"/>
  <c r="F64" i="13" s="1"/>
  <c r="B112" i="4"/>
  <c r="A40" i="6" s="1"/>
  <c r="D64" i="13" s="1"/>
  <c r="A112" i="4"/>
  <c r="D111" i="4"/>
  <c r="C39" i="6" s="1"/>
  <c r="F63" i="13" s="1"/>
  <c r="B111" i="4"/>
  <c r="A39" i="6" s="1"/>
  <c r="D63" i="13" s="1"/>
  <c r="A111" i="4"/>
  <c r="D110" i="4"/>
  <c r="C38" i="6" s="1"/>
  <c r="F62" i="13" s="1"/>
  <c r="B110" i="4"/>
  <c r="A38" i="6" s="1"/>
  <c r="D62" i="13" s="1"/>
  <c r="A110" i="4"/>
  <c r="D109" i="4"/>
  <c r="C37" i="6" s="1"/>
  <c r="F61" i="13" s="1"/>
  <c r="B109" i="4"/>
  <c r="A37" i="6" s="1"/>
  <c r="D61" i="13" s="1"/>
  <c r="A109" i="4"/>
  <c r="D108" i="4"/>
  <c r="C36" i="6" s="1"/>
  <c r="F60" i="13" s="1"/>
  <c r="B108" i="4"/>
  <c r="A36" i="6" s="1"/>
  <c r="D60" i="13" s="1"/>
  <c r="A108" i="4"/>
  <c r="D107" i="4"/>
  <c r="C35" i="6" s="1"/>
  <c r="F59" i="13" s="1"/>
  <c r="B107" i="4"/>
  <c r="A35" i="6" s="1"/>
  <c r="D59" i="13" s="1"/>
  <c r="A107" i="4"/>
  <c r="D106" i="4"/>
  <c r="C34" i="6" s="1"/>
  <c r="F58" i="13" s="1"/>
  <c r="B106" i="4"/>
  <c r="A34" i="6" s="1"/>
  <c r="D58" i="13" s="1"/>
  <c r="A106" i="4"/>
  <c r="D104" i="4"/>
  <c r="C32" i="6" s="1"/>
  <c r="F56" i="13" s="1"/>
  <c r="B104" i="4"/>
  <c r="A32" i="6" s="1"/>
  <c r="D56" i="13" s="1"/>
  <c r="A104" i="4"/>
  <c r="D103" i="4"/>
  <c r="C31" i="6" s="1"/>
  <c r="F55" i="13" s="1"/>
  <c r="B103" i="4"/>
  <c r="A31" i="6" s="1"/>
  <c r="D55" i="13" s="1"/>
  <c r="A103" i="4"/>
  <c r="D102" i="4"/>
  <c r="C30" i="6" s="1"/>
  <c r="F54" i="13" s="1"/>
  <c r="B102" i="4"/>
  <c r="A30" i="6" s="1"/>
  <c r="D54" i="13" s="1"/>
  <c r="A102" i="4"/>
  <c r="D101" i="4"/>
  <c r="C29" i="6" s="1"/>
  <c r="F53" i="13" s="1"/>
  <c r="B101" i="4"/>
  <c r="A29" i="6" s="1"/>
  <c r="D53" i="13" s="1"/>
  <c r="A101" i="4"/>
  <c r="D100" i="4"/>
  <c r="C28" i="6" s="1"/>
  <c r="F52" i="13" s="1"/>
  <c r="B100" i="4"/>
  <c r="A28" i="6" s="1"/>
  <c r="D52" i="13" s="1"/>
  <c r="A100" i="4"/>
  <c r="D99" i="4"/>
  <c r="C27" i="6" s="1"/>
  <c r="F51" i="13" s="1"/>
  <c r="B99" i="4"/>
  <c r="A27" i="6" s="1"/>
  <c r="D51" i="13" s="1"/>
  <c r="A99" i="4"/>
  <c r="D98" i="4"/>
  <c r="C26" i="6" s="1"/>
  <c r="F50" i="13" s="1"/>
  <c r="B98" i="4"/>
  <c r="A26" i="6" s="1"/>
  <c r="D50" i="13" s="1"/>
  <c r="A98" i="4"/>
  <c r="D97" i="4"/>
  <c r="C25" i="6" s="1"/>
  <c r="F49" i="13" s="1"/>
  <c r="B97" i="4"/>
  <c r="A25" i="6" s="1"/>
  <c r="D49" i="13" s="1"/>
  <c r="A97" i="4"/>
  <c r="E96" i="4"/>
  <c r="F24" i="6" s="1"/>
  <c r="L48" i="13" s="1"/>
  <c r="D96" i="4"/>
  <c r="C24" i="6" s="1"/>
  <c r="F48" i="13" s="1"/>
  <c r="B96" i="4"/>
  <c r="A24" i="6" s="1"/>
  <c r="D48" i="13" s="1"/>
  <c r="A96" i="4"/>
  <c r="E95" i="4"/>
  <c r="F23" i="6" s="1"/>
  <c r="D95" i="4"/>
  <c r="C23" i="6" s="1"/>
  <c r="F47" i="13" s="1"/>
  <c r="B95" i="4"/>
  <c r="A23" i="6" s="1"/>
  <c r="D47" i="13" s="1"/>
  <c r="A95" i="4"/>
  <c r="E94" i="4"/>
  <c r="F22" i="6" s="1"/>
  <c r="L46" i="13" s="1"/>
  <c r="D94" i="4"/>
  <c r="C22" i="6" s="1"/>
  <c r="F46" i="13" s="1"/>
  <c r="B94" i="4"/>
  <c r="A22" i="6" s="1"/>
  <c r="D46" i="13" s="1"/>
  <c r="A94" i="4"/>
  <c r="E93" i="4"/>
  <c r="F21" i="6" s="1"/>
  <c r="L45" i="13" s="1"/>
  <c r="D93" i="4"/>
  <c r="C21" i="6" s="1"/>
  <c r="F45" i="13" s="1"/>
  <c r="B93" i="4"/>
  <c r="A21" i="6" s="1"/>
  <c r="D45" i="13" s="1"/>
  <c r="A93" i="4"/>
  <c r="E92" i="4"/>
  <c r="F20" i="6" s="1"/>
  <c r="L44" i="13" s="1"/>
  <c r="D92" i="4"/>
  <c r="C20" i="6" s="1"/>
  <c r="F44" i="13" s="1"/>
  <c r="B92" i="4"/>
  <c r="A20" i="6" s="1"/>
  <c r="D44" i="13" s="1"/>
  <c r="A92" i="4"/>
  <c r="F19" i="6"/>
  <c r="L43" i="13" s="1"/>
  <c r="D91" i="4"/>
  <c r="C19" i="6" s="1"/>
  <c r="F43" i="13" s="1"/>
  <c r="B91" i="4"/>
  <c r="A19" i="6" s="1"/>
  <c r="D43" i="13" s="1"/>
  <c r="A91" i="4"/>
  <c r="F18" i="6"/>
  <c r="L42" i="13" s="1"/>
  <c r="D90" i="4"/>
  <c r="C18" i="6" s="1"/>
  <c r="F42" i="13" s="1"/>
  <c r="B90" i="4"/>
  <c r="A18" i="6" s="1"/>
  <c r="D42" i="13" s="1"/>
  <c r="A90" i="4"/>
  <c r="F17" i="6"/>
  <c r="L41" i="13" s="1"/>
  <c r="D89" i="4"/>
  <c r="C17" i="6" s="1"/>
  <c r="F41" i="13" s="1"/>
  <c r="B89" i="4"/>
  <c r="A17" i="6" s="1"/>
  <c r="D41" i="13" s="1"/>
  <c r="A89" i="4"/>
  <c r="F16" i="6"/>
  <c r="L40" i="13" s="1"/>
  <c r="D88" i="4"/>
  <c r="C16" i="6" s="1"/>
  <c r="F40" i="13" s="1"/>
  <c r="B88" i="4"/>
  <c r="A16" i="6" s="1"/>
  <c r="D40" i="13" s="1"/>
  <c r="A88" i="4"/>
  <c r="F15" i="6"/>
  <c r="D87" i="4"/>
  <c r="C15" i="6" s="1"/>
  <c r="F39" i="13" s="1"/>
  <c r="B87" i="4"/>
  <c r="A15" i="6" s="1"/>
  <c r="D39" i="13" s="1"/>
  <c r="A87" i="4"/>
  <c r="E85" i="4"/>
  <c r="F13" i="6" s="1"/>
  <c r="L37" i="13" s="1"/>
  <c r="D85" i="4"/>
  <c r="C13" i="6" s="1"/>
  <c r="F37" i="13" s="1"/>
  <c r="B85" i="4"/>
  <c r="A13" i="6" s="1"/>
  <c r="D37" i="13" s="1"/>
  <c r="A85" i="4"/>
  <c r="E84" i="4"/>
  <c r="F12" i="6" s="1"/>
  <c r="L36" i="13" s="1"/>
  <c r="D84" i="4"/>
  <c r="C12" i="6" s="1"/>
  <c r="F36" i="13" s="1"/>
  <c r="C84" i="4"/>
  <c r="B12" i="6" s="1"/>
  <c r="E36" i="13" s="1"/>
  <c r="B84" i="4"/>
  <c r="A12" i="6" s="1"/>
  <c r="D36" i="13" s="1"/>
  <c r="A84" i="4"/>
  <c r="D83" i="4"/>
  <c r="C17" i="7" s="1"/>
  <c r="B83" i="4"/>
  <c r="A17" i="7" s="1"/>
  <c r="A83" i="4"/>
  <c r="E16" i="7"/>
  <c r="F16" i="7" s="1"/>
  <c r="L123" i="13" s="1"/>
  <c r="D82" i="4"/>
  <c r="C16" i="7" s="1"/>
  <c r="B82" i="4"/>
  <c r="A16" i="7" s="1"/>
  <c r="A82" i="4"/>
  <c r="D81" i="4"/>
  <c r="C15" i="7" s="1"/>
  <c r="B81" i="4"/>
  <c r="A15" i="7" s="1"/>
  <c r="A81" i="4"/>
  <c r="D80" i="4"/>
  <c r="C14" i="7" s="1"/>
  <c r="B80" i="4"/>
  <c r="A14" i="7" s="1"/>
  <c r="A80" i="4"/>
  <c r="D79" i="4"/>
  <c r="C13" i="7" s="1"/>
  <c r="B79" i="4"/>
  <c r="A13" i="7" s="1"/>
  <c r="A79" i="4"/>
  <c r="E12" i="7"/>
  <c r="F12" i="7" s="1"/>
  <c r="L119" i="13" s="1"/>
  <c r="D78" i="4"/>
  <c r="C12" i="7" s="1"/>
  <c r="B78" i="4"/>
  <c r="A12" i="7" s="1"/>
  <c r="A78" i="4"/>
  <c r="E11" i="7"/>
  <c r="F11" i="7" s="1"/>
  <c r="L118" i="13" s="1"/>
  <c r="D77" i="4"/>
  <c r="C11" i="7" s="1"/>
  <c r="B77" i="4"/>
  <c r="A11" i="7" s="1"/>
  <c r="A77" i="4"/>
  <c r="B76" i="4"/>
  <c r="A76" i="4"/>
  <c r="B75" i="4"/>
  <c r="A33" i="21" s="1"/>
  <c r="A31" i="23" s="1"/>
  <c r="A75" i="4"/>
  <c r="B74" i="4"/>
  <c r="A32" i="21" s="1"/>
  <c r="A74" i="4"/>
  <c r="B73" i="4"/>
  <c r="A31" i="9" s="1"/>
  <c r="D112" i="13" s="1"/>
  <c r="A73" i="4"/>
  <c r="B72" i="4"/>
  <c r="A72" i="4"/>
  <c r="B71" i="4"/>
  <c r="A71" i="4"/>
  <c r="B70" i="4"/>
  <c r="A28" i="21" s="1"/>
  <c r="A70" i="4"/>
  <c r="B69" i="4"/>
  <c r="A69" i="4"/>
  <c r="B68" i="4"/>
  <c r="A68" i="4"/>
  <c r="B67" i="4"/>
  <c r="A25" i="21" s="1"/>
  <c r="A67" i="4"/>
  <c r="B66" i="4"/>
  <c r="A66" i="4"/>
  <c r="B65" i="4"/>
  <c r="A23" i="21" s="1"/>
  <c r="A65" i="4"/>
  <c r="B63" i="4"/>
  <c r="A21" i="9" s="1"/>
  <c r="D102" i="13" s="1"/>
  <c r="A63" i="4"/>
  <c r="B62" i="4"/>
  <c r="A62" i="4"/>
  <c r="B61" i="4"/>
  <c r="A19" i="9" s="1"/>
  <c r="D100" i="13" s="1"/>
  <c r="A61" i="4"/>
  <c r="B60" i="4"/>
  <c r="A60" i="4"/>
  <c r="B59" i="4"/>
  <c r="A17" i="21" s="1"/>
  <c r="A59" i="4"/>
  <c r="B58" i="4"/>
  <c r="A16" i="9" s="1"/>
  <c r="D97" i="13" s="1"/>
  <c r="A58" i="4"/>
  <c r="B57" i="4"/>
  <c r="A57" i="4"/>
  <c r="B56" i="4"/>
  <c r="A14" i="21" s="1"/>
  <c r="A12" i="23" s="1"/>
  <c r="A56" i="4"/>
  <c r="E55" i="4"/>
  <c r="B55" i="4"/>
  <c r="A31" i="10" s="1"/>
  <c r="D92" i="13" s="1"/>
  <c r="A55" i="4"/>
  <c r="E54" i="4"/>
  <c r="B54" i="4"/>
  <c r="A30" i="10" s="1"/>
  <c r="D91" i="13" s="1"/>
  <c r="A54" i="4"/>
  <c r="E53" i="4"/>
  <c r="B53" i="4"/>
  <c r="A29" i="10" s="1"/>
  <c r="D90" i="13" s="1"/>
  <c r="A53" i="4"/>
  <c r="E52" i="4"/>
  <c r="B52" i="4"/>
  <c r="A28" i="10" s="1"/>
  <c r="D89" i="13" s="1"/>
  <c r="A52" i="4"/>
  <c r="E51" i="4"/>
  <c r="B51" i="4"/>
  <c r="A27" i="10" s="1"/>
  <c r="D88" i="13" s="1"/>
  <c r="A51" i="4"/>
  <c r="E50" i="4"/>
  <c r="B50" i="4"/>
  <c r="A26" i="10" s="1"/>
  <c r="D87" i="13" s="1"/>
  <c r="A50" i="4"/>
  <c r="E49" i="4"/>
  <c r="B49" i="4"/>
  <c r="A25" i="10" s="1"/>
  <c r="D86" i="13" s="1"/>
  <c r="A49" i="4"/>
  <c r="E48" i="4"/>
  <c r="B48" i="4"/>
  <c r="A24" i="10" s="1"/>
  <c r="D85" i="13" s="1"/>
  <c r="A48" i="4"/>
  <c r="E47" i="4"/>
  <c r="B47" i="4"/>
  <c r="A23" i="10" s="1"/>
  <c r="D84" i="13" s="1"/>
  <c r="A47" i="4"/>
  <c r="E46" i="4"/>
  <c r="B46" i="4"/>
  <c r="A22" i="10" s="1"/>
  <c r="D83" i="13" s="1"/>
  <c r="A46" i="4"/>
  <c r="E45" i="4"/>
  <c r="B45" i="4"/>
  <c r="A21" i="10" s="1"/>
  <c r="D82" i="13" s="1"/>
  <c r="A45" i="4"/>
  <c r="C44" i="4"/>
  <c r="B20" i="10" s="1"/>
  <c r="B44" i="4"/>
  <c r="A20" i="10" s="1"/>
  <c r="D81" i="13" s="1"/>
  <c r="A44" i="4"/>
  <c r="B42" i="4"/>
  <c r="A18" i="10" s="1"/>
  <c r="D79" i="13" s="1"/>
  <c r="A42" i="4"/>
  <c r="E41" i="4"/>
  <c r="B41" i="4"/>
  <c r="A17" i="10" s="1"/>
  <c r="D78" i="13" s="1"/>
  <c r="A41" i="4"/>
  <c r="E40" i="4"/>
  <c r="B40" i="4"/>
  <c r="A16" i="10" s="1"/>
  <c r="D77" i="13" s="1"/>
  <c r="A40" i="4"/>
  <c r="E39" i="4"/>
  <c r="B39" i="4"/>
  <c r="A15" i="10" s="1"/>
  <c r="D76" i="13" s="1"/>
  <c r="A39" i="4"/>
  <c r="E38" i="4"/>
  <c r="B38" i="4"/>
  <c r="A14" i="10" s="1"/>
  <c r="D75" i="13" s="1"/>
  <c r="A38" i="4"/>
  <c r="E37" i="4"/>
  <c r="B37" i="4"/>
  <c r="A13" i="10" s="1"/>
  <c r="D74" i="13" s="1"/>
  <c r="A37" i="4"/>
  <c r="E36" i="4"/>
  <c r="B36" i="4"/>
  <c r="A12" i="10" s="1"/>
  <c r="D73" i="13" s="1"/>
  <c r="A36" i="4"/>
  <c r="E35" i="4"/>
  <c r="B35" i="4"/>
  <c r="A11" i="10" s="1"/>
  <c r="D72" i="13" s="1"/>
  <c r="A35" i="4"/>
  <c r="C34" i="4"/>
  <c r="B36" i="5" s="1"/>
  <c r="E33" i="13" s="1"/>
  <c r="B34" i="4"/>
  <c r="A34" i="4"/>
  <c r="B33" i="4"/>
  <c r="A33" i="4"/>
  <c r="C32" i="4"/>
  <c r="B34" i="5" s="1"/>
  <c r="E31" i="13" s="1"/>
  <c r="B32" i="4"/>
  <c r="A32" i="4"/>
  <c r="B31" i="4"/>
  <c r="A31" i="4"/>
  <c r="C30" i="4"/>
  <c r="B32" i="5" s="1"/>
  <c r="E29" i="13" s="1"/>
  <c r="B30" i="4"/>
  <c r="A30" i="4"/>
  <c r="B29" i="4"/>
  <c r="A29" i="4"/>
  <c r="C28" i="4"/>
  <c r="B30" i="5" s="1"/>
  <c r="E27" i="13" s="1"/>
  <c r="B28" i="4"/>
  <c r="A28" i="4"/>
  <c r="B27" i="4"/>
  <c r="A27" i="4"/>
  <c r="C26" i="4"/>
  <c r="B28" i="5" s="1"/>
  <c r="E25" i="13" s="1"/>
  <c r="B26" i="4"/>
  <c r="A26" i="4"/>
  <c r="B25" i="4"/>
  <c r="A25" i="4"/>
  <c r="D24" i="4"/>
  <c r="C26" i="5" s="1"/>
  <c r="F23" i="13" s="1"/>
  <c r="C24" i="4"/>
  <c r="B26" i="5" s="1"/>
  <c r="E23" i="13" s="1"/>
  <c r="B24" i="4"/>
  <c r="A24" i="4"/>
  <c r="D23" i="4"/>
  <c r="C25" i="5" s="1"/>
  <c r="F22" i="13" s="1"/>
  <c r="C23" i="4"/>
  <c r="B25" i="5" s="1"/>
  <c r="E22" i="13" s="1"/>
  <c r="B23" i="4"/>
  <c r="A23" i="4"/>
  <c r="B21" i="4"/>
  <c r="A21" i="4"/>
  <c r="D20" i="4"/>
  <c r="C22" i="5" s="1"/>
  <c r="F19" i="13" s="1"/>
  <c r="C20" i="4"/>
  <c r="B22" i="5" s="1"/>
  <c r="E19" i="13" s="1"/>
  <c r="B20" i="4"/>
  <c r="A20" i="4"/>
  <c r="B19" i="4"/>
  <c r="A19" i="4"/>
  <c r="D18" i="4"/>
  <c r="C20" i="5" s="1"/>
  <c r="F17" i="13" s="1"/>
  <c r="B18" i="4"/>
  <c r="A18" i="4"/>
  <c r="D17" i="4"/>
  <c r="C19" i="5" s="1"/>
  <c r="F16" i="13" s="1"/>
  <c r="C17" i="4"/>
  <c r="B19" i="5" s="1"/>
  <c r="E16" i="13" s="1"/>
  <c r="B17" i="4"/>
  <c r="A17" i="4"/>
  <c r="D16" i="4"/>
  <c r="C18" i="5" s="1"/>
  <c r="F15" i="13" s="1"/>
  <c r="B16" i="4"/>
  <c r="A16" i="4"/>
  <c r="C15" i="4"/>
  <c r="B17" i="5" s="1"/>
  <c r="E14" i="13" s="1"/>
  <c r="B15" i="4"/>
  <c r="A15" i="4"/>
  <c r="B14" i="4"/>
  <c r="A14" i="4"/>
  <c r="L11" i="13"/>
  <c r="C12" i="4"/>
  <c r="B14" i="5" s="1"/>
  <c r="E11" i="13" s="1"/>
  <c r="B12" i="4"/>
  <c r="A12" i="4"/>
  <c r="G10" i="4"/>
  <c r="I10" i="4" s="1"/>
  <c r="E12" i="5" s="1"/>
  <c r="C10" i="4"/>
  <c r="B12" i="5" s="1"/>
  <c r="E9" i="13" s="1"/>
  <c r="D127" i="13" s="1"/>
  <c r="D133" i="13" s="1"/>
  <c r="B10" i="4"/>
  <c r="A10" i="4"/>
  <c r="I3" i="4"/>
  <c r="I1" i="4"/>
  <c r="C101" i="3"/>
  <c r="C101" i="4" s="1"/>
  <c r="B29" i="6" s="1"/>
  <c r="E53" i="13" s="1"/>
  <c r="C100" i="3"/>
  <c r="C100" i="4" s="1"/>
  <c r="B28" i="6" s="1"/>
  <c r="E52" i="13" s="1"/>
  <c r="C99" i="3"/>
  <c r="C99" i="4" s="1"/>
  <c r="B27" i="6" s="1"/>
  <c r="E51" i="13" s="1"/>
  <c r="C85" i="4"/>
  <c r="B13" i="6" s="1"/>
  <c r="E37" i="13" s="1"/>
  <c r="E123" i="13"/>
  <c r="C77" i="4"/>
  <c r="B11" i="7" s="1"/>
  <c r="C71" i="3"/>
  <c r="C71" i="4" s="1"/>
  <c r="C70" i="3"/>
  <c r="C70" i="4" s="1"/>
  <c r="B28" i="21" s="1"/>
  <c r="C68" i="3"/>
  <c r="C68" i="4" s="1"/>
  <c r="C66" i="3"/>
  <c r="C66" i="4" s="1"/>
  <c r="C65" i="3"/>
  <c r="C65" i="4" s="1"/>
  <c r="B23" i="21" s="1"/>
  <c r="C62" i="3"/>
  <c r="C62" i="4" s="1"/>
  <c r="C60" i="3"/>
  <c r="C59" i="3"/>
  <c r="C52" i="3"/>
  <c r="C73" i="3" s="1"/>
  <c r="C73" i="4" s="1"/>
  <c r="C48" i="3"/>
  <c r="C48" i="4" s="1"/>
  <c r="G7" i="18"/>
  <c r="B20" i="14"/>
  <c r="C45" i="4"/>
  <c r="B21" i="10" s="1"/>
  <c r="B19" i="14"/>
  <c r="D62" i="3"/>
  <c r="C103" i="3" s="1"/>
  <c r="C103" i="4" s="1"/>
  <c r="B31" i="6" s="1"/>
  <c r="E55" i="13" s="1"/>
  <c r="C41" i="4"/>
  <c r="B17" i="10" s="1"/>
  <c r="D40" i="4"/>
  <c r="D61" i="4" s="1"/>
  <c r="C40" i="3"/>
  <c r="C40" i="4" s="1"/>
  <c r="D39" i="3"/>
  <c r="D39" i="4" s="1"/>
  <c r="C39" i="3"/>
  <c r="C39" i="4" s="1"/>
  <c r="B15" i="10" s="1"/>
  <c r="D59" i="3"/>
  <c r="C55" i="3"/>
  <c r="C76" i="3" s="1"/>
  <c r="C76" i="4" s="1"/>
  <c r="C116" i="3"/>
  <c r="C116" i="4" s="1"/>
  <c r="B44" i="6" s="1"/>
  <c r="E68" i="13" s="1"/>
  <c r="C33" i="4"/>
  <c r="B35" i="5" s="1"/>
  <c r="E32" i="13" s="1"/>
  <c r="D32" i="3"/>
  <c r="D53" i="3" s="1"/>
  <c r="C53" i="3"/>
  <c r="C53" i="4" s="1"/>
  <c r="B29" i="10" s="1"/>
  <c r="C31" i="4"/>
  <c r="B33" i="5" s="1"/>
  <c r="E30" i="13" s="1"/>
  <c r="D30" i="3"/>
  <c r="C51" i="3"/>
  <c r="C72" i="3" s="1"/>
  <c r="C72" i="4" s="1"/>
  <c r="D29" i="3"/>
  <c r="C29" i="4"/>
  <c r="B31" i="5" s="1"/>
  <c r="E28" i="13" s="1"/>
  <c r="D28" i="3"/>
  <c r="C49" i="3"/>
  <c r="C49" i="4" s="1"/>
  <c r="D27" i="3"/>
  <c r="D48" i="3" s="1"/>
  <c r="D26" i="3"/>
  <c r="C47" i="3"/>
  <c r="C47" i="4" s="1"/>
  <c r="B23" i="10" s="1"/>
  <c r="D25" i="3"/>
  <c r="C25" i="4"/>
  <c r="B27" i="5" s="1"/>
  <c r="E24" i="13" s="1"/>
  <c r="D21" i="4"/>
  <c r="C23" i="5" s="1"/>
  <c r="F20" i="13" s="1"/>
  <c r="C21" i="4"/>
  <c r="B23" i="5" s="1"/>
  <c r="E20" i="13" s="1"/>
  <c r="D19" i="4"/>
  <c r="C21" i="5" s="1"/>
  <c r="F18" i="13" s="1"/>
  <c r="C19" i="4"/>
  <c r="B21" i="5" s="1"/>
  <c r="E18" i="13" s="1"/>
  <c r="C18" i="4"/>
  <c r="B20" i="5" s="1"/>
  <c r="E17" i="13" s="1"/>
  <c r="C38" i="4"/>
  <c r="D15" i="4"/>
  <c r="C17" i="5" s="1"/>
  <c r="F14" i="13" s="1"/>
  <c r="C57" i="3"/>
  <c r="D14" i="3"/>
  <c r="D14" i="4" s="1"/>
  <c r="C16" i="5" s="1"/>
  <c r="F13" i="13" s="1"/>
  <c r="C14" i="4"/>
  <c r="B16" i="5" s="1"/>
  <c r="E13" i="13" s="1"/>
  <c r="L14" i="5"/>
  <c r="M14" i="5" s="1"/>
  <c r="F14" i="5" s="1"/>
  <c r="E10" i="3"/>
  <c r="L12" i="5" s="1"/>
  <c r="M12" i="5" s="1"/>
  <c r="G3" i="3"/>
  <c r="G1" i="3"/>
  <c r="J3" i="2"/>
  <c r="J1" i="2"/>
  <c r="D51" i="3" l="1"/>
  <c r="D51" i="4" s="1"/>
  <c r="D29" i="4"/>
  <c r="C31" i="5" s="1"/>
  <c r="F28" i="13" s="1"/>
  <c r="D50" i="3"/>
  <c r="D25" i="4"/>
  <c r="C27" i="5" s="1"/>
  <c r="F24" i="13" s="1"/>
  <c r="D46" i="3"/>
  <c r="D49" i="3"/>
  <c r="D70" i="3" s="1"/>
  <c r="D47" i="3"/>
  <c r="D47" i="4" s="1"/>
  <c r="B7" i="18"/>
  <c r="F7" i="18"/>
  <c r="K9" i="17"/>
  <c r="K12" i="17" s="1"/>
  <c r="I16" i="18"/>
  <c r="F30" i="15"/>
  <c r="F9" i="15"/>
  <c r="F47" i="15"/>
  <c r="F38" i="15"/>
  <c r="F12" i="15"/>
  <c r="F43" i="15"/>
  <c r="D40" i="14"/>
  <c r="E40" i="14" s="1"/>
  <c r="D13" i="14"/>
  <c r="L1" i="24"/>
  <c r="L3" i="23"/>
  <c r="I15" i="18"/>
  <c r="L30" i="9"/>
  <c r="AF30" i="9" s="1"/>
  <c r="H12" i="10"/>
  <c r="L17" i="9"/>
  <c r="AF17" i="9" s="1"/>
  <c r="L18" i="9"/>
  <c r="AF18" i="9" s="1"/>
  <c r="L25" i="9"/>
  <c r="AF25" i="9" s="1"/>
  <c r="L26" i="9"/>
  <c r="AF26" i="9" s="1"/>
  <c r="L28" i="9"/>
  <c r="AF28" i="9" s="1"/>
  <c r="L29" i="9"/>
  <c r="AF29" i="9" s="1"/>
  <c r="H16" i="10"/>
  <c r="L14" i="9"/>
  <c r="AF14" i="9" s="1"/>
  <c r="L16" i="9"/>
  <c r="AF16" i="9" s="1"/>
  <c r="L21" i="9"/>
  <c r="AF21" i="9" s="1"/>
  <c r="L34" i="9"/>
  <c r="AF34" i="9" s="1"/>
  <c r="L32" i="9"/>
  <c r="AF32" i="9" s="1"/>
  <c r="H17" i="10"/>
  <c r="H21" i="10"/>
  <c r="L23" i="9"/>
  <c r="AF23" i="9" s="1"/>
  <c r="AE31" i="9"/>
  <c r="AD34" i="9"/>
  <c r="AE21" i="9"/>
  <c r="AD20" i="9"/>
  <c r="AE23" i="9"/>
  <c r="AE28" i="9"/>
  <c r="AD28" i="9"/>
  <c r="AD14" i="9"/>
  <c r="AE27" i="9"/>
  <c r="AE32" i="9"/>
  <c r="AE16" i="9"/>
  <c r="AD29" i="9"/>
  <c r="AD25" i="9"/>
  <c r="AD30" i="9"/>
  <c r="AD32" i="9"/>
  <c r="AE17" i="9"/>
  <c r="AE19" i="9"/>
  <c r="AD24" i="9"/>
  <c r="AD15" i="9"/>
  <c r="AD16" i="9"/>
  <c r="AD18" i="9"/>
  <c r="AD23" i="9"/>
  <c r="AD26" i="9"/>
  <c r="Q14" i="7"/>
  <c r="F13" i="7"/>
  <c r="L120" i="13" s="1"/>
  <c r="Q11" i="7"/>
  <c r="P11" i="7" s="1"/>
  <c r="G11" i="7" s="1"/>
  <c r="H11" i="7" s="1"/>
  <c r="J118" i="13" s="1"/>
  <c r="K118" i="13" s="1"/>
  <c r="N118" i="13" s="1"/>
  <c r="Q15" i="7"/>
  <c r="P15" i="7" s="1"/>
  <c r="G15" i="7" s="1"/>
  <c r="H15" i="7" s="1"/>
  <c r="J122" i="13" s="1"/>
  <c r="K122" i="13" s="1"/>
  <c r="F14" i="7"/>
  <c r="L121" i="13" s="1"/>
  <c r="F15" i="7"/>
  <c r="L122" i="13" s="1"/>
  <c r="H32" i="6"/>
  <c r="H40" i="6"/>
  <c r="G46" i="6"/>
  <c r="I15" i="6"/>
  <c r="J39" i="13" s="1"/>
  <c r="K39" i="13" s="1"/>
  <c r="H27" i="6"/>
  <c r="H38" i="6"/>
  <c r="G21" i="6"/>
  <c r="I21" i="6" s="1"/>
  <c r="J45" i="13" s="1"/>
  <c r="K45" i="13" s="1"/>
  <c r="N45" i="13" s="1"/>
  <c r="H44" i="6"/>
  <c r="G20" i="6"/>
  <c r="I20" i="6" s="1"/>
  <c r="J44" i="13" s="1"/>
  <c r="K44" i="13" s="1"/>
  <c r="N44" i="13" s="1"/>
  <c r="G22" i="6"/>
  <c r="I22" i="6" s="1"/>
  <c r="J46" i="13" s="1"/>
  <c r="K46" i="13" s="1"/>
  <c r="N46" i="13" s="1"/>
  <c r="G24" i="6"/>
  <c r="I24" i="6" s="1"/>
  <c r="J48" i="13" s="1"/>
  <c r="K48" i="13" s="1"/>
  <c r="N48" i="13" s="1"/>
  <c r="H29" i="6"/>
  <c r="H36" i="6"/>
  <c r="H42" i="6"/>
  <c r="G47" i="6"/>
  <c r="I47" i="6" s="1"/>
  <c r="H25" i="6"/>
  <c r="H31" i="6"/>
  <c r="G37" i="4"/>
  <c r="I17" i="6"/>
  <c r="J41" i="13" s="1"/>
  <c r="K41" i="13" s="1"/>
  <c r="N41" i="13" s="1"/>
  <c r="I16" i="6"/>
  <c r="J40" i="13" s="1"/>
  <c r="K40" i="13" s="1"/>
  <c r="N40" i="13" s="1"/>
  <c r="I12" i="4"/>
  <c r="E14" i="5" s="1"/>
  <c r="G14" i="5" s="1"/>
  <c r="J11" i="13" s="1"/>
  <c r="K11" i="13" s="1"/>
  <c r="F14" i="18" s="1"/>
  <c r="G54" i="4"/>
  <c r="G47" i="4"/>
  <c r="G52" i="4"/>
  <c r="F17" i="7"/>
  <c r="L124" i="13" s="1"/>
  <c r="G51" i="4"/>
  <c r="G55" i="4"/>
  <c r="G36" i="4"/>
  <c r="G98" i="4" s="1"/>
  <c r="I98" i="4" s="1"/>
  <c r="E26" i="6" s="1"/>
  <c r="L50" i="13" s="1"/>
  <c r="G40" i="4"/>
  <c r="G48" i="4"/>
  <c r="I19" i="6"/>
  <c r="J43" i="13" s="1"/>
  <c r="K43" i="13" s="1"/>
  <c r="N43" i="13" s="1"/>
  <c r="I46" i="6"/>
  <c r="I18" i="6"/>
  <c r="J42" i="13" s="1"/>
  <c r="K42" i="13" s="1"/>
  <c r="N42" i="13" s="1"/>
  <c r="A21" i="21"/>
  <c r="A19" i="24" s="1"/>
  <c r="D16" i="22"/>
  <c r="A16" i="21"/>
  <c r="A14" i="25" s="1"/>
  <c r="C90" i="3"/>
  <c r="C90" i="4" s="1"/>
  <c r="B18" i="6" s="1"/>
  <c r="E42" i="13" s="1"/>
  <c r="A19" i="21"/>
  <c r="A17" i="23" s="1"/>
  <c r="A31" i="21"/>
  <c r="A29" i="25" s="1"/>
  <c r="D66" i="3"/>
  <c r="C107" i="3" s="1"/>
  <c r="C107" i="4" s="1"/>
  <c r="B35" i="6" s="1"/>
  <c r="E59" i="13" s="1"/>
  <c r="C82" i="4"/>
  <c r="B16" i="7" s="1"/>
  <c r="A25" i="9"/>
  <c r="D106" i="13" s="1"/>
  <c r="A33" i="9"/>
  <c r="D114" i="13" s="1"/>
  <c r="A27" i="9"/>
  <c r="D108" i="13" s="1"/>
  <c r="A27" i="21"/>
  <c r="A25" i="23" s="1"/>
  <c r="A29" i="21"/>
  <c r="A27" i="23" s="1"/>
  <c r="A29" i="9"/>
  <c r="D110" i="13" s="1"/>
  <c r="D24" i="22"/>
  <c r="D22" i="26"/>
  <c r="B25" i="10"/>
  <c r="E86" i="13"/>
  <c r="D74" i="3"/>
  <c r="C79" i="3" s="1"/>
  <c r="C115" i="3"/>
  <c r="C115" i="4" s="1"/>
  <c r="B43" i="6" s="1"/>
  <c r="E67" i="13" s="1"/>
  <c r="D32" i="4"/>
  <c r="C34" i="5" s="1"/>
  <c r="F31" i="13" s="1"/>
  <c r="C96" i="3"/>
  <c r="C96" i="4" s="1"/>
  <c r="B24" i="6" s="1"/>
  <c r="E48" i="13" s="1"/>
  <c r="D34" i="4"/>
  <c r="C36" i="5" s="1"/>
  <c r="F33" i="13" s="1"/>
  <c r="A18" i="21"/>
  <c r="A16" i="25" s="1"/>
  <c r="A18" i="9"/>
  <c r="D99" i="13" s="1"/>
  <c r="A14" i="9"/>
  <c r="D95" i="13" s="1"/>
  <c r="A28" i="9"/>
  <c r="D109" i="13" s="1"/>
  <c r="B17" i="14"/>
  <c r="D28" i="4"/>
  <c r="C30" i="5" s="1"/>
  <c r="F27" i="13" s="1"/>
  <c r="C92" i="3"/>
  <c r="C92" i="4" s="1"/>
  <c r="B20" i="6" s="1"/>
  <c r="E44" i="13" s="1"/>
  <c r="C111" i="3"/>
  <c r="C111" i="4" s="1"/>
  <c r="B39" i="6" s="1"/>
  <c r="E63" i="13" s="1"/>
  <c r="D26" i="4"/>
  <c r="C28" i="5" s="1"/>
  <c r="F25" i="13" s="1"/>
  <c r="A17" i="9"/>
  <c r="D98" i="13" s="1"/>
  <c r="D30" i="4"/>
  <c r="C32" i="5" s="1"/>
  <c r="F29" i="13" s="1"/>
  <c r="E109" i="13"/>
  <c r="D45" i="4"/>
  <c r="C21" i="10" s="1"/>
  <c r="E104" i="13"/>
  <c r="E78" i="13"/>
  <c r="D41" i="4"/>
  <c r="C17" i="10" s="1"/>
  <c r="D38" i="4"/>
  <c r="F75" i="13" s="1"/>
  <c r="D128" i="13" s="1"/>
  <c r="D134" i="13" s="1"/>
  <c r="B14" i="14"/>
  <c r="D50" i="14" s="1"/>
  <c r="C97" i="3"/>
  <c r="C97" i="4" s="1"/>
  <c r="B25" i="6" s="1"/>
  <c r="E49" i="13" s="1"/>
  <c r="D35" i="4"/>
  <c r="D56" i="4" s="1"/>
  <c r="C14" i="9" s="1"/>
  <c r="F45" i="15"/>
  <c r="F10" i="15"/>
  <c r="A42" i="15"/>
  <c r="F40" i="15"/>
  <c r="D26" i="18"/>
  <c r="F11" i="15"/>
  <c r="A29" i="15"/>
  <c r="A50" i="15" s="1"/>
  <c r="F32" i="15"/>
  <c r="A51" i="15"/>
  <c r="F55" i="15"/>
  <c r="F65" i="15" s="1"/>
  <c r="L8" i="17" s="1"/>
  <c r="O17" i="7"/>
  <c r="E85" i="13"/>
  <c r="B24" i="10"/>
  <c r="L47" i="13"/>
  <c r="AD17" i="9"/>
  <c r="D69" i="3"/>
  <c r="D48" i="4"/>
  <c r="E77" i="13"/>
  <c r="B16" i="10"/>
  <c r="C61" i="4"/>
  <c r="B31" i="21"/>
  <c r="E112" i="13"/>
  <c r="B31" i="9"/>
  <c r="E110" i="13"/>
  <c r="B29" i="9"/>
  <c r="B29" i="21"/>
  <c r="C19" i="21"/>
  <c r="F100" i="13"/>
  <c r="C19" i="9"/>
  <c r="A21" i="26"/>
  <c r="A21" i="25"/>
  <c r="A23" i="22"/>
  <c r="A21" i="23"/>
  <c r="A21" i="24"/>
  <c r="E12" i="14"/>
  <c r="A30" i="26"/>
  <c r="A30" i="25"/>
  <c r="A30" i="24"/>
  <c r="A32" i="22"/>
  <c r="A30" i="23"/>
  <c r="AD33" i="9"/>
  <c r="C16" i="4"/>
  <c r="B18" i="5" s="1"/>
  <c r="E15" i="13" s="1"/>
  <c r="C58" i="3"/>
  <c r="D31" i="4"/>
  <c r="C33" i="5" s="1"/>
  <c r="F30" i="13" s="1"/>
  <c r="C114" i="3"/>
  <c r="C114" i="4" s="1"/>
  <c r="B42" i="6" s="1"/>
  <c r="E66" i="13" s="1"/>
  <c r="C112" i="3"/>
  <c r="C112" i="4" s="1"/>
  <c r="B40" i="6" s="1"/>
  <c r="E64" i="13" s="1"/>
  <c r="I13" i="6"/>
  <c r="J37" i="13" s="1"/>
  <c r="K37" i="13" s="1"/>
  <c r="N37" i="13" s="1"/>
  <c r="AE25" i="9"/>
  <c r="AF27" i="9"/>
  <c r="L39" i="13"/>
  <c r="A26" i="26"/>
  <c r="A26" i="25"/>
  <c r="A26" i="24"/>
  <c r="A28" i="22"/>
  <c r="A26" i="23"/>
  <c r="E75" i="13"/>
  <c r="B14" i="10"/>
  <c r="C59" i="4"/>
  <c r="B30" i="21"/>
  <c r="B30" i="9"/>
  <c r="E111" i="13"/>
  <c r="B34" i="21"/>
  <c r="B34" i="9"/>
  <c r="E115" i="13"/>
  <c r="C37" i="3"/>
  <c r="C37" i="4" s="1"/>
  <c r="C15" i="10"/>
  <c r="F76" i="13"/>
  <c r="D129" i="13" s="1"/>
  <c r="D135" i="13" s="1"/>
  <c r="C42" i="4"/>
  <c r="C63" i="3"/>
  <c r="C63" i="4" s="1"/>
  <c r="D60" i="3"/>
  <c r="C87" i="3"/>
  <c r="C87" i="4" s="1"/>
  <c r="B15" i="6" s="1"/>
  <c r="E39" i="13" s="1"/>
  <c r="G35" i="4"/>
  <c r="G97" i="4" s="1"/>
  <c r="I97" i="4" s="1"/>
  <c r="E25" i="6" s="1"/>
  <c r="L49" i="13" s="1"/>
  <c r="G45" i="4"/>
  <c r="G107" i="4" s="1"/>
  <c r="I107" i="4" s="1"/>
  <c r="E35" i="6" s="1"/>
  <c r="L59" i="13" s="1"/>
  <c r="G46" i="4"/>
  <c r="G108" i="4" s="1"/>
  <c r="I108" i="4" s="1"/>
  <c r="E36" i="6" s="1"/>
  <c r="L60" i="13" s="1"/>
  <c r="C51" i="4"/>
  <c r="D60" i="4"/>
  <c r="H43" i="6"/>
  <c r="AD27" i="9"/>
  <c r="AE29" i="9"/>
  <c r="A15" i="26"/>
  <c r="A15" i="25"/>
  <c r="A15" i="23"/>
  <c r="A15" i="24"/>
  <c r="A17" i="22"/>
  <c r="F12" i="5"/>
  <c r="G12" i="5" s="1"/>
  <c r="J9" i="13" s="1"/>
  <c r="D58" i="3"/>
  <c r="B13" i="14"/>
  <c r="D63" i="3"/>
  <c r="C104" i="3" s="1"/>
  <c r="C104" i="4" s="1"/>
  <c r="B32" i="6" s="1"/>
  <c r="E56" i="13" s="1"/>
  <c r="C46" i="3"/>
  <c r="C46" i="4" s="1"/>
  <c r="C50" i="3"/>
  <c r="C50" i="4" s="1"/>
  <c r="C54" i="3"/>
  <c r="B26" i="21"/>
  <c r="B26" i="9"/>
  <c r="E107" i="13"/>
  <c r="B26" i="26"/>
  <c r="B26" i="25"/>
  <c r="B26" i="24"/>
  <c r="B28" i="22"/>
  <c r="B26" i="23"/>
  <c r="C74" i="3"/>
  <c r="C74" i="4" s="1"/>
  <c r="C93" i="3"/>
  <c r="C93" i="4" s="1"/>
  <c r="B21" i="6" s="1"/>
  <c r="E45" i="13" s="1"/>
  <c r="C108" i="3"/>
  <c r="C108" i="4" s="1"/>
  <c r="B36" i="6" s="1"/>
  <c r="E60" i="13" s="1"/>
  <c r="G38" i="4"/>
  <c r="G100" i="4" s="1"/>
  <c r="I100" i="4" s="1"/>
  <c r="E28" i="6" s="1"/>
  <c r="L52" i="13" s="1"/>
  <c r="G39" i="4"/>
  <c r="G101" i="4" s="1"/>
  <c r="I101" i="4" s="1"/>
  <c r="E29" i="6" s="1"/>
  <c r="L53" i="13" s="1"/>
  <c r="G49" i="4"/>
  <c r="G111" i="4" s="1"/>
  <c r="I111" i="4" s="1"/>
  <c r="E39" i="6" s="1"/>
  <c r="L63" i="13" s="1"/>
  <c r="G50" i="4"/>
  <c r="G112" i="4" s="1"/>
  <c r="I112" i="4" s="1"/>
  <c r="E40" i="6" s="1"/>
  <c r="L64" i="13" s="1"/>
  <c r="C55" i="4"/>
  <c r="H26" i="6"/>
  <c r="H34" i="6"/>
  <c r="H37" i="6"/>
  <c r="H45" i="6"/>
  <c r="G48" i="6"/>
  <c r="I48" i="6" s="1"/>
  <c r="Q12" i="7"/>
  <c r="P13" i="7"/>
  <c r="G13" i="7" s="1"/>
  <c r="H13" i="7" s="1"/>
  <c r="J120" i="13" s="1"/>
  <c r="K120" i="13" s="1"/>
  <c r="P14" i="7"/>
  <c r="G14" i="7" s="1"/>
  <c r="H14" i="7" s="1"/>
  <c r="J121" i="13" s="1"/>
  <c r="K121" i="13" s="1"/>
  <c r="AE20" i="9"/>
  <c r="AD21" i="9"/>
  <c r="A23" i="9"/>
  <c r="D104" i="13" s="1"/>
  <c r="B28" i="9"/>
  <c r="AE30" i="9"/>
  <c r="AD31" i="9"/>
  <c r="A32" i="9"/>
  <c r="D113" i="13" s="1"/>
  <c r="AE33" i="9"/>
  <c r="E81" i="13"/>
  <c r="E90" i="13"/>
  <c r="B15" i="14"/>
  <c r="D51" i="14" s="1"/>
  <c r="D27" i="4"/>
  <c r="C29" i="5" s="1"/>
  <c r="F26" i="13" s="1"/>
  <c r="C110" i="3"/>
  <c r="C110" i="4" s="1"/>
  <c r="B38" i="6" s="1"/>
  <c r="E62" i="13" s="1"/>
  <c r="C89" i="3"/>
  <c r="C89" i="4" s="1"/>
  <c r="B17" i="6" s="1"/>
  <c r="E41" i="13" s="1"/>
  <c r="D33" i="4"/>
  <c r="C35" i="5" s="1"/>
  <c r="F32" i="13" s="1"/>
  <c r="C95" i="3"/>
  <c r="C95" i="4" s="1"/>
  <c r="B23" i="6" s="1"/>
  <c r="E47" i="13" s="1"/>
  <c r="B24" i="21"/>
  <c r="B24" i="9"/>
  <c r="E105" i="13"/>
  <c r="E119" i="13"/>
  <c r="C78" i="4"/>
  <c r="B12" i="7" s="1"/>
  <c r="F77" i="13"/>
  <c r="D130" i="13" s="1"/>
  <c r="D136" i="13" s="1"/>
  <c r="C16" i="10"/>
  <c r="G41" i="4"/>
  <c r="G103" i="4" s="1"/>
  <c r="I103" i="4" s="1"/>
  <c r="E31" i="6" s="1"/>
  <c r="L55" i="13" s="1"/>
  <c r="C60" i="4"/>
  <c r="I12" i="6"/>
  <c r="J36" i="13" s="1"/>
  <c r="K36" i="13" s="1"/>
  <c r="H41" i="6"/>
  <c r="AE15" i="9"/>
  <c r="AE18" i="9"/>
  <c r="AF19" i="9"/>
  <c r="G23" i="6"/>
  <c r="I23" i="6" s="1"/>
  <c r="J47" i="13" s="1"/>
  <c r="K47" i="13" s="1"/>
  <c r="AD19" i="9"/>
  <c r="AE26" i="9"/>
  <c r="AF31" i="9"/>
  <c r="L9" i="13"/>
  <c r="E76" i="13"/>
  <c r="D39" i="14"/>
  <c r="E39" i="14" s="1"/>
  <c r="E11" i="14"/>
  <c r="E60" i="15"/>
  <c r="A44" i="15"/>
  <c r="A48" i="15"/>
  <c r="A45" i="15"/>
  <c r="A40" i="15"/>
  <c r="A38" i="15"/>
  <c r="A25" i="15"/>
  <c r="A23" i="15"/>
  <c r="A39" i="15"/>
  <c r="A31" i="15"/>
  <c r="A20" i="15"/>
  <c r="A22" i="15" s="1"/>
  <c r="C98" i="3"/>
  <c r="C98" i="4" s="1"/>
  <c r="B26" i="6" s="1"/>
  <c r="E50" i="13" s="1"/>
  <c r="C27" i="4"/>
  <c r="B29" i="5" s="1"/>
  <c r="E26" i="13" s="1"/>
  <c r="C69" i="3"/>
  <c r="C69" i="4" s="1"/>
  <c r="C35" i="4"/>
  <c r="D61" i="3"/>
  <c r="B16" i="14"/>
  <c r="D52" i="14" s="1"/>
  <c r="J143" i="13" s="1"/>
  <c r="G5" i="17" s="1"/>
  <c r="E7" i="18" s="1"/>
  <c r="B20" i="21"/>
  <c r="B20" i="9"/>
  <c r="E101" i="13"/>
  <c r="B21" i="26"/>
  <c r="B21" i="25"/>
  <c r="B21" i="24"/>
  <c r="B23" i="22"/>
  <c r="B21" i="23"/>
  <c r="C67" i="3"/>
  <c r="C67" i="4" s="1"/>
  <c r="C91" i="3"/>
  <c r="C91" i="4" s="1"/>
  <c r="B19" i="6" s="1"/>
  <c r="E43" i="13" s="1"/>
  <c r="D37" i="4"/>
  <c r="C52" i="4"/>
  <c r="G53" i="4"/>
  <c r="G115" i="4" s="1"/>
  <c r="I115" i="4" s="1"/>
  <c r="E43" i="6" s="1"/>
  <c r="L67" i="13" s="1"/>
  <c r="A12" i="25"/>
  <c r="A12" i="26"/>
  <c r="A12" i="24"/>
  <c r="A15" i="21"/>
  <c r="A15" i="9"/>
  <c r="D96" i="13" s="1"/>
  <c r="A20" i="21"/>
  <c r="A20" i="9"/>
  <c r="D101" i="13" s="1"/>
  <c r="A24" i="21"/>
  <c r="A24" i="9"/>
  <c r="D105" i="13" s="1"/>
  <c r="A23" i="26"/>
  <c r="A23" i="24"/>
  <c r="A25" i="22"/>
  <c r="A23" i="25"/>
  <c r="A26" i="21"/>
  <c r="A26" i="9"/>
  <c r="D107" i="13" s="1"/>
  <c r="A30" i="21"/>
  <c r="A30" i="9"/>
  <c r="D111" i="13" s="1"/>
  <c r="A31" i="26"/>
  <c r="A31" i="24"/>
  <c r="A31" i="25"/>
  <c r="A33" i="22"/>
  <c r="A34" i="21"/>
  <c r="A34" i="9"/>
  <c r="D115" i="13" s="1"/>
  <c r="H28" i="6"/>
  <c r="H30" i="6"/>
  <c r="H35" i="6"/>
  <c r="H39" i="6"/>
  <c r="G49" i="6"/>
  <c r="I49" i="6" s="1"/>
  <c r="Q16" i="7"/>
  <c r="P16" i="7" s="1"/>
  <c r="G16" i="7" s="1"/>
  <c r="H16" i="7" s="1"/>
  <c r="J123" i="13" s="1"/>
  <c r="K123" i="13" s="1"/>
  <c r="N123" i="13" s="1"/>
  <c r="P17" i="7"/>
  <c r="AE14" i="9"/>
  <c r="B23" i="9"/>
  <c r="AE24" i="9"/>
  <c r="AE34" i="9"/>
  <c r="E82" i="13"/>
  <c r="E84" i="13"/>
  <c r="K11" i="21"/>
  <c r="L11" i="21" s="1"/>
  <c r="M11" i="21" s="1"/>
  <c r="A14" i="22"/>
  <c r="A23" i="23"/>
  <c r="C36" i="4"/>
  <c r="C61" i="3"/>
  <c r="D65" i="3"/>
  <c r="C106" i="3" s="1"/>
  <c r="C106" i="4" s="1"/>
  <c r="B34" i="6" s="1"/>
  <c r="E58" i="13" s="1"/>
  <c r="C83" i="3"/>
  <c r="C88" i="3"/>
  <c r="C88" i="4" s="1"/>
  <c r="B16" i="6" s="1"/>
  <c r="E40" i="13" s="1"/>
  <c r="C94" i="3"/>
  <c r="C94" i="4" s="1"/>
  <c r="B22" i="6" s="1"/>
  <c r="E46" i="13" s="1"/>
  <c r="C109" i="3"/>
  <c r="C109" i="4" s="1"/>
  <c r="B37" i="6" s="1"/>
  <c r="E61" i="13" s="1"/>
  <c r="C113" i="3"/>
  <c r="C113" i="4" s="1"/>
  <c r="B41" i="6" s="1"/>
  <c r="E65" i="13" s="1"/>
  <c r="C117" i="3"/>
  <c r="C117" i="4" s="1"/>
  <c r="B45" i="6" s="1"/>
  <c r="E69" i="13" s="1"/>
  <c r="D44" i="4"/>
  <c r="C102" i="3"/>
  <c r="C102" i="4" s="1"/>
  <c r="B30" i="6" s="1"/>
  <c r="E54" i="13" s="1"/>
  <c r="AC3" i="26"/>
  <c r="L3" i="25"/>
  <c r="L3" i="24"/>
  <c r="D22" i="25"/>
  <c r="AC1" i="26"/>
  <c r="L1" i="25"/>
  <c r="L1" i="23"/>
  <c r="D12" i="26"/>
  <c r="D12" i="25"/>
  <c r="D13" i="26"/>
  <c r="D13" i="25"/>
  <c r="D15" i="26"/>
  <c r="D15" i="25"/>
  <c r="D16" i="26"/>
  <c r="D16" i="25"/>
  <c r="D18" i="22"/>
  <c r="D17" i="26"/>
  <c r="D17" i="25"/>
  <c r="D19" i="22"/>
  <c r="D18" i="26"/>
  <c r="D18" i="25"/>
  <c r="D20" i="22"/>
  <c r="D19" i="26"/>
  <c r="D21" i="22"/>
  <c r="D21" i="26"/>
  <c r="D21" i="25"/>
  <c r="D23" i="22"/>
  <c r="D23" i="26"/>
  <c r="D23" i="25"/>
  <c r="D25" i="22"/>
  <c r="D24" i="26"/>
  <c r="D24" i="25"/>
  <c r="D26" i="22"/>
  <c r="D25" i="26"/>
  <c r="D27" i="22"/>
  <c r="D26" i="26"/>
  <c r="D26" i="25"/>
  <c r="D28" i="22"/>
  <c r="D27" i="26"/>
  <c r="D27" i="25"/>
  <c r="D29" i="22"/>
  <c r="D28" i="26"/>
  <c r="D28" i="25"/>
  <c r="D30" i="22"/>
  <c r="D29" i="25"/>
  <c r="D29" i="26"/>
  <c r="D31" i="22"/>
  <c r="D30" i="26"/>
  <c r="D30" i="25"/>
  <c r="D32" i="22"/>
  <c r="D31" i="26"/>
  <c r="D31" i="25"/>
  <c r="D33" i="22"/>
  <c r="D32" i="26"/>
  <c r="D32" i="25"/>
  <c r="D34" i="22"/>
  <c r="D14" i="25"/>
  <c r="D49" i="4" l="1"/>
  <c r="D70" i="4" s="1"/>
  <c r="I17" i="18"/>
  <c r="K15" i="17"/>
  <c r="J16" i="18"/>
  <c r="J26" i="18"/>
  <c r="D11" i="16"/>
  <c r="F84" i="13"/>
  <c r="C23" i="10"/>
  <c r="D68" i="4"/>
  <c r="C26" i="21" s="1"/>
  <c r="C27" i="10"/>
  <c r="D72" i="4"/>
  <c r="C30" i="9" s="1"/>
  <c r="F88" i="13"/>
  <c r="D72" i="3"/>
  <c r="D68" i="3"/>
  <c r="C81" i="3" s="1"/>
  <c r="E122" i="13" s="1"/>
  <c r="E61" i="15"/>
  <c r="E5" i="17"/>
  <c r="C7" i="18" s="1"/>
  <c r="G14" i="18"/>
  <c r="G23" i="18" s="1"/>
  <c r="K145" i="13"/>
  <c r="I6" i="17" s="1"/>
  <c r="H14" i="18"/>
  <c r="H23" i="18" s="1"/>
  <c r="K11" i="17"/>
  <c r="K13" i="17"/>
  <c r="K14" i="17"/>
  <c r="K16" i="17"/>
  <c r="G33" i="4"/>
  <c r="L32" i="13" s="1"/>
  <c r="G116" i="4"/>
  <c r="I116" i="4" s="1"/>
  <c r="E44" i="6" s="1"/>
  <c r="L68" i="13" s="1"/>
  <c r="F5" i="17"/>
  <c r="D7" i="18" s="1"/>
  <c r="J142" i="13"/>
  <c r="G34" i="4"/>
  <c r="I34" i="4" s="1"/>
  <c r="G117" i="4"/>
  <c r="I117" i="4" s="1"/>
  <c r="E45" i="6" s="1"/>
  <c r="L69" i="13" s="1"/>
  <c r="G73" i="4"/>
  <c r="I73" i="4" s="1"/>
  <c r="E31" i="9" s="1"/>
  <c r="L112" i="13" s="1"/>
  <c r="G114" i="4"/>
  <c r="I114" i="4" s="1"/>
  <c r="E42" i="6" s="1"/>
  <c r="L66" i="13" s="1"/>
  <c r="G58" i="4"/>
  <c r="I58" i="4" s="1"/>
  <c r="E16" i="9" s="1"/>
  <c r="L97" i="13" s="1"/>
  <c r="G99" i="4"/>
  <c r="I99" i="4" s="1"/>
  <c r="E27" i="6" s="1"/>
  <c r="L51" i="13" s="1"/>
  <c r="J141" i="13"/>
  <c r="I48" i="4"/>
  <c r="E24" i="10" s="1"/>
  <c r="L85" i="13" s="1"/>
  <c r="G110" i="4"/>
  <c r="I110" i="4" s="1"/>
  <c r="E38" i="6" s="1"/>
  <c r="L62" i="13" s="1"/>
  <c r="G72" i="4"/>
  <c r="I72" i="4" s="1"/>
  <c r="E30" i="9" s="1"/>
  <c r="L111" i="13" s="1"/>
  <c r="G113" i="4"/>
  <c r="I113" i="4" s="1"/>
  <c r="E41" i="6" s="1"/>
  <c r="L65" i="13" s="1"/>
  <c r="G68" i="4"/>
  <c r="I68" i="4" s="1"/>
  <c r="E26" i="9" s="1"/>
  <c r="L107" i="13" s="1"/>
  <c r="G109" i="4"/>
  <c r="I109" i="4" s="1"/>
  <c r="E37" i="6" s="1"/>
  <c r="L61" i="13" s="1"/>
  <c r="G61" i="4"/>
  <c r="I61" i="4" s="1"/>
  <c r="E19" i="9" s="1"/>
  <c r="L100" i="13" s="1"/>
  <c r="G102" i="4"/>
  <c r="I102" i="4" s="1"/>
  <c r="E30" i="6" s="1"/>
  <c r="L54" i="13" s="1"/>
  <c r="N122" i="13"/>
  <c r="N11" i="13"/>
  <c r="O11" i="13" s="1"/>
  <c r="S11" i="13" s="1"/>
  <c r="N121" i="13"/>
  <c r="N120" i="13"/>
  <c r="H8" i="17"/>
  <c r="F16" i="18" s="1"/>
  <c r="F64" i="15"/>
  <c r="J8" i="17" s="1"/>
  <c r="D14" i="14"/>
  <c r="D41" i="14"/>
  <c r="E41" i="14" s="1"/>
  <c r="G26" i="18"/>
  <c r="F23" i="9"/>
  <c r="H23" i="21" s="1"/>
  <c r="F26" i="9"/>
  <c r="F26" i="21" s="1"/>
  <c r="F20" i="9"/>
  <c r="I20" i="21" s="1"/>
  <c r="F24" i="9"/>
  <c r="L24" i="21" s="1"/>
  <c r="F34" i="9"/>
  <c r="H34" i="21" s="1"/>
  <c r="F14" i="9"/>
  <c r="J14" i="21" s="1"/>
  <c r="F18" i="9"/>
  <c r="H18" i="21" s="1"/>
  <c r="F25" i="9"/>
  <c r="H25" i="21" s="1"/>
  <c r="F15" i="9"/>
  <c r="E15" i="21" s="1"/>
  <c r="F28" i="9"/>
  <c r="H28" i="21" s="1"/>
  <c r="F29" i="9"/>
  <c r="M29" i="21" s="1"/>
  <c r="F33" i="9"/>
  <c r="E33" i="21" s="1"/>
  <c r="F19" i="9"/>
  <c r="H19" i="21" s="1"/>
  <c r="F31" i="9"/>
  <c r="H31" i="21" s="1"/>
  <c r="F17" i="9"/>
  <c r="J17" i="21" s="1"/>
  <c r="F16" i="9"/>
  <c r="I16" i="21" s="1"/>
  <c r="F30" i="9"/>
  <c r="H30" i="21" s="1"/>
  <c r="F21" i="9"/>
  <c r="H21" i="21" s="1"/>
  <c r="F32" i="9"/>
  <c r="F32" i="21" s="1"/>
  <c r="P12" i="7"/>
  <c r="G12" i="7" s="1"/>
  <c r="H12" i="7" s="1"/>
  <c r="J119" i="13" s="1"/>
  <c r="K119" i="13" s="1"/>
  <c r="N119" i="13" s="1"/>
  <c r="G17" i="7"/>
  <c r="H17" i="7" s="1"/>
  <c r="J124" i="13" s="1"/>
  <c r="K124" i="13" s="1"/>
  <c r="N124" i="13" s="1"/>
  <c r="I35" i="6"/>
  <c r="J59" i="13" s="1"/>
  <c r="K59" i="13" s="1"/>
  <c r="N59" i="13" s="1"/>
  <c r="I39" i="6"/>
  <c r="J63" i="13" s="1"/>
  <c r="K63" i="13" s="1"/>
  <c r="N63" i="13" s="1"/>
  <c r="I37" i="4"/>
  <c r="E13" i="10" s="1"/>
  <c r="L74" i="13" s="1"/>
  <c r="I29" i="6"/>
  <c r="J53" i="13" s="1"/>
  <c r="K53" i="13" s="1"/>
  <c r="N53" i="13" s="1"/>
  <c r="I40" i="4"/>
  <c r="E16" i="10" s="1"/>
  <c r="I16" i="10" s="1"/>
  <c r="G21" i="5" s="1"/>
  <c r="J18" i="13" s="1"/>
  <c r="K18" i="13" s="1"/>
  <c r="I40" i="6"/>
  <c r="J64" i="13" s="1"/>
  <c r="K64" i="13" s="1"/>
  <c r="N64" i="13" s="1"/>
  <c r="G16" i="4"/>
  <c r="L15" i="13" s="1"/>
  <c r="G75" i="4"/>
  <c r="I75" i="4" s="1"/>
  <c r="E33" i="9" s="1"/>
  <c r="L114" i="13" s="1"/>
  <c r="G19" i="4"/>
  <c r="L18" i="13" s="1"/>
  <c r="G31" i="4"/>
  <c r="I52" i="4"/>
  <c r="E28" i="10" s="1"/>
  <c r="L89" i="13" s="1"/>
  <c r="I26" i="6"/>
  <c r="J50" i="13" s="1"/>
  <c r="K50" i="13" s="1"/>
  <c r="S50" i="13" s="1"/>
  <c r="G69" i="4"/>
  <c r="I69" i="4" s="1"/>
  <c r="E27" i="9" s="1"/>
  <c r="L108" i="13" s="1"/>
  <c r="G27" i="4"/>
  <c r="G30" i="4"/>
  <c r="I51" i="4"/>
  <c r="E27" i="10" s="1"/>
  <c r="I54" i="4"/>
  <c r="E30" i="10" s="1"/>
  <c r="L91" i="13" s="1"/>
  <c r="I55" i="4"/>
  <c r="E31" i="10" s="1"/>
  <c r="L92" i="13" s="1"/>
  <c r="G76" i="4"/>
  <c r="I76" i="4" s="1"/>
  <c r="E34" i="9" s="1"/>
  <c r="P11" i="13"/>
  <c r="T11" i="13" s="1"/>
  <c r="G15" i="4"/>
  <c r="G57" i="4"/>
  <c r="I57" i="4" s="1"/>
  <c r="E15" i="9" s="1"/>
  <c r="L96" i="13" s="1"/>
  <c r="I36" i="4"/>
  <c r="E12" i="10" s="1"/>
  <c r="G26" i="4"/>
  <c r="I47" i="4"/>
  <c r="E23" i="10" s="1"/>
  <c r="P9" i="13"/>
  <c r="I36" i="6"/>
  <c r="J60" i="13" s="1"/>
  <c r="K60" i="13" s="1"/>
  <c r="N60" i="13" s="1"/>
  <c r="I25" i="6"/>
  <c r="J49" i="13" s="1"/>
  <c r="K49" i="13" s="1"/>
  <c r="C81" i="4"/>
  <c r="B15" i="7" s="1"/>
  <c r="A29" i="26"/>
  <c r="A29" i="23"/>
  <c r="F72" i="13"/>
  <c r="A29" i="24"/>
  <c r="A27" i="25"/>
  <c r="D62" i="4"/>
  <c r="C20" i="21" s="1"/>
  <c r="A31" i="22"/>
  <c r="A19" i="25"/>
  <c r="A29" i="22"/>
  <c r="F78" i="13"/>
  <c r="C11" i="10"/>
  <c r="A19" i="23"/>
  <c r="K9" i="13"/>
  <c r="B14" i="18" s="1"/>
  <c r="B23" i="18" s="1"/>
  <c r="C25" i="10"/>
  <c r="C14" i="21"/>
  <c r="C12" i="26" s="1"/>
  <c r="A25" i="25"/>
  <c r="A19" i="26"/>
  <c r="A21" i="22"/>
  <c r="A19" i="22"/>
  <c r="A25" i="26"/>
  <c r="A27" i="22"/>
  <c r="A17" i="25"/>
  <c r="A14" i="23"/>
  <c r="F86" i="13"/>
  <c r="A17" i="24"/>
  <c r="A30" i="15"/>
  <c r="A25" i="24"/>
  <c r="A17" i="26"/>
  <c r="F82" i="13"/>
  <c r="D66" i="4"/>
  <c r="C24" i="9" s="1"/>
  <c r="D59" i="4"/>
  <c r="F98" i="13" s="1"/>
  <c r="B11" i="14"/>
  <c r="F95" i="13"/>
  <c r="D56" i="3"/>
  <c r="A16" i="23"/>
  <c r="A16" i="22"/>
  <c r="A14" i="26"/>
  <c r="A18" i="22"/>
  <c r="A14" i="24"/>
  <c r="A16" i="24"/>
  <c r="A16" i="26"/>
  <c r="A27" i="24"/>
  <c r="D53" i="4"/>
  <c r="F90" i="13" s="1"/>
  <c r="C14" i="10"/>
  <c r="D55" i="4"/>
  <c r="D76" i="3"/>
  <c r="A27" i="26"/>
  <c r="G14" i="21"/>
  <c r="I18" i="21"/>
  <c r="N36" i="13"/>
  <c r="C23" i="18"/>
  <c r="E28" i="21"/>
  <c r="I53" i="4"/>
  <c r="E29" i="10" s="1"/>
  <c r="G32" i="4"/>
  <c r="G74" i="4"/>
  <c r="I74" i="4" s="1"/>
  <c r="E32" i="9" s="1"/>
  <c r="B11" i="10"/>
  <c r="C56" i="4"/>
  <c r="E72" i="13"/>
  <c r="I38" i="4"/>
  <c r="E14" i="10" s="1"/>
  <c r="G17" i="4"/>
  <c r="G59" i="4"/>
  <c r="I59" i="4" s="1"/>
  <c r="E17" i="9" s="1"/>
  <c r="E87" i="13"/>
  <c r="B26" i="10"/>
  <c r="E74" i="13"/>
  <c r="B13" i="10"/>
  <c r="C58" i="4"/>
  <c r="N39" i="13"/>
  <c r="E124" i="13"/>
  <c r="C83" i="4"/>
  <c r="B17" i="7" s="1"/>
  <c r="A32" i="26"/>
  <c r="A32" i="24"/>
  <c r="A32" i="25"/>
  <c r="A34" i="22"/>
  <c r="A32" i="23"/>
  <c r="A22" i="26"/>
  <c r="A22" i="25"/>
  <c r="A24" i="22"/>
  <c r="A22" i="23"/>
  <c r="A22" i="24"/>
  <c r="D54" i="4"/>
  <c r="D75" i="3"/>
  <c r="B27" i="21"/>
  <c r="B27" i="9"/>
  <c r="E108" i="13"/>
  <c r="E99" i="13"/>
  <c r="B18" i="9"/>
  <c r="B18" i="21"/>
  <c r="E83" i="13"/>
  <c r="B22" i="10"/>
  <c r="I43" i="6"/>
  <c r="J67" i="13" s="1"/>
  <c r="K67" i="13" s="1"/>
  <c r="N67" i="13" s="1"/>
  <c r="C18" i="21"/>
  <c r="C18" i="9"/>
  <c r="F99" i="13"/>
  <c r="C28" i="21"/>
  <c r="C28" i="9"/>
  <c r="F109" i="13"/>
  <c r="G56" i="4"/>
  <c r="I56" i="4" s="1"/>
  <c r="E14" i="9" s="1"/>
  <c r="I35" i="4"/>
  <c r="E11" i="10" s="1"/>
  <c r="G14" i="4"/>
  <c r="E79" i="13"/>
  <c r="B18" i="10"/>
  <c r="D23" i="18"/>
  <c r="C20" i="10"/>
  <c r="D65" i="4"/>
  <c r="F81" i="13"/>
  <c r="N11" i="21"/>
  <c r="A13" i="26"/>
  <c r="A13" i="25"/>
  <c r="A13" i="23"/>
  <c r="A13" i="24"/>
  <c r="A15" i="22"/>
  <c r="E89" i="13"/>
  <c r="B28" i="10"/>
  <c r="D50" i="4"/>
  <c r="D71" i="3"/>
  <c r="B12" i="14"/>
  <c r="D36" i="4"/>
  <c r="D57" i="3"/>
  <c r="I49" i="4"/>
  <c r="E25" i="10" s="1"/>
  <c r="G28" i="4"/>
  <c r="G70" i="4"/>
  <c r="I70" i="4" s="1"/>
  <c r="E28" i="9" s="1"/>
  <c r="C26" i="9"/>
  <c r="F27" i="9"/>
  <c r="K27" i="21" s="1"/>
  <c r="B28" i="25"/>
  <c r="B28" i="26"/>
  <c r="B30" i="22"/>
  <c r="B28" i="24"/>
  <c r="B28" i="23"/>
  <c r="B29" i="26"/>
  <c r="B29" i="25"/>
  <c r="B29" i="24"/>
  <c r="B29" i="23"/>
  <c r="B31" i="22"/>
  <c r="C24" i="10"/>
  <c r="F85" i="13"/>
  <c r="D69" i="4"/>
  <c r="E23" i="18"/>
  <c r="B18" i="26"/>
  <c r="B18" i="25"/>
  <c r="B18" i="24"/>
  <c r="B18" i="23"/>
  <c r="B20" i="22"/>
  <c r="I45" i="4"/>
  <c r="E21" i="10" s="1"/>
  <c r="G24" i="4"/>
  <c r="G66" i="4"/>
  <c r="I66" i="4" s="1"/>
  <c r="E24" i="9" s="1"/>
  <c r="B21" i="21"/>
  <c r="B21" i="9"/>
  <c r="E102" i="13"/>
  <c r="B12" i="10"/>
  <c r="C57" i="4"/>
  <c r="E73" i="13"/>
  <c r="A24" i="26"/>
  <c r="A24" i="24"/>
  <c r="A26" i="22"/>
  <c r="A24" i="23"/>
  <c r="A24" i="25"/>
  <c r="C13" i="10"/>
  <c r="D58" i="4"/>
  <c r="F74" i="13"/>
  <c r="G71" i="4"/>
  <c r="I71" i="4" s="1"/>
  <c r="E29" i="9" s="1"/>
  <c r="I50" i="4"/>
  <c r="E26" i="10" s="1"/>
  <c r="G29" i="4"/>
  <c r="I31" i="6"/>
  <c r="J55" i="13" s="1"/>
  <c r="K55" i="13" s="1"/>
  <c r="N55" i="13" s="1"/>
  <c r="B27" i="26"/>
  <c r="B27" i="25"/>
  <c r="B27" i="24"/>
  <c r="B27" i="23"/>
  <c r="B29" i="22"/>
  <c r="I28" i="6"/>
  <c r="J52" i="13" s="1"/>
  <c r="K52" i="13" s="1"/>
  <c r="N52" i="13" s="1"/>
  <c r="A28" i="25"/>
  <c r="A28" i="24"/>
  <c r="A28" i="26"/>
  <c r="A30" i="22"/>
  <c r="A28" i="23"/>
  <c r="A18" i="26"/>
  <c r="A18" i="23"/>
  <c r="A20" i="22"/>
  <c r="A18" i="24"/>
  <c r="A18" i="25"/>
  <c r="E106" i="13"/>
  <c r="B25" i="9"/>
  <c r="B25" i="21"/>
  <c r="D46" i="4"/>
  <c r="D67" i="3"/>
  <c r="C80" i="3" s="1"/>
  <c r="I41" i="4"/>
  <c r="E17" i="10" s="1"/>
  <c r="G20" i="4"/>
  <c r="G62" i="4"/>
  <c r="I62" i="4" s="1"/>
  <c r="E20" i="9" s="1"/>
  <c r="B22" i="26"/>
  <c r="B22" i="25"/>
  <c r="B22" i="24"/>
  <c r="B24" i="22"/>
  <c r="B22" i="23"/>
  <c r="B31" i="10"/>
  <c r="E92" i="13"/>
  <c r="G60" i="4"/>
  <c r="I60" i="4" s="1"/>
  <c r="E18" i="9" s="1"/>
  <c r="I39" i="4"/>
  <c r="E15" i="10" s="1"/>
  <c r="G18" i="4"/>
  <c r="B32" i="21"/>
  <c r="B32" i="9"/>
  <c r="E113" i="13"/>
  <c r="B24" i="26"/>
  <c r="B24" i="25"/>
  <c r="B26" i="22"/>
  <c r="B24" i="23"/>
  <c r="B24" i="24"/>
  <c r="C54" i="4"/>
  <c r="C75" i="3"/>
  <c r="C75" i="4" s="1"/>
  <c r="C18" i="10"/>
  <c r="F79" i="13"/>
  <c r="D63" i="4"/>
  <c r="B27" i="10"/>
  <c r="E88" i="13"/>
  <c r="G67" i="4"/>
  <c r="I67" i="4" s="1"/>
  <c r="E25" i="9" s="1"/>
  <c r="I46" i="4"/>
  <c r="E22" i="10" s="1"/>
  <c r="G25" i="4"/>
  <c r="D73" i="3"/>
  <c r="D52" i="4"/>
  <c r="B32" i="26"/>
  <c r="B32" i="25"/>
  <c r="B34" i="22"/>
  <c r="B32" i="23"/>
  <c r="B32" i="24"/>
  <c r="B17" i="21"/>
  <c r="E98" i="13"/>
  <c r="B17" i="9"/>
  <c r="C79" i="4"/>
  <c r="B13" i="7" s="1"/>
  <c r="E120" i="13"/>
  <c r="D27" i="14"/>
  <c r="E27" i="14" s="1"/>
  <c r="E13" i="14"/>
  <c r="C17" i="26"/>
  <c r="C17" i="24"/>
  <c r="C17" i="25"/>
  <c r="C17" i="23"/>
  <c r="C19" i="22"/>
  <c r="B19" i="21"/>
  <c r="B19" i="9"/>
  <c r="E100" i="13"/>
  <c r="N47" i="13"/>
  <c r="F111" i="13" l="1"/>
  <c r="C30" i="21"/>
  <c r="C28" i="26" s="1"/>
  <c r="H16" i="18"/>
  <c r="F107" i="13"/>
  <c r="I23" i="21"/>
  <c r="L34" i="21"/>
  <c r="G13" i="18"/>
  <c r="I38" i="6"/>
  <c r="J62" i="13" s="1"/>
  <c r="K62" i="13" s="1"/>
  <c r="N62" i="13" s="1"/>
  <c r="I44" i="6"/>
  <c r="J68" i="13" s="1"/>
  <c r="K68" i="13" s="1"/>
  <c r="N68" i="13" s="1"/>
  <c r="D8" i="17"/>
  <c r="B26" i="18" s="1"/>
  <c r="I27" i="6"/>
  <c r="J51" i="13" s="1"/>
  <c r="K51" i="13" s="1"/>
  <c r="S51" i="13" s="1"/>
  <c r="K18" i="17"/>
  <c r="K23" i="17" s="1"/>
  <c r="L23" i="21"/>
  <c r="G23" i="21"/>
  <c r="I24" i="10"/>
  <c r="G29" i="5" s="1"/>
  <c r="J26" i="13" s="1"/>
  <c r="K26" i="13" s="1"/>
  <c r="I33" i="4"/>
  <c r="L33" i="13"/>
  <c r="E26" i="18"/>
  <c r="I45" i="6"/>
  <c r="J69" i="13" s="1"/>
  <c r="K69" i="13" s="1"/>
  <c r="N69" i="13" s="1"/>
  <c r="I37" i="6"/>
  <c r="J61" i="13" s="1"/>
  <c r="K61" i="13" s="1"/>
  <c r="T61" i="13" s="1"/>
  <c r="I42" i="6"/>
  <c r="J66" i="13" s="1"/>
  <c r="K66" i="13" s="1"/>
  <c r="N66" i="13" s="1"/>
  <c r="I41" i="6"/>
  <c r="J65" i="13" s="1"/>
  <c r="K65" i="13" s="1"/>
  <c r="T65" i="13" s="1"/>
  <c r="I30" i="6"/>
  <c r="J54" i="13" s="1"/>
  <c r="K54" i="13" s="1"/>
  <c r="M23" i="21"/>
  <c r="E26" i="21"/>
  <c r="E23" i="21"/>
  <c r="I34" i="21"/>
  <c r="M34" i="21"/>
  <c r="K34" i="21"/>
  <c r="E34" i="21"/>
  <c r="F20" i="21"/>
  <c r="K20" i="21"/>
  <c r="D15" i="14"/>
  <c r="E14" i="14"/>
  <c r="D42" i="14"/>
  <c r="E42" i="14" s="1"/>
  <c r="M25" i="21"/>
  <c r="L25" i="21"/>
  <c r="H15" i="21"/>
  <c r="H26" i="21"/>
  <c r="K26" i="21"/>
  <c r="M32" i="21"/>
  <c r="L26" i="21"/>
  <c r="K30" i="21"/>
  <c r="E14" i="21"/>
  <c r="I13" i="10"/>
  <c r="G18" i="5" s="1"/>
  <c r="J15" i="13" s="1"/>
  <c r="K15" i="13" s="1"/>
  <c r="N15" i="13" s="1"/>
  <c r="F34" i="21"/>
  <c r="G34" i="21"/>
  <c r="F23" i="21"/>
  <c r="K23" i="21"/>
  <c r="K15" i="21"/>
  <c r="J34" i="21"/>
  <c r="J23" i="21"/>
  <c r="E24" i="21"/>
  <c r="L15" i="21"/>
  <c r="M26" i="21"/>
  <c r="G26" i="21"/>
  <c r="I14" i="21"/>
  <c r="H29" i="21"/>
  <c r="I26" i="21"/>
  <c r="J26" i="21"/>
  <c r="L19" i="21"/>
  <c r="L19" i="22" s="1"/>
  <c r="L17" i="24" s="1"/>
  <c r="K19" i="21"/>
  <c r="K19" i="22" s="1"/>
  <c r="K17" i="24" s="1"/>
  <c r="M14" i="21"/>
  <c r="M20" i="21"/>
  <c r="H20" i="21"/>
  <c r="M18" i="21"/>
  <c r="G20" i="21"/>
  <c r="H16" i="21"/>
  <c r="K28" i="21"/>
  <c r="M30" i="21"/>
  <c r="I24" i="21"/>
  <c r="I17" i="21"/>
  <c r="M28" i="21"/>
  <c r="H24" i="21"/>
  <c r="M24" i="21"/>
  <c r="K24" i="21"/>
  <c r="G30" i="21"/>
  <c r="L28" i="21"/>
  <c r="L18" i="21"/>
  <c r="J20" i="21"/>
  <c r="E20" i="21"/>
  <c r="F24" i="21"/>
  <c r="J24" i="21"/>
  <c r="E30" i="21"/>
  <c r="K18" i="21"/>
  <c r="J15" i="21"/>
  <c r="F15" i="21"/>
  <c r="I15" i="21"/>
  <c r="G15" i="21"/>
  <c r="M15" i="21"/>
  <c r="G24" i="21"/>
  <c r="I30" i="21"/>
  <c r="I28" i="21"/>
  <c r="J18" i="21"/>
  <c r="L20" i="21"/>
  <c r="K31" i="21"/>
  <c r="M21" i="21"/>
  <c r="G32" i="21"/>
  <c r="I25" i="21"/>
  <c r="L14" i="21"/>
  <c r="K14" i="21"/>
  <c r="H14" i="21"/>
  <c r="E16" i="21"/>
  <c r="K33" i="21"/>
  <c r="L32" i="21"/>
  <c r="J16" i="21"/>
  <c r="E32" i="21"/>
  <c r="F14" i="21"/>
  <c r="G16" i="21"/>
  <c r="G16" i="22" s="1"/>
  <c r="G14" i="23" s="1"/>
  <c r="I29" i="21"/>
  <c r="J31" i="21"/>
  <c r="G31" i="21"/>
  <c r="J25" i="21"/>
  <c r="E29" i="21"/>
  <c r="J29" i="21"/>
  <c r="G21" i="21"/>
  <c r="F21" i="21"/>
  <c r="I31" i="21"/>
  <c r="F30" i="21"/>
  <c r="L30" i="21"/>
  <c r="J28" i="21"/>
  <c r="F28" i="21"/>
  <c r="G25" i="21"/>
  <c r="F25" i="21"/>
  <c r="E18" i="21"/>
  <c r="F18" i="21"/>
  <c r="G29" i="21"/>
  <c r="L29" i="21"/>
  <c r="L21" i="21"/>
  <c r="E25" i="21"/>
  <c r="F29" i="21"/>
  <c r="I21" i="21"/>
  <c r="J30" i="21"/>
  <c r="G28" i="21"/>
  <c r="K25" i="21"/>
  <c r="G18" i="21"/>
  <c r="K29" i="21"/>
  <c r="E17" i="21"/>
  <c r="M17" i="21"/>
  <c r="H17" i="21"/>
  <c r="L17" i="21"/>
  <c r="J19" i="21"/>
  <c r="J19" i="22" s="1"/>
  <c r="J17" i="23" s="1"/>
  <c r="H33" i="21"/>
  <c r="L33" i="21"/>
  <c r="I33" i="21"/>
  <c r="J33" i="21"/>
  <c r="G33" i="21"/>
  <c r="M19" i="21"/>
  <c r="M19" i="22" s="1"/>
  <c r="M17" i="23" s="1"/>
  <c r="F19" i="21"/>
  <c r="F19" i="22" s="1"/>
  <c r="F17" i="24" s="1"/>
  <c r="K16" i="21"/>
  <c r="G19" i="21"/>
  <c r="G19" i="22" s="1"/>
  <c r="G17" i="23" s="1"/>
  <c r="I19" i="21"/>
  <c r="I19" i="22" s="1"/>
  <c r="I17" i="24" s="1"/>
  <c r="H32" i="21"/>
  <c r="I32" i="21"/>
  <c r="L16" i="21"/>
  <c r="F16" i="21"/>
  <c r="E21" i="21"/>
  <c r="J21" i="21"/>
  <c r="K21" i="21"/>
  <c r="E31" i="21"/>
  <c r="F31" i="21"/>
  <c r="M31" i="21"/>
  <c r="L31" i="21"/>
  <c r="K32" i="21"/>
  <c r="K17" i="21"/>
  <c r="F33" i="21"/>
  <c r="F17" i="21"/>
  <c r="E19" i="21"/>
  <c r="E19" i="22" s="1"/>
  <c r="E17" i="24" s="1"/>
  <c r="G17" i="21"/>
  <c r="M33" i="21"/>
  <c r="J32" i="21"/>
  <c r="M16" i="21"/>
  <c r="L77" i="13"/>
  <c r="I30" i="10"/>
  <c r="I28" i="10"/>
  <c r="G33" i="5" s="1"/>
  <c r="J30" i="13" s="1"/>
  <c r="K30" i="13" s="1"/>
  <c r="T50" i="13"/>
  <c r="I16" i="4"/>
  <c r="N50" i="13"/>
  <c r="I31" i="10"/>
  <c r="I19" i="4"/>
  <c r="N18" i="13"/>
  <c r="L30" i="13"/>
  <c r="I31" i="4"/>
  <c r="I26" i="4"/>
  <c r="L25" i="13"/>
  <c r="L115" i="13"/>
  <c r="L88" i="13"/>
  <c r="I27" i="10"/>
  <c r="G32" i="5" s="1"/>
  <c r="J29" i="13" s="1"/>
  <c r="K29" i="13" s="1"/>
  <c r="T9" i="13"/>
  <c r="I15" i="4"/>
  <c r="L14" i="13"/>
  <c r="L29" i="13"/>
  <c r="I30" i="4"/>
  <c r="L73" i="13"/>
  <c r="I12" i="10"/>
  <c r="G17" i="5" s="1"/>
  <c r="J14" i="13" s="1"/>
  <c r="K14" i="13" s="1"/>
  <c r="L84" i="13"/>
  <c r="I23" i="10"/>
  <c r="L26" i="13"/>
  <c r="I27" i="4"/>
  <c r="T49" i="13"/>
  <c r="S49" i="13"/>
  <c r="N49" i="13"/>
  <c r="H19" i="22"/>
  <c r="F101" i="13"/>
  <c r="C20" i="9"/>
  <c r="C12" i="24"/>
  <c r="F105" i="13"/>
  <c r="C12" i="23"/>
  <c r="N9" i="13"/>
  <c r="O9" i="13" s="1"/>
  <c r="S9" i="13" s="1"/>
  <c r="C12" i="25"/>
  <c r="C14" i="22"/>
  <c r="D74" i="4"/>
  <c r="F113" i="13" s="1"/>
  <c r="C24" i="21"/>
  <c r="C24" i="22" s="1"/>
  <c r="C17" i="9"/>
  <c r="C17" i="21"/>
  <c r="C15" i="24" s="1"/>
  <c r="C29" i="10"/>
  <c r="F92" i="13"/>
  <c r="D76" i="4"/>
  <c r="C31" i="10"/>
  <c r="B17" i="26"/>
  <c r="B17" i="25"/>
  <c r="B17" i="24"/>
  <c r="B17" i="23"/>
  <c r="B19" i="22"/>
  <c r="E114" i="13"/>
  <c r="B33" i="9"/>
  <c r="B33" i="21"/>
  <c r="I28" i="4"/>
  <c r="L27" i="13"/>
  <c r="C12" i="10"/>
  <c r="D57" i="4"/>
  <c r="F73" i="13"/>
  <c r="B16" i="26"/>
  <c r="B16" i="24"/>
  <c r="B18" i="22"/>
  <c r="B16" i="23"/>
  <c r="B16" i="25"/>
  <c r="B15" i="26"/>
  <c r="B15" i="25"/>
  <c r="B15" i="24"/>
  <c r="B17" i="22"/>
  <c r="B15" i="23"/>
  <c r="C21" i="21"/>
  <c r="F102" i="13"/>
  <c r="C21" i="9"/>
  <c r="L78" i="13"/>
  <c r="I17" i="10"/>
  <c r="E121" i="13"/>
  <c r="C80" i="4"/>
  <c r="B14" i="7" s="1"/>
  <c r="L87" i="13"/>
  <c r="I26" i="10"/>
  <c r="B19" i="25"/>
  <c r="B19" i="26"/>
  <c r="B19" i="24"/>
  <c r="B19" i="23"/>
  <c r="B21" i="22"/>
  <c r="L86" i="13"/>
  <c r="I25" i="10"/>
  <c r="E28" i="22" s="1"/>
  <c r="O11" i="21"/>
  <c r="N17" i="21"/>
  <c r="N31" i="21"/>
  <c r="N28" i="21"/>
  <c r="N24" i="21"/>
  <c r="N34" i="21"/>
  <c r="N18" i="21"/>
  <c r="N33" i="21"/>
  <c r="N23" i="21"/>
  <c r="N21" i="21"/>
  <c r="N29" i="21"/>
  <c r="N32" i="21"/>
  <c r="N27" i="21"/>
  <c r="N16" i="21"/>
  <c r="N15" i="21"/>
  <c r="N25" i="21"/>
  <c r="N19" i="21"/>
  <c r="N19" i="22" s="1"/>
  <c r="N26" i="21"/>
  <c r="N20" i="21"/>
  <c r="N30" i="21"/>
  <c r="N14" i="21"/>
  <c r="L13" i="13"/>
  <c r="I14" i="4"/>
  <c r="C30" i="10"/>
  <c r="D75" i="4"/>
  <c r="F91" i="13"/>
  <c r="B16" i="21"/>
  <c r="E97" i="13"/>
  <c r="B16" i="9"/>
  <c r="L98" i="13"/>
  <c r="E95" i="13"/>
  <c r="B14" i="9"/>
  <c r="B14" i="21"/>
  <c r="L90" i="13"/>
  <c r="I29" i="10"/>
  <c r="L83" i="13"/>
  <c r="I22" i="10"/>
  <c r="L17" i="13"/>
  <c r="I18" i="4"/>
  <c r="C22" i="10"/>
  <c r="D67" i="4"/>
  <c r="F83" i="13"/>
  <c r="S52" i="13"/>
  <c r="T52" i="13"/>
  <c r="L110" i="13"/>
  <c r="L105" i="13"/>
  <c r="L72" i="13"/>
  <c r="I11" i="10"/>
  <c r="C16" i="26"/>
  <c r="C16" i="25"/>
  <c r="C16" i="24"/>
  <c r="C16" i="23"/>
  <c r="C18" i="22"/>
  <c r="I17" i="4"/>
  <c r="L16" i="13"/>
  <c r="C28" i="25"/>
  <c r="C28" i="23"/>
  <c r="L99" i="13"/>
  <c r="I20" i="4"/>
  <c r="L19" i="13"/>
  <c r="L28" i="13"/>
  <c r="I29" i="4"/>
  <c r="L82" i="13"/>
  <c r="I21" i="10"/>
  <c r="L24" i="22" s="1"/>
  <c r="I32" i="4"/>
  <c r="L31" i="13"/>
  <c r="D28" i="14"/>
  <c r="E28" i="14" s="1"/>
  <c r="L24" i="13"/>
  <c r="I25" i="4"/>
  <c r="E91" i="13"/>
  <c r="B30" i="10"/>
  <c r="B30" i="26"/>
  <c r="B30" i="24"/>
  <c r="B32" i="22"/>
  <c r="B30" i="25"/>
  <c r="B30" i="23"/>
  <c r="H26" i="18"/>
  <c r="C18" i="26"/>
  <c r="C18" i="25"/>
  <c r="C18" i="24"/>
  <c r="C18" i="23"/>
  <c r="C20" i="22"/>
  <c r="J27" i="21"/>
  <c r="I27" i="21"/>
  <c r="F27" i="21"/>
  <c r="G27" i="21"/>
  <c r="E27" i="21"/>
  <c r="L27" i="21"/>
  <c r="H27" i="21"/>
  <c r="C28" i="10"/>
  <c r="F89" i="13"/>
  <c r="D73" i="4"/>
  <c r="L106" i="13"/>
  <c r="L76" i="13"/>
  <c r="I15" i="10"/>
  <c r="H18" i="22" s="1"/>
  <c r="L101" i="13"/>
  <c r="B23" i="26"/>
  <c r="B23" i="24"/>
  <c r="B23" i="23"/>
  <c r="B23" i="25"/>
  <c r="B25" i="22"/>
  <c r="C16" i="21"/>
  <c r="F97" i="13"/>
  <c r="C16" i="9"/>
  <c r="B15" i="21"/>
  <c r="B15" i="9"/>
  <c r="E96" i="13"/>
  <c r="I24" i="4"/>
  <c r="L23" i="13"/>
  <c r="M27" i="21"/>
  <c r="C27" i="21"/>
  <c r="F108" i="13"/>
  <c r="C27" i="9"/>
  <c r="C24" i="26"/>
  <c r="C24" i="25"/>
  <c r="C24" i="23"/>
  <c r="C24" i="24"/>
  <c r="C26" i="22"/>
  <c r="L109" i="13"/>
  <c r="C26" i="10"/>
  <c r="F87" i="13"/>
  <c r="D71" i="4"/>
  <c r="C23" i="21"/>
  <c r="C23" i="9"/>
  <c r="F104" i="13"/>
  <c r="L95" i="13"/>
  <c r="C26" i="26"/>
  <c r="C26" i="25"/>
  <c r="C26" i="23"/>
  <c r="C28" i="22"/>
  <c r="C26" i="24"/>
  <c r="B25" i="26"/>
  <c r="B25" i="25"/>
  <c r="B25" i="24"/>
  <c r="B25" i="23"/>
  <c r="B27" i="22"/>
  <c r="L75" i="13"/>
  <c r="I14" i="10"/>
  <c r="L113" i="13"/>
  <c r="C28" i="24" l="1"/>
  <c r="C30" i="22"/>
  <c r="B16" i="18"/>
  <c r="L27" i="22"/>
  <c r="L25" i="24" s="1"/>
  <c r="I27" i="22"/>
  <c r="I25" i="24" s="1"/>
  <c r="N65" i="13"/>
  <c r="N51" i="13"/>
  <c r="T51" i="13"/>
  <c r="S54" i="13"/>
  <c r="E27" i="22"/>
  <c r="E25" i="24" s="1"/>
  <c r="N26" i="13"/>
  <c r="G27" i="22"/>
  <c r="G25" i="23" s="1"/>
  <c r="N27" i="22"/>
  <c r="N25" i="23" s="1"/>
  <c r="K27" i="22"/>
  <c r="K25" i="24" s="1"/>
  <c r="M27" i="22"/>
  <c r="M25" i="24" s="1"/>
  <c r="J27" i="22"/>
  <c r="J25" i="24" s="1"/>
  <c r="H27" i="22"/>
  <c r="H25" i="23" s="1"/>
  <c r="F27" i="22"/>
  <c r="F25" i="23" s="1"/>
  <c r="E50" i="14"/>
  <c r="N61" i="13"/>
  <c r="M8" i="17"/>
  <c r="N54" i="13"/>
  <c r="T54" i="13"/>
  <c r="K20" i="22"/>
  <c r="K18" i="23" s="1"/>
  <c r="D16" i="14"/>
  <c r="E15" i="14"/>
  <c r="E51" i="14" s="1"/>
  <c r="D43" i="14"/>
  <c r="E43" i="14" s="1"/>
  <c r="L16" i="22"/>
  <c r="L14" i="23" s="1"/>
  <c r="E16" i="22"/>
  <c r="E14" i="24" s="1"/>
  <c r="J16" i="22"/>
  <c r="J14" i="24" s="1"/>
  <c r="I16" i="22"/>
  <c r="I14" i="24" s="1"/>
  <c r="N16" i="22"/>
  <c r="N14" i="23" s="1"/>
  <c r="H16" i="22"/>
  <c r="H14" i="23" s="1"/>
  <c r="M16" i="22"/>
  <c r="M14" i="24" s="1"/>
  <c r="F16" i="22"/>
  <c r="F14" i="23" s="1"/>
  <c r="K16" i="22"/>
  <c r="K14" i="24" s="1"/>
  <c r="J34" i="22"/>
  <c r="J32" i="24" s="1"/>
  <c r="H33" i="22"/>
  <c r="H31" i="23" s="1"/>
  <c r="L29" i="22"/>
  <c r="L27" i="24" s="1"/>
  <c r="L32" i="22"/>
  <c r="L30" i="24" s="1"/>
  <c r="K14" i="22"/>
  <c r="K12" i="24" s="1"/>
  <c r="E25" i="22"/>
  <c r="E23" i="23" s="1"/>
  <c r="L33" i="22"/>
  <c r="L31" i="23" s="1"/>
  <c r="K17" i="22"/>
  <c r="K15" i="23" s="1"/>
  <c r="K34" i="22"/>
  <c r="K32" i="23" s="1"/>
  <c r="L31" i="22"/>
  <c r="L29" i="23" s="1"/>
  <c r="M33" i="22"/>
  <c r="M31" i="24" s="1"/>
  <c r="N30" i="13"/>
  <c r="G35" i="5"/>
  <c r="J32" i="13" s="1"/>
  <c r="K32" i="13" s="1"/>
  <c r="N32" i="13" s="1"/>
  <c r="F28" i="22"/>
  <c r="F26" i="23" s="1"/>
  <c r="K33" i="22"/>
  <c r="K31" i="23" s="1"/>
  <c r="H34" i="22"/>
  <c r="H32" i="23" s="1"/>
  <c r="G33" i="22"/>
  <c r="G31" i="24" s="1"/>
  <c r="N34" i="22"/>
  <c r="N32" i="24" s="1"/>
  <c r="E31" i="22"/>
  <c r="E29" i="24" s="1"/>
  <c r="I33" i="22"/>
  <c r="I31" i="23" s="1"/>
  <c r="M34" i="22"/>
  <c r="M32" i="24" s="1"/>
  <c r="K31" i="22"/>
  <c r="K29" i="24" s="1"/>
  <c r="G34" i="22"/>
  <c r="G32" i="24" s="1"/>
  <c r="G36" i="5"/>
  <c r="J33" i="13" s="1"/>
  <c r="K33" i="13" s="1"/>
  <c r="N33" i="13" s="1"/>
  <c r="G31" i="22"/>
  <c r="G29" i="23" s="1"/>
  <c r="F34" i="22"/>
  <c r="F32" i="23" s="1"/>
  <c r="L34" i="22"/>
  <c r="L32" i="24" s="1"/>
  <c r="N31" i="22"/>
  <c r="N29" i="24" s="1"/>
  <c r="M31" i="22"/>
  <c r="M29" i="23" s="1"/>
  <c r="E34" i="22"/>
  <c r="I34" i="22"/>
  <c r="I32" i="23" s="1"/>
  <c r="K17" i="23"/>
  <c r="K17" i="25" s="1"/>
  <c r="F17" i="23"/>
  <c r="F17" i="25" s="1"/>
  <c r="L17" i="23"/>
  <c r="L17" i="25" s="1"/>
  <c r="N33" i="22"/>
  <c r="N31" i="23" s="1"/>
  <c r="F33" i="22"/>
  <c r="E33" i="22"/>
  <c r="J33" i="22"/>
  <c r="J31" i="24" s="1"/>
  <c r="E29" i="22"/>
  <c r="E27" i="23" s="1"/>
  <c r="N26" i="22"/>
  <c r="N24" i="24" s="1"/>
  <c r="J31" i="22"/>
  <c r="F31" i="22"/>
  <c r="F29" i="24" s="1"/>
  <c r="E30" i="22"/>
  <c r="E28" i="24" s="1"/>
  <c r="I31" i="22"/>
  <c r="J17" i="24"/>
  <c r="J17" i="25" s="1"/>
  <c r="H31" i="22"/>
  <c r="G14" i="22"/>
  <c r="G12" i="24" s="1"/>
  <c r="E20" i="22"/>
  <c r="E18" i="24" s="1"/>
  <c r="J28" i="22"/>
  <c r="J26" i="24" s="1"/>
  <c r="H20" i="22"/>
  <c r="H18" i="24" s="1"/>
  <c r="I25" i="22"/>
  <c r="I23" i="23" s="1"/>
  <c r="I28" i="22"/>
  <c r="I26" i="24" s="1"/>
  <c r="M17" i="24"/>
  <c r="M17" i="25" s="1"/>
  <c r="K29" i="22"/>
  <c r="K27" i="24" s="1"/>
  <c r="N29" i="13"/>
  <c r="G20" i="22"/>
  <c r="G18" i="23" s="1"/>
  <c r="J29" i="22"/>
  <c r="J27" i="24" s="1"/>
  <c r="I29" i="22"/>
  <c r="I27" i="24" s="1"/>
  <c r="I20" i="22"/>
  <c r="I18" i="23" s="1"/>
  <c r="F20" i="22"/>
  <c r="F18" i="23" s="1"/>
  <c r="H29" i="22"/>
  <c r="H27" i="23" s="1"/>
  <c r="M29" i="22"/>
  <c r="M27" i="23" s="1"/>
  <c r="N30" i="22"/>
  <c r="N28" i="23" s="1"/>
  <c r="N29" i="22"/>
  <c r="N27" i="23" s="1"/>
  <c r="G30" i="22"/>
  <c r="G28" i="24" s="1"/>
  <c r="N14" i="13"/>
  <c r="H30" i="22"/>
  <c r="H28" i="23" s="1"/>
  <c r="L30" i="22"/>
  <c r="G32" i="22"/>
  <c r="G30" i="23" s="1"/>
  <c r="J20" i="22"/>
  <c r="J18" i="24" s="1"/>
  <c r="L20" i="22"/>
  <c r="L18" i="23" s="1"/>
  <c r="F29" i="22"/>
  <c r="F27" i="23" s="1"/>
  <c r="I30" i="22"/>
  <c r="G14" i="24"/>
  <c r="G14" i="25" s="1"/>
  <c r="F32" i="22"/>
  <c r="F30" i="24" s="1"/>
  <c r="M20" i="22"/>
  <c r="M18" i="24" s="1"/>
  <c r="G29" i="22"/>
  <c r="G27" i="23" s="1"/>
  <c r="M30" i="22"/>
  <c r="M28" i="24" s="1"/>
  <c r="J30" i="22"/>
  <c r="H28" i="22"/>
  <c r="H26" i="24" s="1"/>
  <c r="L28" i="22"/>
  <c r="L26" i="23" s="1"/>
  <c r="G17" i="24"/>
  <c r="G17" i="25" s="1"/>
  <c r="I17" i="23"/>
  <c r="I17" i="25" s="1"/>
  <c r="K30" i="22"/>
  <c r="K28" i="22"/>
  <c r="K26" i="24" s="1"/>
  <c r="M28" i="22"/>
  <c r="M26" i="24" s="1"/>
  <c r="G28" i="22"/>
  <c r="G26" i="23" s="1"/>
  <c r="E17" i="23"/>
  <c r="E17" i="25" s="1"/>
  <c r="E15" i="22"/>
  <c r="E13" i="24" s="1"/>
  <c r="M15" i="22"/>
  <c r="N17" i="22"/>
  <c r="N15" i="24" s="1"/>
  <c r="F26" i="22"/>
  <c r="I26" i="22"/>
  <c r="L26" i="22"/>
  <c r="G28" i="5"/>
  <c r="J25" i="13" s="1"/>
  <c r="K25" i="13" s="1"/>
  <c r="N25" i="13" s="1"/>
  <c r="K15" i="22"/>
  <c r="K26" i="22"/>
  <c r="H15" i="22"/>
  <c r="J15" i="22"/>
  <c r="N14" i="22"/>
  <c r="N12" i="24" s="1"/>
  <c r="F25" i="22"/>
  <c r="F23" i="23" s="1"/>
  <c r="E17" i="22"/>
  <c r="E15" i="24" s="1"/>
  <c r="N15" i="22"/>
  <c r="N13" i="23" s="1"/>
  <c r="M26" i="22"/>
  <c r="E26" i="22"/>
  <c r="F15" i="22"/>
  <c r="J26" i="22"/>
  <c r="G15" i="22"/>
  <c r="E32" i="22"/>
  <c r="E30" i="24" s="1"/>
  <c r="J25" i="22"/>
  <c r="J23" i="24" s="1"/>
  <c r="L17" i="22"/>
  <c r="L15" i="24" s="1"/>
  <c r="N20" i="22"/>
  <c r="N18" i="24" s="1"/>
  <c r="N28" i="22"/>
  <c r="N26" i="24" s="1"/>
  <c r="L15" i="22"/>
  <c r="H26" i="22"/>
  <c r="I15" i="22"/>
  <c r="F30" i="22"/>
  <c r="G26" i="22"/>
  <c r="K24" i="22"/>
  <c r="K22" i="23" s="1"/>
  <c r="J32" i="22"/>
  <c r="J30" i="23" s="1"/>
  <c r="H25" i="22"/>
  <c r="H23" i="23" s="1"/>
  <c r="N32" i="22"/>
  <c r="N30" i="23" s="1"/>
  <c r="H32" i="22"/>
  <c r="H30" i="23" s="1"/>
  <c r="M32" i="22"/>
  <c r="M30" i="24" s="1"/>
  <c r="G25" i="22"/>
  <c r="G23" i="24" s="1"/>
  <c r="L25" i="22"/>
  <c r="L23" i="23" s="1"/>
  <c r="I24" i="22"/>
  <c r="I22" i="24" s="1"/>
  <c r="H17" i="22"/>
  <c r="H15" i="24" s="1"/>
  <c r="N24" i="22"/>
  <c r="N22" i="23" s="1"/>
  <c r="K32" i="22"/>
  <c r="K30" i="24" s="1"/>
  <c r="I32" i="22"/>
  <c r="I30" i="24" s="1"/>
  <c r="M25" i="22"/>
  <c r="M23" i="23" s="1"/>
  <c r="H24" i="22"/>
  <c r="H22" i="23" s="1"/>
  <c r="N25" i="22"/>
  <c r="N23" i="23" s="1"/>
  <c r="H17" i="23"/>
  <c r="H17" i="24"/>
  <c r="K25" i="22"/>
  <c r="K23" i="24" s="1"/>
  <c r="M24" i="22"/>
  <c r="M22" i="23" s="1"/>
  <c r="C32" i="9"/>
  <c r="C15" i="25"/>
  <c r="C22" i="23"/>
  <c r="C17" i="22"/>
  <c r="C15" i="26"/>
  <c r="C32" i="21"/>
  <c r="C30" i="26" s="1"/>
  <c r="C15" i="23"/>
  <c r="C22" i="24"/>
  <c r="C22" i="26"/>
  <c r="C22" i="25"/>
  <c r="C34" i="9"/>
  <c r="C34" i="21"/>
  <c r="F115" i="13"/>
  <c r="L22" i="23"/>
  <c r="L22" i="24"/>
  <c r="H16" i="23"/>
  <c r="H16" i="24"/>
  <c r="K18" i="22"/>
  <c r="C25" i="21"/>
  <c r="C25" i="9"/>
  <c r="F106" i="13"/>
  <c r="G20" i="5"/>
  <c r="J17" i="13" s="1"/>
  <c r="K17" i="13" s="1"/>
  <c r="G18" i="22"/>
  <c r="N17" i="24"/>
  <c r="N17" i="23"/>
  <c r="P11" i="21"/>
  <c r="O31" i="21"/>
  <c r="O31" i="22" s="1"/>
  <c r="O19" i="21"/>
  <c r="O19" i="22" s="1"/>
  <c r="O23" i="21"/>
  <c r="O28" i="21"/>
  <c r="O28" i="22" s="1"/>
  <c r="O14" i="21"/>
  <c r="O14" i="22" s="1"/>
  <c r="O18" i="21"/>
  <c r="O18" i="22" s="1"/>
  <c r="O25" i="21"/>
  <c r="O25" i="22" s="1"/>
  <c r="O29" i="21"/>
  <c r="O29" i="22" s="1"/>
  <c r="O33" i="21"/>
  <c r="O33" i="22" s="1"/>
  <c r="O15" i="21"/>
  <c r="O15" i="22" s="1"/>
  <c r="O20" i="21"/>
  <c r="O20" i="22" s="1"/>
  <c r="O24" i="21"/>
  <c r="O24" i="22" s="1"/>
  <c r="O26" i="21"/>
  <c r="O26" i="22" s="1"/>
  <c r="O30" i="21"/>
  <c r="O30" i="22" s="1"/>
  <c r="O34" i="21"/>
  <c r="O34" i="22" s="1"/>
  <c r="O21" i="21"/>
  <c r="O32" i="21"/>
  <c r="O32" i="22" s="1"/>
  <c r="O27" i="21"/>
  <c r="O27" i="22" s="1"/>
  <c r="O17" i="21"/>
  <c r="O17" i="22" s="1"/>
  <c r="O16" i="21"/>
  <c r="O16" i="22" s="1"/>
  <c r="C29" i="21"/>
  <c r="C29" i="9"/>
  <c r="F110" i="13"/>
  <c r="C31" i="21"/>
  <c r="F112" i="13"/>
  <c r="C31" i="9"/>
  <c r="J18" i="22"/>
  <c r="L18" i="22"/>
  <c r="G16" i="5"/>
  <c r="J13" i="13" s="1"/>
  <c r="K13" i="13" s="1"/>
  <c r="B12" i="25"/>
  <c r="B12" i="24"/>
  <c r="B12" i="26"/>
  <c r="B12" i="23"/>
  <c r="B14" i="22"/>
  <c r="G19" i="5"/>
  <c r="J16" i="13" s="1"/>
  <c r="K16" i="13" s="1"/>
  <c r="E14" i="22"/>
  <c r="F14" i="22"/>
  <c r="C21" i="26"/>
  <c r="C21" i="25"/>
  <c r="C21" i="24"/>
  <c r="C21" i="23"/>
  <c r="C23" i="22"/>
  <c r="E26" i="24"/>
  <c r="E26" i="23"/>
  <c r="C14" i="24"/>
  <c r="C14" i="23"/>
  <c r="C16" i="22"/>
  <c r="C14" i="25"/>
  <c r="C14" i="26"/>
  <c r="J24" i="22"/>
  <c r="I17" i="22"/>
  <c r="F17" i="22"/>
  <c r="C33" i="21"/>
  <c r="C33" i="9"/>
  <c r="F114" i="13"/>
  <c r="G31" i="5"/>
  <c r="J28" i="13" s="1"/>
  <c r="K28" i="13" s="1"/>
  <c r="G22" i="5"/>
  <c r="J19" i="13" s="1"/>
  <c r="K19" i="13" s="1"/>
  <c r="C15" i="21"/>
  <c r="F96" i="13"/>
  <c r="C15" i="9"/>
  <c r="N18" i="22"/>
  <c r="M18" i="22"/>
  <c r="I14" i="22"/>
  <c r="L14" i="22"/>
  <c r="M14" i="22"/>
  <c r="H14" i="22"/>
  <c r="J14" i="22"/>
  <c r="C25" i="26"/>
  <c r="C25" i="24"/>
  <c r="C25" i="23"/>
  <c r="C27" i="22"/>
  <c r="C25" i="25"/>
  <c r="B13" i="26"/>
  <c r="B13" i="25"/>
  <c r="B13" i="24"/>
  <c r="B15" i="22"/>
  <c r="B13" i="23"/>
  <c r="D29" i="14"/>
  <c r="E29" i="14" s="1"/>
  <c r="G26" i="5"/>
  <c r="J23" i="13" s="1"/>
  <c r="K23" i="13" s="1"/>
  <c r="E18" i="22"/>
  <c r="I18" i="22"/>
  <c r="F18" i="22"/>
  <c r="F24" i="22"/>
  <c r="G24" i="22"/>
  <c r="E24" i="22"/>
  <c r="G27" i="5"/>
  <c r="J24" i="13" s="1"/>
  <c r="K24" i="13" s="1"/>
  <c r="G34" i="5"/>
  <c r="J31" i="13" s="1"/>
  <c r="K31" i="13" s="1"/>
  <c r="N31" i="13" s="1"/>
  <c r="M17" i="22"/>
  <c r="J17" i="22"/>
  <c r="G17" i="22"/>
  <c r="B14" i="25"/>
  <c r="B14" i="24"/>
  <c r="B14" i="23"/>
  <c r="B16" i="22"/>
  <c r="B14" i="26"/>
  <c r="G30" i="5"/>
  <c r="J27" i="13" s="1"/>
  <c r="K27" i="13" s="1"/>
  <c r="N27" i="13" s="1"/>
  <c r="C19" i="26"/>
  <c r="C19" i="24"/>
  <c r="C19" i="23"/>
  <c r="C21" i="22"/>
  <c r="C19" i="25"/>
  <c r="B31" i="26"/>
  <c r="B31" i="25"/>
  <c r="B31" i="24"/>
  <c r="B31" i="23"/>
  <c r="B33" i="22"/>
  <c r="L25" i="23" l="1"/>
  <c r="I25" i="23"/>
  <c r="I25" i="25" s="1"/>
  <c r="E25" i="23"/>
  <c r="K18" i="24"/>
  <c r="K18" i="25" s="1"/>
  <c r="H25" i="24"/>
  <c r="H25" i="25" s="1"/>
  <c r="F25" i="24"/>
  <c r="F25" i="25" s="1"/>
  <c r="K25" i="23"/>
  <c r="K25" i="25" s="1"/>
  <c r="N25" i="24"/>
  <c r="N25" i="25" s="1"/>
  <c r="M25" i="23"/>
  <c r="M25" i="25" s="1"/>
  <c r="G25" i="24"/>
  <c r="G25" i="25" s="1"/>
  <c r="J25" i="23"/>
  <c r="J25" i="25" s="1"/>
  <c r="E14" i="23"/>
  <c r="E14" i="25" s="1"/>
  <c r="E7" i="17"/>
  <c r="C15" i="18" s="1"/>
  <c r="N16" i="13"/>
  <c r="N17" i="13"/>
  <c r="N13" i="13"/>
  <c r="D17" i="14"/>
  <c r="E18" i="14" s="1"/>
  <c r="E16" i="14"/>
  <c r="D44" i="14"/>
  <c r="E44" i="14" s="1"/>
  <c r="D30" i="14"/>
  <c r="E30" i="14" s="1"/>
  <c r="L14" i="24"/>
  <c r="L14" i="25" s="1"/>
  <c r="F14" i="24"/>
  <c r="F14" i="25" s="1"/>
  <c r="K14" i="23"/>
  <c r="K14" i="25" s="1"/>
  <c r="I14" i="23"/>
  <c r="I14" i="25" s="1"/>
  <c r="N14" i="24"/>
  <c r="N14" i="25" s="1"/>
  <c r="M14" i="23"/>
  <c r="M14" i="25" s="1"/>
  <c r="J14" i="23"/>
  <c r="J14" i="25" s="1"/>
  <c r="H32" i="24"/>
  <c r="H32" i="25" s="1"/>
  <c r="H14" i="24"/>
  <c r="H14" i="25" s="1"/>
  <c r="J32" i="23"/>
  <c r="J32" i="25" s="1"/>
  <c r="K12" i="23"/>
  <c r="K12" i="25" s="1"/>
  <c r="L31" i="24"/>
  <c r="L31" i="25" s="1"/>
  <c r="H31" i="24"/>
  <c r="H31" i="25" s="1"/>
  <c r="L27" i="23"/>
  <c r="L27" i="25" s="1"/>
  <c r="E23" i="24"/>
  <c r="E23" i="25" s="1"/>
  <c r="L30" i="23"/>
  <c r="L30" i="25" s="1"/>
  <c r="K15" i="24"/>
  <c r="K15" i="25" s="1"/>
  <c r="N32" i="23"/>
  <c r="N32" i="25" s="1"/>
  <c r="K27" i="23"/>
  <c r="K27" i="25" s="1"/>
  <c r="K29" i="23"/>
  <c r="K29" i="25" s="1"/>
  <c r="L32" i="23"/>
  <c r="L32" i="25" s="1"/>
  <c r="L29" i="24"/>
  <c r="L29" i="25" s="1"/>
  <c r="F26" i="24"/>
  <c r="F26" i="25" s="1"/>
  <c r="G32" i="23"/>
  <c r="G32" i="25" s="1"/>
  <c r="K32" i="24"/>
  <c r="K32" i="25" s="1"/>
  <c r="M23" i="24"/>
  <c r="M23" i="25" s="1"/>
  <c r="F27" i="24"/>
  <c r="F27" i="25" s="1"/>
  <c r="J27" i="23"/>
  <c r="J27" i="25" s="1"/>
  <c r="M31" i="23"/>
  <c r="M31" i="25" s="1"/>
  <c r="F32" i="24"/>
  <c r="F32" i="25" s="1"/>
  <c r="G31" i="23"/>
  <c r="G31" i="25" s="1"/>
  <c r="M32" i="23"/>
  <c r="M32" i="25" s="1"/>
  <c r="K31" i="24"/>
  <c r="K31" i="25" s="1"/>
  <c r="G29" i="24"/>
  <c r="G29" i="25" s="1"/>
  <c r="I32" i="24"/>
  <c r="I32" i="25" s="1"/>
  <c r="M29" i="24"/>
  <c r="M29" i="25" s="1"/>
  <c r="J26" i="23"/>
  <c r="J26" i="25" s="1"/>
  <c r="M26" i="23"/>
  <c r="M26" i="25" s="1"/>
  <c r="E29" i="23"/>
  <c r="E29" i="25" s="1"/>
  <c r="G28" i="23"/>
  <c r="G28" i="25" s="1"/>
  <c r="I31" i="24"/>
  <c r="I31" i="25" s="1"/>
  <c r="N29" i="23"/>
  <c r="N29" i="25" s="1"/>
  <c r="E28" i="23"/>
  <c r="E28" i="25" s="1"/>
  <c r="H23" i="24"/>
  <c r="H23" i="25" s="1"/>
  <c r="E32" i="23"/>
  <c r="E32" i="24"/>
  <c r="E13" i="23"/>
  <c r="E13" i="25" s="1"/>
  <c r="F23" i="24"/>
  <c r="F23" i="25" s="1"/>
  <c r="G30" i="24"/>
  <c r="G30" i="25" s="1"/>
  <c r="G18" i="24"/>
  <c r="G18" i="25" s="1"/>
  <c r="H18" i="23"/>
  <c r="H18" i="25" s="1"/>
  <c r="F30" i="23"/>
  <c r="F30" i="25" s="1"/>
  <c r="I18" i="24"/>
  <c r="I18" i="25" s="1"/>
  <c r="N28" i="24"/>
  <c r="N28" i="25" s="1"/>
  <c r="L15" i="23"/>
  <c r="L15" i="25" s="1"/>
  <c r="G12" i="23"/>
  <c r="G12" i="25" s="1"/>
  <c r="F29" i="23"/>
  <c r="F29" i="25" s="1"/>
  <c r="H28" i="24"/>
  <c r="H28" i="25" s="1"/>
  <c r="J31" i="23"/>
  <c r="J31" i="25" s="1"/>
  <c r="F18" i="24"/>
  <c r="F18" i="25" s="1"/>
  <c r="H30" i="24"/>
  <c r="H30" i="25" s="1"/>
  <c r="K22" i="24"/>
  <c r="K22" i="25" s="1"/>
  <c r="N31" i="24"/>
  <c r="N31" i="25" s="1"/>
  <c r="N18" i="23"/>
  <c r="N18" i="25" s="1"/>
  <c r="K26" i="23"/>
  <c r="K26" i="25" s="1"/>
  <c r="N24" i="23"/>
  <c r="N24" i="25" s="1"/>
  <c r="L23" i="24"/>
  <c r="L23" i="25" s="1"/>
  <c r="M22" i="24"/>
  <c r="M22" i="25" s="1"/>
  <c r="N30" i="24"/>
  <c r="N30" i="25" s="1"/>
  <c r="E30" i="23"/>
  <c r="E30" i="25" s="1"/>
  <c r="F31" i="24"/>
  <c r="F31" i="23"/>
  <c r="G27" i="24"/>
  <c r="G27" i="25" s="1"/>
  <c r="E18" i="23"/>
  <c r="E18" i="25" s="1"/>
  <c r="M18" i="23"/>
  <c r="M18" i="25" s="1"/>
  <c r="I23" i="24"/>
  <c r="I23" i="25" s="1"/>
  <c r="E31" i="24"/>
  <c r="E31" i="23"/>
  <c r="K23" i="23"/>
  <c r="K23" i="25" s="1"/>
  <c r="E27" i="24"/>
  <c r="E27" i="25" s="1"/>
  <c r="N26" i="23"/>
  <c r="N26" i="25" s="1"/>
  <c r="L18" i="24"/>
  <c r="L18" i="25" s="1"/>
  <c r="M27" i="24"/>
  <c r="M27" i="25" s="1"/>
  <c r="I26" i="23"/>
  <c r="I26" i="25" s="1"/>
  <c r="I27" i="23"/>
  <c r="I27" i="25" s="1"/>
  <c r="K30" i="23"/>
  <c r="K30" i="25" s="1"/>
  <c r="N12" i="23"/>
  <c r="N12" i="25" s="1"/>
  <c r="E15" i="23"/>
  <c r="E15" i="25" s="1"/>
  <c r="N13" i="24"/>
  <c r="N13" i="25" s="1"/>
  <c r="H27" i="24"/>
  <c r="H27" i="25" s="1"/>
  <c r="L26" i="24"/>
  <c r="L26" i="25" s="1"/>
  <c r="J18" i="23"/>
  <c r="J18" i="25" s="1"/>
  <c r="N27" i="24"/>
  <c r="N27" i="25" s="1"/>
  <c r="H29" i="23"/>
  <c r="H29" i="24"/>
  <c r="I29" i="24"/>
  <c r="I29" i="23"/>
  <c r="J29" i="24"/>
  <c r="J29" i="23"/>
  <c r="I22" i="23"/>
  <c r="I22" i="25" s="1"/>
  <c r="H26" i="23"/>
  <c r="H26" i="25" s="1"/>
  <c r="M30" i="23"/>
  <c r="M30" i="25" s="1"/>
  <c r="M28" i="23"/>
  <c r="M28" i="25" s="1"/>
  <c r="J23" i="23"/>
  <c r="J23" i="25" s="1"/>
  <c r="G26" i="24"/>
  <c r="G26" i="25" s="1"/>
  <c r="J28" i="23"/>
  <c r="J28" i="24"/>
  <c r="I28" i="24"/>
  <c r="I28" i="23"/>
  <c r="L28" i="24"/>
  <c r="L28" i="23"/>
  <c r="H22" i="24"/>
  <c r="H22" i="25" s="1"/>
  <c r="N15" i="23"/>
  <c r="N15" i="25" s="1"/>
  <c r="N22" i="24"/>
  <c r="N22" i="25" s="1"/>
  <c r="L25" i="25"/>
  <c r="G23" i="23"/>
  <c r="G23" i="25" s="1"/>
  <c r="M13" i="24"/>
  <c r="M13" i="23"/>
  <c r="K28" i="24"/>
  <c r="K28" i="23"/>
  <c r="J30" i="24"/>
  <c r="J30" i="25" s="1"/>
  <c r="N23" i="24"/>
  <c r="N23" i="25" s="1"/>
  <c r="G13" i="24"/>
  <c r="G13" i="23"/>
  <c r="J13" i="24"/>
  <c r="J13" i="23"/>
  <c r="E25" i="25"/>
  <c r="G24" i="24"/>
  <c r="G24" i="23"/>
  <c r="H24" i="24"/>
  <c r="H24" i="23"/>
  <c r="F13" i="24"/>
  <c r="F13" i="23"/>
  <c r="H13" i="23"/>
  <c r="H13" i="24"/>
  <c r="L24" i="24"/>
  <c r="L24" i="23"/>
  <c r="F28" i="24"/>
  <c r="F28" i="23"/>
  <c r="E24" i="24"/>
  <c r="E24" i="23"/>
  <c r="K24" i="23"/>
  <c r="K24" i="24"/>
  <c r="I24" i="24"/>
  <c r="I24" i="23"/>
  <c r="H16" i="25"/>
  <c r="I13" i="23"/>
  <c r="I13" i="24"/>
  <c r="L13" i="23"/>
  <c r="L13" i="24"/>
  <c r="J24" i="23"/>
  <c r="J24" i="24"/>
  <c r="M24" i="24"/>
  <c r="M24" i="23"/>
  <c r="K13" i="24"/>
  <c r="K13" i="23"/>
  <c r="F24" i="23"/>
  <c r="F24" i="24"/>
  <c r="H15" i="23"/>
  <c r="H15" i="25" s="1"/>
  <c r="I30" i="23"/>
  <c r="I30" i="25" s="1"/>
  <c r="E26" i="25"/>
  <c r="H17" i="25"/>
  <c r="C32" i="22"/>
  <c r="C30" i="25"/>
  <c r="C30" i="23"/>
  <c r="C30" i="24"/>
  <c r="C32" i="26"/>
  <c r="C34" i="22"/>
  <c r="C32" i="25"/>
  <c r="C32" i="23"/>
  <c r="C32" i="24"/>
  <c r="M16" i="23"/>
  <c r="M16" i="24"/>
  <c r="C29" i="26"/>
  <c r="C29" i="25"/>
  <c r="C29" i="24"/>
  <c r="C29" i="23"/>
  <c r="C31" i="22"/>
  <c r="O15" i="24"/>
  <c r="O15" i="23"/>
  <c r="O28" i="24"/>
  <c r="O28" i="23"/>
  <c r="O27" i="23"/>
  <c r="O27" i="24"/>
  <c r="Q11" i="21"/>
  <c r="P21" i="21"/>
  <c r="P19" i="21"/>
  <c r="P19" i="22" s="1"/>
  <c r="P23" i="21"/>
  <c r="P14" i="21"/>
  <c r="P14" i="22" s="1"/>
  <c r="P29" i="21"/>
  <c r="P29" i="22" s="1"/>
  <c r="P33" i="21"/>
  <c r="P33" i="22" s="1"/>
  <c r="P15" i="21"/>
  <c r="P15" i="22" s="1"/>
  <c r="P24" i="21"/>
  <c r="P24" i="22" s="1"/>
  <c r="P30" i="21"/>
  <c r="P30" i="22" s="1"/>
  <c r="P34" i="21"/>
  <c r="P34" i="22" s="1"/>
  <c r="P32" i="21"/>
  <c r="P32" i="22" s="1"/>
  <c r="P17" i="21"/>
  <c r="P17" i="22" s="1"/>
  <c r="P27" i="21"/>
  <c r="P27" i="22" s="1"/>
  <c r="P16" i="21"/>
  <c r="P16" i="22" s="1"/>
  <c r="P31" i="21"/>
  <c r="P31" i="22" s="1"/>
  <c r="P28" i="21"/>
  <c r="P28" i="22" s="1"/>
  <c r="P18" i="21"/>
  <c r="P18" i="22" s="1"/>
  <c r="P25" i="21"/>
  <c r="P25" i="22" s="1"/>
  <c r="P20" i="21"/>
  <c r="P20" i="22" s="1"/>
  <c r="P26" i="21"/>
  <c r="P26" i="22" s="1"/>
  <c r="O24" i="24"/>
  <c r="O24" i="23"/>
  <c r="O23" i="23"/>
  <c r="O23" i="24"/>
  <c r="O17" i="24"/>
  <c r="O17" i="23"/>
  <c r="M15" i="24"/>
  <c r="M15" i="23"/>
  <c r="L12" i="23"/>
  <c r="L12" i="24"/>
  <c r="C31" i="26"/>
  <c r="C31" i="25"/>
  <c r="C31" i="24"/>
  <c r="C31" i="23"/>
  <c r="C33" i="22"/>
  <c r="N28" i="13"/>
  <c r="J16" i="24"/>
  <c r="J16" i="23"/>
  <c r="O13" i="24"/>
  <c r="O13" i="23"/>
  <c r="O12" i="24"/>
  <c r="O12" i="23"/>
  <c r="G16" i="24"/>
  <c r="G16" i="23"/>
  <c r="L22" i="25"/>
  <c r="J15" i="24"/>
  <c r="J15" i="23"/>
  <c r="G22" i="24"/>
  <c r="G22" i="23"/>
  <c r="I16" i="23"/>
  <c r="I16" i="24"/>
  <c r="H12" i="23"/>
  <c r="H12" i="24"/>
  <c r="I15" i="23"/>
  <c r="I15" i="24"/>
  <c r="F12" i="24"/>
  <c r="F12" i="23"/>
  <c r="N23" i="13"/>
  <c r="O25" i="23"/>
  <c r="O25" i="24"/>
  <c r="O18" i="24"/>
  <c r="O18" i="23"/>
  <c r="C23" i="25"/>
  <c r="C23" i="26"/>
  <c r="C23" i="24"/>
  <c r="C23" i="23"/>
  <c r="C25" i="22"/>
  <c r="K16" i="24"/>
  <c r="K16" i="23"/>
  <c r="F22" i="24"/>
  <c r="F22" i="23"/>
  <c r="E16" i="23"/>
  <c r="E16" i="24"/>
  <c r="M12" i="23"/>
  <c r="M12" i="24"/>
  <c r="N16" i="24"/>
  <c r="N16" i="23"/>
  <c r="C13" i="25"/>
  <c r="C13" i="26"/>
  <c r="C13" i="24"/>
  <c r="C13" i="23"/>
  <c r="C15" i="22"/>
  <c r="E12" i="23"/>
  <c r="E12" i="24"/>
  <c r="L16" i="23"/>
  <c r="L16" i="24"/>
  <c r="O30" i="24"/>
  <c r="O30" i="23"/>
  <c r="O16" i="24"/>
  <c r="O16" i="23"/>
  <c r="G15" i="24"/>
  <c r="G15" i="23"/>
  <c r="E22" i="24"/>
  <c r="E22" i="23"/>
  <c r="F16" i="24"/>
  <c r="F16" i="23"/>
  <c r="J12" i="24"/>
  <c r="J12" i="23"/>
  <c r="I12" i="23"/>
  <c r="I12" i="24"/>
  <c r="F15" i="24"/>
  <c r="F15" i="23"/>
  <c r="J22" i="24"/>
  <c r="J22" i="23"/>
  <c r="N24" i="13"/>
  <c r="N19" i="13"/>
  <c r="C27" i="26"/>
  <c r="C27" i="25"/>
  <c r="C27" i="24"/>
  <c r="C27" i="23"/>
  <c r="C29" i="22"/>
  <c r="O14" i="24"/>
  <c r="O14" i="23"/>
  <c r="O32" i="24"/>
  <c r="O32" i="23"/>
  <c r="O22" i="24"/>
  <c r="O22" i="23"/>
  <c r="O31" i="23"/>
  <c r="O31" i="24"/>
  <c r="O26" i="24"/>
  <c r="O26" i="23"/>
  <c r="O29" i="23"/>
  <c r="O29" i="24"/>
  <c r="N17" i="25"/>
  <c r="C25" i="18" l="1"/>
  <c r="E17" i="14"/>
  <c r="D45" i="14"/>
  <c r="E45" i="14" s="1"/>
  <c r="D31" i="14"/>
  <c r="E31" i="14" s="1"/>
  <c r="E31" i="25"/>
  <c r="M13" i="25"/>
  <c r="F31" i="25"/>
  <c r="E32" i="25"/>
  <c r="E24" i="25"/>
  <c r="I24" i="25"/>
  <c r="F28" i="25"/>
  <c r="H29" i="25"/>
  <c r="K28" i="25"/>
  <c r="I28" i="25"/>
  <c r="I29" i="25"/>
  <c r="F24" i="25"/>
  <c r="L13" i="25"/>
  <c r="H13" i="25"/>
  <c r="L28" i="25"/>
  <c r="J29" i="25"/>
  <c r="J28" i="25"/>
  <c r="J24" i="25"/>
  <c r="I13" i="25"/>
  <c r="O31" i="25"/>
  <c r="F16" i="25"/>
  <c r="E22" i="25"/>
  <c r="E16" i="25"/>
  <c r="I16" i="25"/>
  <c r="K13" i="25"/>
  <c r="L24" i="25"/>
  <c r="H24" i="25"/>
  <c r="J13" i="25"/>
  <c r="O18" i="25"/>
  <c r="H12" i="25"/>
  <c r="M24" i="25"/>
  <c r="K24" i="25"/>
  <c r="F13" i="25"/>
  <c r="G24" i="25"/>
  <c r="G13" i="25"/>
  <c r="O22" i="25"/>
  <c r="F22" i="25"/>
  <c r="F12" i="25"/>
  <c r="O12" i="25"/>
  <c r="O13" i="25"/>
  <c r="O15" i="25"/>
  <c r="J22" i="25"/>
  <c r="G15" i="25"/>
  <c r="L16" i="25"/>
  <c r="E12" i="25"/>
  <c r="O25" i="25"/>
  <c r="J15" i="25"/>
  <c r="L12" i="25"/>
  <c r="P14" i="23"/>
  <c r="P14" i="24"/>
  <c r="I12" i="25"/>
  <c r="O23" i="25"/>
  <c r="P29" i="24"/>
  <c r="P29" i="23"/>
  <c r="P25" i="24"/>
  <c r="P25" i="23"/>
  <c r="P13" i="23"/>
  <c r="P13" i="24"/>
  <c r="P12" i="23"/>
  <c r="P12" i="24"/>
  <c r="M16" i="25"/>
  <c r="O26" i="25"/>
  <c r="O32" i="25"/>
  <c r="O14" i="25"/>
  <c r="J12" i="25"/>
  <c r="N16" i="25"/>
  <c r="K16" i="25"/>
  <c r="I15" i="25"/>
  <c r="G22" i="25"/>
  <c r="J16" i="25"/>
  <c r="O17" i="25"/>
  <c r="O24" i="25"/>
  <c r="P18" i="23"/>
  <c r="P18" i="24"/>
  <c r="P16" i="23"/>
  <c r="P16" i="24"/>
  <c r="P15" i="23"/>
  <c r="P15" i="24"/>
  <c r="P31" i="24"/>
  <c r="P31" i="23"/>
  <c r="R11" i="21"/>
  <c r="Q33" i="21"/>
  <c r="Q33" i="22" s="1"/>
  <c r="Q25" i="21"/>
  <c r="Q25" i="22" s="1"/>
  <c r="Q18" i="21"/>
  <c r="Q18" i="22" s="1"/>
  <c r="Q29" i="21"/>
  <c r="Q29" i="22" s="1"/>
  <c r="Q14" i="21"/>
  <c r="Q14" i="22" s="1"/>
  <c r="Q32" i="21"/>
  <c r="Q32" i="22" s="1"/>
  <c r="Q19" i="21"/>
  <c r="Q19" i="22" s="1"/>
  <c r="Q28" i="21"/>
  <c r="Q28" i="22" s="1"/>
  <c r="Q24" i="21"/>
  <c r="Q24" i="22" s="1"/>
  <c r="Q26" i="21"/>
  <c r="Q26" i="22" s="1"/>
  <c r="Q34" i="21"/>
  <c r="Q34" i="22" s="1"/>
  <c r="Q20" i="21"/>
  <c r="Q20" i="22" s="1"/>
  <c r="Q30" i="21"/>
  <c r="Q30" i="22" s="1"/>
  <c r="Q31" i="21"/>
  <c r="Q31" i="22" s="1"/>
  <c r="Q23" i="21"/>
  <c r="Q17" i="21"/>
  <c r="Q17" i="22" s="1"/>
  <c r="Q15" i="21"/>
  <c r="Q15" i="22" s="1"/>
  <c r="Q27" i="21"/>
  <c r="Q27" i="22" s="1"/>
  <c r="Q21" i="21"/>
  <c r="Q16" i="21"/>
  <c r="Q16" i="22" s="1"/>
  <c r="O27" i="25"/>
  <c r="P32" i="24"/>
  <c r="P32" i="23"/>
  <c r="O29" i="25"/>
  <c r="M12" i="25"/>
  <c r="P24" i="24"/>
  <c r="P24" i="23"/>
  <c r="P28" i="24"/>
  <c r="P28" i="23"/>
  <c r="F15" i="25"/>
  <c r="F7" i="17"/>
  <c r="O16" i="25"/>
  <c r="O30" i="25"/>
  <c r="G16" i="25"/>
  <c r="M15" i="25"/>
  <c r="P23" i="24"/>
  <c r="P23" i="23"/>
  <c r="P26" i="24"/>
  <c r="P26" i="23"/>
  <c r="P30" i="24"/>
  <c r="P30" i="23"/>
  <c r="P22" i="23"/>
  <c r="P22" i="24"/>
  <c r="P27" i="24"/>
  <c r="P27" i="23"/>
  <c r="P17" i="23"/>
  <c r="P17" i="24"/>
  <c r="O28" i="25"/>
  <c r="E46" i="14" l="1"/>
  <c r="E32" i="14"/>
  <c r="P23" i="25"/>
  <c r="P24" i="25"/>
  <c r="P25" i="25"/>
  <c r="P31" i="25"/>
  <c r="P18" i="25"/>
  <c r="P13" i="25"/>
  <c r="P14" i="25"/>
  <c r="D25" i="18"/>
  <c r="D15" i="18"/>
  <c r="Q13" i="23"/>
  <c r="Q13" i="24"/>
  <c r="Q17" i="23"/>
  <c r="Q17" i="24"/>
  <c r="P17" i="25"/>
  <c r="Q14" i="23"/>
  <c r="Q14" i="24"/>
  <c r="Q22" i="23"/>
  <c r="Q22" i="24"/>
  <c r="Q30" i="24"/>
  <c r="Q30" i="23"/>
  <c r="Q31" i="24"/>
  <c r="Q31" i="23"/>
  <c r="P27" i="25"/>
  <c r="P30" i="25"/>
  <c r="P26" i="25"/>
  <c r="P28" i="25"/>
  <c r="Q15" i="23"/>
  <c r="Q15" i="24"/>
  <c r="Q29" i="24"/>
  <c r="Q29" i="23"/>
  <c r="Q12" i="24"/>
  <c r="Q12" i="23"/>
  <c r="Q23" i="24"/>
  <c r="Q23" i="23"/>
  <c r="S11" i="21"/>
  <c r="R29" i="21"/>
  <c r="R29" i="22" s="1"/>
  <c r="R18" i="21"/>
  <c r="R18" i="22" s="1"/>
  <c r="R33" i="21"/>
  <c r="R33" i="22" s="1"/>
  <c r="R25" i="21"/>
  <c r="R25" i="22" s="1"/>
  <c r="R34" i="21"/>
  <c r="R34" i="22" s="1"/>
  <c r="R24" i="21"/>
  <c r="R24" i="22" s="1"/>
  <c r="R26" i="21"/>
  <c r="R26" i="22" s="1"/>
  <c r="R14" i="21"/>
  <c r="R14" i="22" s="1"/>
  <c r="R30" i="21"/>
  <c r="R30" i="22" s="1"/>
  <c r="R20" i="21"/>
  <c r="R20" i="22" s="1"/>
  <c r="R15" i="21"/>
  <c r="R15" i="22" s="1"/>
  <c r="R31" i="21"/>
  <c r="R31" i="22" s="1"/>
  <c r="R17" i="21"/>
  <c r="R17" i="22" s="1"/>
  <c r="R19" i="21"/>
  <c r="R19" i="22" s="1"/>
  <c r="R21" i="21"/>
  <c r="R16" i="21"/>
  <c r="R16" i="22" s="1"/>
  <c r="R32" i="21"/>
  <c r="R32" i="22" s="1"/>
  <c r="R28" i="21"/>
  <c r="R28" i="22" s="1"/>
  <c r="R23" i="21"/>
  <c r="R27" i="21"/>
  <c r="R27" i="22" s="1"/>
  <c r="P15" i="25"/>
  <c r="P16" i="25"/>
  <c r="P12" i="25"/>
  <c r="Q24" i="24"/>
  <c r="Q24" i="23"/>
  <c r="Q27" i="24"/>
  <c r="Q27" i="23"/>
  <c r="P22" i="25"/>
  <c r="Q18" i="23"/>
  <c r="Q18" i="24"/>
  <c r="Q16" i="24"/>
  <c r="Q16" i="23"/>
  <c r="P32" i="25"/>
  <c r="Q25" i="24"/>
  <c r="Q25" i="23"/>
  <c r="Q28" i="24"/>
  <c r="Q28" i="23"/>
  <c r="Q32" i="24"/>
  <c r="Q32" i="23"/>
  <c r="Q26" i="24"/>
  <c r="Q26" i="23"/>
  <c r="P29" i="25"/>
  <c r="E52" i="14" l="1"/>
  <c r="G7" i="17" s="1"/>
  <c r="D47" i="14"/>
  <c r="E47" i="14" s="1"/>
  <c r="D33" i="14"/>
  <c r="E33" i="14" s="1"/>
  <c r="Q26" i="25"/>
  <c r="Q28" i="25"/>
  <c r="Q25" i="25"/>
  <c r="Q27" i="25"/>
  <c r="Q22" i="25"/>
  <c r="Q14" i="25"/>
  <c r="Q32" i="25"/>
  <c r="Q24" i="25"/>
  <c r="Q16" i="25"/>
  <c r="Q30" i="25"/>
  <c r="Q15" i="25"/>
  <c r="Q23" i="25"/>
  <c r="Q29" i="25"/>
  <c r="R18" i="24"/>
  <c r="R18" i="23"/>
  <c r="R24" i="24"/>
  <c r="R24" i="23"/>
  <c r="Q18" i="25"/>
  <c r="R30" i="24"/>
  <c r="R30" i="23"/>
  <c r="R15" i="24"/>
  <c r="R15" i="23"/>
  <c r="R28" i="23"/>
  <c r="R28" i="24"/>
  <c r="R31" i="24"/>
  <c r="R31" i="23"/>
  <c r="R12" i="24"/>
  <c r="R12" i="23"/>
  <c r="R22" i="24"/>
  <c r="R22" i="23"/>
  <c r="R16" i="24"/>
  <c r="R16" i="23"/>
  <c r="R27" i="24"/>
  <c r="R27" i="23"/>
  <c r="Q12" i="25"/>
  <c r="Q17" i="25"/>
  <c r="Q13" i="25"/>
  <c r="R26" i="24"/>
  <c r="R26" i="23"/>
  <c r="R23" i="24"/>
  <c r="R23" i="23"/>
  <c r="R25" i="24"/>
  <c r="R25" i="23"/>
  <c r="R29" i="24"/>
  <c r="R29" i="23"/>
  <c r="R14" i="24"/>
  <c r="R14" i="23"/>
  <c r="R17" i="24"/>
  <c r="R17" i="23"/>
  <c r="R13" i="24"/>
  <c r="R13" i="23"/>
  <c r="R32" i="24"/>
  <c r="R32" i="23"/>
  <c r="T11" i="21"/>
  <c r="S27" i="21"/>
  <c r="S27" i="22" s="1"/>
  <c r="S16" i="21"/>
  <c r="S16" i="22" s="1"/>
  <c r="S23" i="21"/>
  <c r="S28" i="21"/>
  <c r="S28" i="22" s="1"/>
  <c r="S33" i="21"/>
  <c r="S33" i="22" s="1"/>
  <c r="S15" i="21"/>
  <c r="S15" i="22" s="1"/>
  <c r="S20" i="21"/>
  <c r="S20" i="22" s="1"/>
  <c r="S26" i="21"/>
  <c r="S26" i="22" s="1"/>
  <c r="S21" i="21"/>
  <c r="S32" i="21"/>
  <c r="S32" i="22" s="1"/>
  <c r="S17" i="21"/>
  <c r="S17" i="22" s="1"/>
  <c r="S31" i="21"/>
  <c r="S31" i="22" s="1"/>
  <c r="S19" i="21"/>
  <c r="S19" i="22" s="1"/>
  <c r="S14" i="21"/>
  <c r="S14" i="22" s="1"/>
  <c r="S18" i="21"/>
  <c r="S18" i="22" s="1"/>
  <c r="S25" i="21"/>
  <c r="S25" i="22" s="1"/>
  <c r="S29" i="21"/>
  <c r="S29" i="22" s="1"/>
  <c r="S24" i="21"/>
  <c r="S24" i="22" s="1"/>
  <c r="S30" i="21"/>
  <c r="S30" i="22" s="1"/>
  <c r="S34" i="21"/>
  <c r="S34" i="22" s="1"/>
  <c r="Q31" i="25"/>
  <c r="E15" i="18" l="1"/>
  <c r="E25" i="18"/>
  <c r="E20" i="14"/>
  <c r="D34" i="14"/>
  <c r="R15" i="25"/>
  <c r="R30" i="25"/>
  <c r="R32" i="25"/>
  <c r="R13" i="25"/>
  <c r="R14" i="25"/>
  <c r="R17" i="25"/>
  <c r="R31" i="25"/>
  <c r="R25" i="25"/>
  <c r="R18" i="25"/>
  <c r="R29" i="25"/>
  <c r="R23" i="25"/>
  <c r="R26" i="25"/>
  <c r="R16" i="25"/>
  <c r="R12" i="25"/>
  <c r="S28" i="23"/>
  <c r="S28" i="24"/>
  <c r="S16" i="24"/>
  <c r="S16" i="23"/>
  <c r="S23" i="24"/>
  <c r="S23" i="23"/>
  <c r="S15" i="24"/>
  <c r="S15" i="23"/>
  <c r="U11" i="21"/>
  <c r="T32" i="21"/>
  <c r="T32" i="22" s="1"/>
  <c r="T17" i="21"/>
  <c r="T17" i="22" s="1"/>
  <c r="T27" i="21"/>
  <c r="T27" i="22" s="1"/>
  <c r="T16" i="21"/>
  <c r="T16" i="22" s="1"/>
  <c r="T31" i="21"/>
  <c r="T31" i="22" s="1"/>
  <c r="T19" i="21"/>
  <c r="T19" i="22" s="1"/>
  <c r="T23" i="21"/>
  <c r="T28" i="21"/>
  <c r="T28" i="22" s="1"/>
  <c r="T14" i="21"/>
  <c r="T14" i="22" s="1"/>
  <c r="T18" i="21"/>
  <c r="T18" i="22" s="1"/>
  <c r="T25" i="21"/>
  <c r="T25" i="22" s="1"/>
  <c r="T29" i="21"/>
  <c r="T29" i="22" s="1"/>
  <c r="T33" i="21"/>
  <c r="T33" i="22" s="1"/>
  <c r="T15" i="21"/>
  <c r="T15" i="22" s="1"/>
  <c r="T20" i="21"/>
  <c r="T20" i="22" s="1"/>
  <c r="T24" i="21"/>
  <c r="T24" i="22" s="1"/>
  <c r="T26" i="21"/>
  <c r="T26" i="22" s="1"/>
  <c r="T30" i="21"/>
  <c r="T30" i="22" s="1"/>
  <c r="T34" i="21"/>
  <c r="T34" i="22" s="1"/>
  <c r="T21" i="21"/>
  <c r="S17" i="24"/>
  <c r="S17" i="23"/>
  <c r="S30" i="23"/>
  <c r="S30" i="24"/>
  <c r="S18" i="24"/>
  <c r="S18" i="23"/>
  <c r="S26" i="23"/>
  <c r="S26" i="24"/>
  <c r="S14" i="24"/>
  <c r="S14" i="23"/>
  <c r="S27" i="24"/>
  <c r="S27" i="23"/>
  <c r="S29" i="24"/>
  <c r="S29" i="23"/>
  <c r="S31" i="24"/>
  <c r="S31" i="23"/>
  <c r="S12" i="24"/>
  <c r="S12" i="23"/>
  <c r="S24" i="23"/>
  <c r="S24" i="24"/>
  <c r="E34" i="14"/>
  <c r="R28" i="25"/>
  <c r="S22" i="24"/>
  <c r="S22" i="23"/>
  <c r="S32" i="23"/>
  <c r="S32" i="24"/>
  <c r="S13" i="24"/>
  <c r="S13" i="23"/>
  <c r="S25" i="24"/>
  <c r="S25" i="23"/>
  <c r="R27" i="25"/>
  <c r="R22" i="25"/>
  <c r="R24" i="25"/>
  <c r="E21" i="14" l="1"/>
  <c r="D35" i="14"/>
  <c r="E35" i="14" s="1"/>
  <c r="S12" i="25"/>
  <c r="S29" i="25"/>
  <c r="S14" i="25"/>
  <c r="S18" i="25"/>
  <c r="S17" i="25"/>
  <c r="S25" i="25"/>
  <c r="S13" i="25"/>
  <c r="S22" i="25"/>
  <c r="S31" i="25"/>
  <c r="S27" i="25"/>
  <c r="S15" i="25"/>
  <c r="T24" i="24"/>
  <c r="T24" i="23"/>
  <c r="T23" i="24"/>
  <c r="T23" i="23"/>
  <c r="T16" i="23"/>
  <c r="T16" i="24"/>
  <c r="T17" i="23"/>
  <c r="T17" i="24"/>
  <c r="T15" i="23"/>
  <c r="T15" i="24"/>
  <c r="S26" i="25"/>
  <c r="S30" i="25"/>
  <c r="T13" i="23"/>
  <c r="T13" i="24"/>
  <c r="T12" i="23"/>
  <c r="T12" i="24"/>
  <c r="T30" i="24"/>
  <c r="T30" i="23"/>
  <c r="T32" i="24"/>
  <c r="T32" i="23"/>
  <c r="T22" i="23"/>
  <c r="T22" i="24"/>
  <c r="T31" i="24"/>
  <c r="T31" i="23"/>
  <c r="T26" i="24"/>
  <c r="T26" i="23"/>
  <c r="T29" i="24"/>
  <c r="T29" i="23"/>
  <c r="T14" i="23"/>
  <c r="T14" i="24"/>
  <c r="U30" i="21"/>
  <c r="U30" i="22" s="1"/>
  <c r="U24" i="21"/>
  <c r="U24" i="22" s="1"/>
  <c r="U20" i="21"/>
  <c r="U20" i="22" s="1"/>
  <c r="U34" i="21"/>
  <c r="U34" i="22" s="1"/>
  <c r="U26" i="21"/>
  <c r="U26" i="22" s="1"/>
  <c r="V11" i="21"/>
  <c r="U15" i="21"/>
  <c r="U15" i="22" s="1"/>
  <c r="U16" i="21"/>
  <c r="U16" i="22" s="1"/>
  <c r="U31" i="21"/>
  <c r="U31" i="22" s="1"/>
  <c r="U18" i="21"/>
  <c r="U18" i="22" s="1"/>
  <c r="U25" i="21"/>
  <c r="U25" i="22" s="1"/>
  <c r="U17" i="21"/>
  <c r="U17" i="22" s="1"/>
  <c r="U33" i="21"/>
  <c r="U33" i="22" s="1"/>
  <c r="U23" i="21"/>
  <c r="U14" i="21"/>
  <c r="U14" i="22" s="1"/>
  <c r="U21" i="21"/>
  <c r="U29" i="21"/>
  <c r="U29" i="22" s="1"/>
  <c r="U32" i="21"/>
  <c r="U32" i="22" s="1"/>
  <c r="U28" i="21"/>
  <c r="U28" i="22" s="1"/>
  <c r="U19" i="21"/>
  <c r="U19" i="22" s="1"/>
  <c r="U27" i="21"/>
  <c r="U27" i="22" s="1"/>
  <c r="S28" i="25"/>
  <c r="S32" i="25"/>
  <c r="S24" i="25"/>
  <c r="T28" i="24"/>
  <c r="T28" i="23"/>
  <c r="T18" i="23"/>
  <c r="T18" i="24"/>
  <c r="T27" i="24"/>
  <c r="T27" i="23"/>
  <c r="T25" i="24"/>
  <c r="T25" i="23"/>
  <c r="S23" i="25"/>
  <c r="S16" i="25"/>
  <c r="E23" i="14" l="1"/>
  <c r="E24" i="14"/>
  <c r="E49" i="14" s="1"/>
  <c r="D7" i="17" s="1"/>
  <c r="E56" i="14"/>
  <c r="E22" i="14"/>
  <c r="E54" i="14" s="1"/>
  <c r="D36" i="14"/>
  <c r="T29" i="25"/>
  <c r="T25" i="25"/>
  <c r="T27" i="25"/>
  <c r="T28" i="25"/>
  <c r="T26" i="25"/>
  <c r="T31" i="25"/>
  <c r="T32" i="25"/>
  <c r="T23" i="25"/>
  <c r="T24" i="25"/>
  <c r="U25" i="24"/>
  <c r="U25" i="23"/>
  <c r="U30" i="24"/>
  <c r="U30" i="23"/>
  <c r="U15" i="23"/>
  <c r="U15" i="24"/>
  <c r="U28" i="24"/>
  <c r="U28" i="23"/>
  <c r="T15" i="25"/>
  <c r="T17" i="25"/>
  <c r="U12" i="23"/>
  <c r="U12" i="24"/>
  <c r="U14" i="23"/>
  <c r="U14" i="24"/>
  <c r="W11" i="21"/>
  <c r="V17" i="21"/>
  <c r="V17" i="22" s="1"/>
  <c r="V28" i="21"/>
  <c r="V28" i="22" s="1"/>
  <c r="V15" i="21"/>
  <c r="V15" i="22" s="1"/>
  <c r="V30" i="21"/>
  <c r="V30" i="22" s="1"/>
  <c r="V21" i="21"/>
  <c r="V14" i="21"/>
  <c r="V14" i="22" s="1"/>
  <c r="V29" i="21"/>
  <c r="V29" i="22" s="1"/>
  <c r="V34" i="21"/>
  <c r="V34" i="22" s="1"/>
  <c r="V18" i="21"/>
  <c r="V18" i="22" s="1"/>
  <c r="V25" i="21"/>
  <c r="V25" i="22" s="1"/>
  <c r="V23" i="21"/>
  <c r="V26" i="21"/>
  <c r="V26" i="22" s="1"/>
  <c r="V31" i="21"/>
  <c r="V31" i="22" s="1"/>
  <c r="V20" i="21"/>
  <c r="V20" i="22" s="1"/>
  <c r="V27" i="21"/>
  <c r="V27" i="22" s="1"/>
  <c r="V16" i="21"/>
  <c r="V16" i="22" s="1"/>
  <c r="V33" i="21"/>
  <c r="V33" i="22" s="1"/>
  <c r="V24" i="21"/>
  <c r="V24" i="22" s="1"/>
  <c r="V19" i="21"/>
  <c r="V19" i="22" s="1"/>
  <c r="V32" i="21"/>
  <c r="V32" i="22" s="1"/>
  <c r="T12" i="25"/>
  <c r="T13" i="25"/>
  <c r="U31" i="24"/>
  <c r="U31" i="23"/>
  <c r="U13" i="24"/>
  <c r="U13" i="23"/>
  <c r="U22" i="24"/>
  <c r="U22" i="23"/>
  <c r="U17" i="23"/>
  <c r="U17" i="24"/>
  <c r="U29" i="24"/>
  <c r="U29" i="23"/>
  <c r="U24" i="24"/>
  <c r="U24" i="23"/>
  <c r="T22" i="25"/>
  <c r="E36" i="14"/>
  <c r="E55" i="14" s="1"/>
  <c r="U26" i="24"/>
  <c r="U26" i="23"/>
  <c r="U27" i="24"/>
  <c r="U27" i="23"/>
  <c r="U23" i="24"/>
  <c r="U23" i="23"/>
  <c r="U32" i="24"/>
  <c r="U32" i="23"/>
  <c r="T18" i="25"/>
  <c r="U16" i="23"/>
  <c r="U16" i="24"/>
  <c r="U18" i="24"/>
  <c r="U18" i="23"/>
  <c r="T14" i="25"/>
  <c r="T30" i="25"/>
  <c r="T16" i="25"/>
  <c r="B25" i="18" l="1"/>
  <c r="B15" i="18"/>
  <c r="L7" i="17"/>
  <c r="I7" i="17"/>
  <c r="U24" i="25"/>
  <c r="U22" i="25"/>
  <c r="U31" i="25"/>
  <c r="U25" i="25"/>
  <c r="U18" i="25"/>
  <c r="U23" i="25"/>
  <c r="U26" i="25"/>
  <c r="U17" i="25"/>
  <c r="U14" i="25"/>
  <c r="U16" i="25"/>
  <c r="U15" i="25"/>
  <c r="U30" i="25"/>
  <c r="V30" i="24"/>
  <c r="V30" i="23"/>
  <c r="V13" i="24"/>
  <c r="V13" i="23"/>
  <c r="V17" i="24"/>
  <c r="V17" i="23"/>
  <c r="V29" i="23"/>
  <c r="V29" i="24"/>
  <c r="V27" i="24"/>
  <c r="V27" i="23"/>
  <c r="U29" i="25"/>
  <c r="U13" i="25"/>
  <c r="V22" i="24"/>
  <c r="V22" i="23"/>
  <c r="V25" i="24"/>
  <c r="V25" i="23"/>
  <c r="V24" i="24"/>
  <c r="V24" i="23"/>
  <c r="V16" i="24"/>
  <c r="V16" i="23"/>
  <c r="X11" i="21"/>
  <c r="W21" i="21"/>
  <c r="W18" i="21"/>
  <c r="W18" i="22" s="1"/>
  <c r="W25" i="21"/>
  <c r="W25" i="22" s="1"/>
  <c r="W15" i="21"/>
  <c r="W15" i="22" s="1"/>
  <c r="W20" i="21"/>
  <c r="W20" i="22" s="1"/>
  <c r="W26" i="21"/>
  <c r="W26" i="22" s="1"/>
  <c r="W32" i="21"/>
  <c r="W32" i="22" s="1"/>
  <c r="W17" i="21"/>
  <c r="W17" i="22" s="1"/>
  <c r="W27" i="21"/>
  <c r="W27" i="22" s="1"/>
  <c r="W16" i="21"/>
  <c r="W16" i="22" s="1"/>
  <c r="W31" i="21"/>
  <c r="W31" i="22" s="1"/>
  <c r="W19" i="21"/>
  <c r="W19" i="22" s="1"/>
  <c r="W23" i="21"/>
  <c r="W28" i="21"/>
  <c r="W28" i="22" s="1"/>
  <c r="W14" i="21"/>
  <c r="W14" i="22" s="1"/>
  <c r="W29" i="21"/>
  <c r="W29" i="22" s="1"/>
  <c r="W33" i="21"/>
  <c r="W33" i="22" s="1"/>
  <c r="W24" i="21"/>
  <c r="W24" i="22" s="1"/>
  <c r="W30" i="21"/>
  <c r="W30" i="22" s="1"/>
  <c r="W34" i="21"/>
  <c r="W34" i="22" s="1"/>
  <c r="U12" i="25"/>
  <c r="U28" i="25"/>
  <c r="V23" i="24"/>
  <c r="V23" i="23"/>
  <c r="V12" i="24"/>
  <c r="V12" i="23"/>
  <c r="V15" i="24"/>
  <c r="V15" i="23"/>
  <c r="V14" i="24"/>
  <c r="V14" i="23"/>
  <c r="U32" i="25"/>
  <c r="U27" i="25"/>
  <c r="V31" i="24"/>
  <c r="V31" i="23"/>
  <c r="V18" i="24"/>
  <c r="V18" i="23"/>
  <c r="V32" i="24"/>
  <c r="V32" i="23"/>
  <c r="V28" i="24"/>
  <c r="V28" i="23"/>
  <c r="V26" i="24"/>
  <c r="V26" i="23"/>
  <c r="J15" i="18" l="1"/>
  <c r="J17" i="18" s="1"/>
  <c r="J25" i="18"/>
  <c r="L9" i="17"/>
  <c r="J7" i="17"/>
  <c r="V14" i="25"/>
  <c r="V24" i="25"/>
  <c r="V22" i="25"/>
  <c r="V15" i="25"/>
  <c r="V23" i="25"/>
  <c r="V30" i="25"/>
  <c r="V28" i="25"/>
  <c r="V32" i="25"/>
  <c r="V18" i="25"/>
  <c r="W28" i="24"/>
  <c r="W28" i="23"/>
  <c r="W23" i="23"/>
  <c r="W23" i="24"/>
  <c r="Y11" i="21"/>
  <c r="X31" i="21"/>
  <c r="X31" i="22" s="1"/>
  <c r="X19" i="21"/>
  <c r="X19" i="22" s="1"/>
  <c r="X23" i="21"/>
  <c r="X28" i="21"/>
  <c r="X28" i="22" s="1"/>
  <c r="X14" i="21"/>
  <c r="X14" i="22" s="1"/>
  <c r="X18" i="21"/>
  <c r="X18" i="22" s="1"/>
  <c r="X25" i="21"/>
  <c r="X25" i="22" s="1"/>
  <c r="X29" i="21"/>
  <c r="X29" i="22" s="1"/>
  <c r="X33" i="21"/>
  <c r="X33" i="22" s="1"/>
  <c r="X15" i="21"/>
  <c r="X15" i="22" s="1"/>
  <c r="X20" i="21"/>
  <c r="X20" i="22" s="1"/>
  <c r="X24" i="21"/>
  <c r="X24" i="22" s="1"/>
  <c r="X26" i="21"/>
  <c r="X26" i="22" s="1"/>
  <c r="X30" i="21"/>
  <c r="X30" i="22" s="1"/>
  <c r="X34" i="21"/>
  <c r="X34" i="22" s="1"/>
  <c r="X21" i="21"/>
  <c r="X17" i="21"/>
  <c r="X17" i="22" s="1"/>
  <c r="X32" i="21"/>
  <c r="X32" i="22" s="1"/>
  <c r="X27" i="21"/>
  <c r="X27" i="22" s="1"/>
  <c r="X16" i="21"/>
  <c r="X16" i="22" s="1"/>
  <c r="W27" i="23"/>
  <c r="W27" i="24"/>
  <c r="W14" i="24"/>
  <c r="W14" i="23"/>
  <c r="W16" i="24"/>
  <c r="W16" i="23"/>
  <c r="V29" i="25"/>
  <c r="V12" i="25"/>
  <c r="W22" i="24"/>
  <c r="W22" i="23"/>
  <c r="W26" i="24"/>
  <c r="W26" i="23"/>
  <c r="W29" i="23"/>
  <c r="W29" i="24"/>
  <c r="W25" i="23"/>
  <c r="W25" i="24"/>
  <c r="W18" i="24"/>
  <c r="W18" i="23"/>
  <c r="V27" i="25"/>
  <c r="V17" i="25"/>
  <c r="V13" i="25"/>
  <c r="W31" i="23"/>
  <c r="W31" i="24"/>
  <c r="W17" i="24"/>
  <c r="W17" i="23"/>
  <c r="W30" i="24"/>
  <c r="W30" i="23"/>
  <c r="W12" i="24"/>
  <c r="W12" i="23"/>
  <c r="W24" i="24"/>
  <c r="W24" i="23"/>
  <c r="V26" i="25"/>
  <c r="V31" i="25"/>
  <c r="W32" i="24"/>
  <c r="W32" i="23"/>
  <c r="W15" i="24"/>
  <c r="W15" i="23"/>
  <c r="W13" i="24"/>
  <c r="W13" i="23"/>
  <c r="V16" i="25"/>
  <c r="V25" i="25"/>
  <c r="J18" i="18" l="1"/>
  <c r="L16" i="17"/>
  <c r="L14" i="17"/>
  <c r="L11" i="17"/>
  <c r="L13" i="17"/>
  <c r="L15" i="17"/>
  <c r="L12" i="17"/>
  <c r="H15" i="18"/>
  <c r="H25" i="18"/>
  <c r="W13" i="25"/>
  <c r="W32" i="25"/>
  <c r="W18" i="25"/>
  <c r="W27" i="25"/>
  <c r="W15" i="25"/>
  <c r="W31" i="25"/>
  <c r="W26" i="25"/>
  <c r="W22" i="25"/>
  <c r="W16" i="25"/>
  <c r="W24" i="25"/>
  <c r="W17" i="25"/>
  <c r="W28" i="25"/>
  <c r="X30" i="24"/>
  <c r="X30" i="23"/>
  <c r="X24" i="24"/>
  <c r="X24" i="23"/>
  <c r="X23" i="24"/>
  <c r="X23" i="23"/>
  <c r="X17" i="23"/>
  <c r="X17" i="24"/>
  <c r="X13" i="23"/>
  <c r="X13" i="24"/>
  <c r="X12" i="23"/>
  <c r="X12" i="24"/>
  <c r="W23" i="25"/>
  <c r="X14" i="23"/>
  <c r="X14" i="24"/>
  <c r="X32" i="24"/>
  <c r="X32" i="23"/>
  <c r="X22" i="23"/>
  <c r="X22" i="24"/>
  <c r="X31" i="24"/>
  <c r="X31" i="23"/>
  <c r="X26" i="24"/>
  <c r="X26" i="23"/>
  <c r="X29" i="24"/>
  <c r="X29" i="23"/>
  <c r="X15" i="23"/>
  <c r="X15" i="24"/>
  <c r="X16" i="23"/>
  <c r="X16" i="24"/>
  <c r="W25" i="25"/>
  <c r="W12" i="25"/>
  <c r="W30" i="25"/>
  <c r="W29" i="25"/>
  <c r="W14" i="25"/>
  <c r="X25" i="24"/>
  <c r="X25" i="23"/>
  <c r="X28" i="24"/>
  <c r="X28" i="23"/>
  <c r="X18" i="23"/>
  <c r="X18" i="24"/>
  <c r="X27" i="24"/>
  <c r="X27" i="23"/>
  <c r="Z11" i="21"/>
  <c r="Y25" i="21"/>
  <c r="Y25" i="22" s="1"/>
  <c r="Y18" i="21"/>
  <c r="Y18" i="22" s="1"/>
  <c r="Y14" i="21"/>
  <c r="Y14" i="22" s="1"/>
  <c r="Y29" i="21"/>
  <c r="Y29" i="22" s="1"/>
  <c r="Y33" i="21"/>
  <c r="Y33" i="22" s="1"/>
  <c r="Y31" i="21"/>
  <c r="Y31" i="22" s="1"/>
  <c r="Y24" i="21"/>
  <c r="Y24" i="22" s="1"/>
  <c r="Y26" i="21"/>
  <c r="Y26" i="22" s="1"/>
  <c r="Y27" i="21"/>
  <c r="Y27" i="22" s="1"/>
  <c r="Y16" i="21"/>
  <c r="Y16" i="22" s="1"/>
  <c r="Y19" i="21"/>
  <c r="Y19" i="22" s="1"/>
  <c r="Y28" i="21"/>
  <c r="Y28" i="22" s="1"/>
  <c r="Y15" i="21"/>
  <c r="Y15" i="22" s="1"/>
  <c r="Y20" i="21"/>
  <c r="Y20" i="22" s="1"/>
  <c r="Y30" i="21"/>
  <c r="Y30" i="22" s="1"/>
  <c r="Y34" i="21"/>
  <c r="Y34" i="22" s="1"/>
  <c r="Y32" i="21"/>
  <c r="Y32" i="22" s="1"/>
  <c r="Y21" i="21"/>
  <c r="Y17" i="21"/>
  <c r="Y17" i="22" s="1"/>
  <c r="Y23" i="21"/>
  <c r="L18" i="17" l="1"/>
  <c r="L23" i="17" s="1"/>
  <c r="X29" i="25"/>
  <c r="X18" i="25"/>
  <c r="X27" i="25"/>
  <c r="X28" i="25"/>
  <c r="X25" i="25"/>
  <c r="X16" i="25"/>
  <c r="X15" i="25"/>
  <c r="X14" i="25"/>
  <c r="X24" i="25"/>
  <c r="X13" i="25"/>
  <c r="Y26" i="24"/>
  <c r="Y26" i="23"/>
  <c r="Y16" i="23"/>
  <c r="Y16" i="24"/>
  <c r="Y17" i="24"/>
  <c r="Y17" i="23"/>
  <c r="Y23" i="24"/>
  <c r="Y23" i="23"/>
  <c r="X12" i="25"/>
  <c r="X17" i="25"/>
  <c r="Y30" i="24"/>
  <c r="Y30" i="23"/>
  <c r="Y18" i="23"/>
  <c r="Y18" i="24"/>
  <c r="Y22" i="23"/>
  <c r="Y22" i="24"/>
  <c r="Y29" i="24"/>
  <c r="Y29" i="23"/>
  <c r="Y27" i="24"/>
  <c r="Y27" i="23"/>
  <c r="X22" i="25"/>
  <c r="X23" i="25"/>
  <c r="X30" i="25"/>
  <c r="Y28" i="24"/>
  <c r="Y28" i="23"/>
  <c r="Y25" i="24"/>
  <c r="Y25" i="23"/>
  <c r="Y31" i="24"/>
  <c r="Y31" i="23"/>
  <c r="Y24" i="24"/>
  <c r="Y24" i="23"/>
  <c r="Y15" i="23"/>
  <c r="Y15" i="24"/>
  <c r="Y32" i="24"/>
  <c r="Y32" i="23"/>
  <c r="Y13" i="23"/>
  <c r="Y13" i="24"/>
  <c r="Y14" i="24"/>
  <c r="Y14" i="23"/>
  <c r="Y12" i="23"/>
  <c r="Y12" i="24"/>
  <c r="AA11" i="21"/>
  <c r="Z33" i="21"/>
  <c r="Z33" i="22" s="1"/>
  <c r="Z29" i="21"/>
  <c r="Z29" i="22" s="1"/>
  <c r="Z25" i="21"/>
  <c r="Z25" i="22" s="1"/>
  <c r="Z18" i="21"/>
  <c r="Z18" i="22" s="1"/>
  <c r="Z14" i="21"/>
  <c r="Z14" i="22" s="1"/>
  <c r="Z26" i="21"/>
  <c r="Z26" i="22" s="1"/>
  <c r="Z15" i="21"/>
  <c r="Z15" i="22" s="1"/>
  <c r="Z30" i="21"/>
  <c r="Z30" i="22" s="1"/>
  <c r="Z20" i="21"/>
  <c r="Z20" i="22" s="1"/>
  <c r="Z34" i="21"/>
  <c r="Z34" i="22" s="1"/>
  <c r="Z24" i="21"/>
  <c r="Z24" i="22" s="1"/>
  <c r="Z32" i="21"/>
  <c r="Z32" i="22" s="1"/>
  <c r="Z28" i="21"/>
  <c r="Z28" i="22" s="1"/>
  <c r="Z17" i="21"/>
  <c r="Z17" i="22" s="1"/>
  <c r="Z23" i="21"/>
  <c r="Z21" i="21"/>
  <c r="Z27" i="21"/>
  <c r="Z27" i="22" s="1"/>
  <c r="Z16" i="21"/>
  <c r="Z16" i="22" s="1"/>
  <c r="Z31" i="21"/>
  <c r="Z31" i="22" s="1"/>
  <c r="Z19" i="21"/>
  <c r="Z19" i="22" s="1"/>
  <c r="X26" i="25"/>
  <c r="X31" i="25"/>
  <c r="X32" i="25"/>
  <c r="Y24" i="25" l="1"/>
  <c r="Y31" i="25"/>
  <c r="Y28" i="25"/>
  <c r="Y29" i="25"/>
  <c r="Y30" i="25"/>
  <c r="Y23" i="25"/>
  <c r="Y17" i="25"/>
  <c r="Y25" i="25"/>
  <c r="Y27" i="25"/>
  <c r="Y26" i="25"/>
  <c r="Y12" i="25"/>
  <c r="Y13" i="25"/>
  <c r="Y15" i="25"/>
  <c r="Y14" i="25"/>
  <c r="Y32" i="25"/>
  <c r="Z14" i="24"/>
  <c r="Z14" i="23"/>
  <c r="Z26" i="24"/>
  <c r="Z26" i="23"/>
  <c r="Z24" i="24"/>
  <c r="Z24" i="23"/>
  <c r="Z27" i="24"/>
  <c r="Z27" i="23"/>
  <c r="Z28" i="24"/>
  <c r="Z28" i="23"/>
  <c r="Z12" i="24"/>
  <c r="Z12" i="23"/>
  <c r="Z31" i="24"/>
  <c r="Z31" i="23"/>
  <c r="Y22" i="25"/>
  <c r="Y18" i="25"/>
  <c r="Z29" i="24"/>
  <c r="Z29" i="23"/>
  <c r="Z25" i="24"/>
  <c r="Z25" i="23"/>
  <c r="Z15" i="24"/>
  <c r="Z15" i="23"/>
  <c r="Z22" i="24"/>
  <c r="Z22" i="23"/>
  <c r="Z13" i="24"/>
  <c r="Z13" i="23"/>
  <c r="AB11" i="21"/>
  <c r="AA32" i="21"/>
  <c r="AA32" i="22" s="1"/>
  <c r="AA17" i="21"/>
  <c r="AA17" i="22" s="1"/>
  <c r="AA27" i="21"/>
  <c r="AA27" i="22" s="1"/>
  <c r="AA16" i="21"/>
  <c r="AA16" i="22" s="1"/>
  <c r="AA31" i="21"/>
  <c r="AA31" i="22" s="1"/>
  <c r="AA19" i="21"/>
  <c r="AA19" i="22" s="1"/>
  <c r="AA23" i="21"/>
  <c r="AA28" i="21"/>
  <c r="AA28" i="22" s="1"/>
  <c r="AA14" i="21"/>
  <c r="AA14" i="22" s="1"/>
  <c r="AA18" i="21"/>
  <c r="AA18" i="22" s="1"/>
  <c r="AA25" i="21"/>
  <c r="AA25" i="22" s="1"/>
  <c r="AA29" i="21"/>
  <c r="AA29" i="22" s="1"/>
  <c r="AA33" i="21"/>
  <c r="AA33" i="22" s="1"/>
  <c r="AA15" i="21"/>
  <c r="AA15" i="22" s="1"/>
  <c r="AA20" i="21"/>
  <c r="AA20" i="22" s="1"/>
  <c r="AA24" i="21"/>
  <c r="AA24" i="22" s="1"/>
  <c r="AA26" i="21"/>
  <c r="AA26" i="22" s="1"/>
  <c r="AA30" i="21"/>
  <c r="AA30" i="22" s="1"/>
  <c r="AA34" i="21"/>
  <c r="AA34" i="22" s="1"/>
  <c r="AA21" i="21"/>
  <c r="G25" i="18"/>
  <c r="G15" i="18"/>
  <c r="G17" i="18" s="1"/>
  <c r="Z17" i="24"/>
  <c r="Z17" i="23"/>
  <c r="Z18" i="24"/>
  <c r="Z18" i="23"/>
  <c r="Z30" i="23"/>
  <c r="Z30" i="24"/>
  <c r="Y16" i="25"/>
  <c r="Z32" i="24"/>
  <c r="Z32" i="23"/>
  <c r="Z16" i="24"/>
  <c r="Z16" i="23"/>
  <c r="Z23" i="24"/>
  <c r="Z23" i="23"/>
  <c r="G18" i="18" l="1"/>
  <c r="Z23" i="25"/>
  <c r="Z22" i="25"/>
  <c r="Z25" i="25"/>
  <c r="Z31" i="25"/>
  <c r="Z13" i="25"/>
  <c r="Z15" i="25"/>
  <c r="Z29" i="25"/>
  <c r="Z30" i="25"/>
  <c r="Z12" i="25"/>
  <c r="Z27" i="25"/>
  <c r="Z26" i="25"/>
  <c r="Z18" i="25"/>
  <c r="Z17" i="25"/>
  <c r="AA13" i="24"/>
  <c r="AA13" i="23"/>
  <c r="AA12" i="24"/>
  <c r="AA12" i="23"/>
  <c r="AA30" i="23"/>
  <c r="AA30" i="24"/>
  <c r="AA22" i="24"/>
  <c r="AA22" i="23"/>
  <c r="AA29" i="24"/>
  <c r="AA29" i="23"/>
  <c r="AA14" i="24"/>
  <c r="AA14" i="23"/>
  <c r="AB17" i="21"/>
  <c r="AB17" i="22" s="1"/>
  <c r="AB27" i="21"/>
  <c r="AB27" i="22" s="1"/>
  <c r="AB16" i="21"/>
  <c r="AB16" i="22" s="1"/>
  <c r="AB23" i="21"/>
  <c r="AB33" i="21"/>
  <c r="AB33" i="22" s="1"/>
  <c r="AB20" i="21"/>
  <c r="AB20" i="22" s="1"/>
  <c r="AB26" i="21"/>
  <c r="AB26" i="22" s="1"/>
  <c r="AB21" i="21"/>
  <c r="AB32" i="21"/>
  <c r="AB32" i="22" s="1"/>
  <c r="AB31" i="21"/>
  <c r="AB31" i="22" s="1"/>
  <c r="AB19" i="21"/>
  <c r="AB19" i="22" s="1"/>
  <c r="AB28" i="21"/>
  <c r="AB28" i="22" s="1"/>
  <c r="AB14" i="21"/>
  <c r="AB14" i="22" s="1"/>
  <c r="AB18" i="21"/>
  <c r="AB18" i="22" s="1"/>
  <c r="AB25" i="21"/>
  <c r="AB25" i="22" s="1"/>
  <c r="AB29" i="21"/>
  <c r="AB29" i="22" s="1"/>
  <c r="AB15" i="21"/>
  <c r="AB15" i="22" s="1"/>
  <c r="AB24" i="21"/>
  <c r="AB24" i="22" s="1"/>
  <c r="AB30" i="21"/>
  <c r="AB30" i="22" s="1"/>
  <c r="AB34" i="21"/>
  <c r="AB34" i="22" s="1"/>
  <c r="Z16" i="25"/>
  <c r="Z32" i="25"/>
  <c r="AA28" i="23"/>
  <c r="AA28" i="24"/>
  <c r="AA18" i="24"/>
  <c r="AA18" i="23"/>
  <c r="AA27" i="24"/>
  <c r="AA27" i="23"/>
  <c r="AA25" i="24"/>
  <c r="AA25" i="23"/>
  <c r="Z28" i="25"/>
  <c r="Z24" i="25"/>
  <c r="Z14" i="25"/>
  <c r="AA32" i="23"/>
  <c r="AA32" i="24"/>
  <c r="AA31" i="24"/>
  <c r="AA31" i="23"/>
  <c r="AA26" i="23"/>
  <c r="AA26" i="24"/>
  <c r="AA24" i="23"/>
  <c r="AA24" i="24"/>
  <c r="AA23" i="24"/>
  <c r="AA23" i="23"/>
  <c r="AA16" i="24"/>
  <c r="AA16" i="23"/>
  <c r="AA17" i="24"/>
  <c r="AA17" i="23"/>
  <c r="AA15" i="24"/>
  <c r="AA15" i="23"/>
  <c r="AA16" i="25" l="1"/>
  <c r="AA14" i="25"/>
  <c r="AA12" i="25"/>
  <c r="AA28" i="25"/>
  <c r="AA15" i="25"/>
  <c r="AA17" i="25"/>
  <c r="AA23" i="25"/>
  <c r="AA31" i="25"/>
  <c r="AA29" i="25"/>
  <c r="AA22" i="25"/>
  <c r="AA13" i="25"/>
  <c r="AA18" i="25"/>
  <c r="AB12" i="23"/>
  <c r="AB12" i="24"/>
  <c r="AB13" i="23"/>
  <c r="AB13" i="24"/>
  <c r="AB26" i="24"/>
  <c r="AB26" i="23"/>
  <c r="AB24" i="24"/>
  <c r="AB24" i="23"/>
  <c r="AB27" i="24"/>
  <c r="AB27" i="23"/>
  <c r="AB17" i="23"/>
  <c r="AB17" i="24"/>
  <c r="AB30" i="24"/>
  <c r="AB30" i="23"/>
  <c r="AB18" i="23"/>
  <c r="AB18" i="24"/>
  <c r="AB14" i="23"/>
  <c r="AB14" i="24"/>
  <c r="AB32" i="24"/>
  <c r="AB32" i="23"/>
  <c r="AB29" i="24"/>
  <c r="AB29" i="23"/>
  <c r="AB15" i="23"/>
  <c r="AB15" i="24"/>
  <c r="AA24" i="25"/>
  <c r="AB28" i="24"/>
  <c r="AB28" i="23"/>
  <c r="AA26" i="25"/>
  <c r="AA32" i="25"/>
  <c r="AA25" i="25"/>
  <c r="AA27" i="25"/>
  <c r="AB22" i="23"/>
  <c r="AB22" i="24"/>
  <c r="AB23" i="24"/>
  <c r="AB23" i="23"/>
  <c r="AB16" i="23"/>
  <c r="AB16" i="24"/>
  <c r="AB31" i="24"/>
  <c r="AB31" i="23"/>
  <c r="AB25" i="24"/>
  <c r="AB25" i="23"/>
  <c r="AA30" i="25"/>
  <c r="AB14" i="25" l="1"/>
  <c r="AC14" i="25" s="1"/>
  <c r="Y14" i="26" s="1"/>
  <c r="AB31" i="25"/>
  <c r="AC31" i="25" s="1"/>
  <c r="M31" i="26" s="1"/>
  <c r="AB23" i="25"/>
  <c r="AC23" i="25" s="1"/>
  <c r="U23" i="26" s="1"/>
  <c r="AB28" i="25"/>
  <c r="AC28" i="25" s="1"/>
  <c r="P28" i="26" s="1"/>
  <c r="AB16" i="25"/>
  <c r="AC16" i="25" s="1"/>
  <c r="W16" i="26" s="1"/>
  <c r="AB22" i="25"/>
  <c r="AC22" i="25" s="1"/>
  <c r="N22" i="26" s="1"/>
  <c r="AB29" i="25"/>
  <c r="AC29" i="25" s="1"/>
  <c r="W29" i="26" s="1"/>
  <c r="AB32" i="25"/>
  <c r="AC32" i="25" s="1"/>
  <c r="P32" i="26" s="1"/>
  <c r="AB27" i="25"/>
  <c r="AC27" i="25" s="1"/>
  <c r="M27" i="26" s="1"/>
  <c r="AB24" i="25"/>
  <c r="AC24" i="25" s="1"/>
  <c r="AB24" i="26" s="1"/>
  <c r="AB15" i="25"/>
  <c r="AC15" i="25" s="1"/>
  <c r="AB17" i="25"/>
  <c r="AC17" i="25" s="1"/>
  <c r="AB13" i="25"/>
  <c r="AC13" i="25" s="1"/>
  <c r="AB30" i="25"/>
  <c r="AC30" i="25" s="1"/>
  <c r="AB26" i="25"/>
  <c r="AC26" i="25" s="1"/>
  <c r="AB18" i="25"/>
  <c r="AC18" i="25" s="1"/>
  <c r="AB12" i="25"/>
  <c r="AC12" i="25" s="1"/>
  <c r="AB25" i="25"/>
  <c r="AC25" i="25" s="1"/>
  <c r="J14" i="26" l="1"/>
  <c r="V14" i="26"/>
  <c r="L14" i="26"/>
  <c r="E14" i="26"/>
  <c r="K14" i="26"/>
  <c r="G14" i="26"/>
  <c r="P14" i="26"/>
  <c r="M14" i="26"/>
  <c r="R14" i="26"/>
  <c r="AA14" i="26"/>
  <c r="O14" i="26"/>
  <c r="X14" i="26"/>
  <c r="Q14" i="26"/>
  <c r="S14" i="26"/>
  <c r="F14" i="26"/>
  <c r="H14" i="26"/>
  <c r="AB14" i="26"/>
  <c r="U14" i="26"/>
  <c r="Z14" i="26"/>
  <c r="N14" i="26"/>
  <c r="W14" i="26"/>
  <c r="T14" i="26"/>
  <c r="I14" i="26"/>
  <c r="N23" i="26"/>
  <c r="Y16" i="26"/>
  <c r="H24" i="26"/>
  <c r="L31" i="26"/>
  <c r="U24" i="26"/>
  <c r="R24" i="26"/>
  <c r="S31" i="26"/>
  <c r="Q31" i="26"/>
  <c r="I24" i="26"/>
  <c r="O24" i="26"/>
  <c r="X24" i="26"/>
  <c r="AA31" i="26"/>
  <c r="G31" i="26"/>
  <c r="AB31" i="26"/>
  <c r="E24" i="26"/>
  <c r="Y24" i="26"/>
  <c r="W24" i="26"/>
  <c r="K31" i="26"/>
  <c r="W31" i="26"/>
  <c r="I31" i="26"/>
  <c r="M24" i="26"/>
  <c r="G24" i="26"/>
  <c r="P24" i="26"/>
  <c r="N31" i="26"/>
  <c r="T31" i="26"/>
  <c r="Y31" i="26"/>
  <c r="AA23" i="26"/>
  <c r="F24" i="26"/>
  <c r="N24" i="26"/>
  <c r="J24" i="26"/>
  <c r="K24" i="26"/>
  <c r="AA24" i="26"/>
  <c r="T24" i="26"/>
  <c r="J31" i="26"/>
  <c r="F31" i="26"/>
  <c r="O31" i="26"/>
  <c r="P31" i="26"/>
  <c r="E31" i="26"/>
  <c r="U31" i="26"/>
  <c r="V24" i="26"/>
  <c r="Q24" i="26"/>
  <c r="Z24" i="26"/>
  <c r="S24" i="26"/>
  <c r="L24" i="26"/>
  <c r="Z31" i="26"/>
  <c r="R31" i="26"/>
  <c r="V31" i="26"/>
  <c r="H31" i="26"/>
  <c r="X31" i="26"/>
  <c r="T23" i="26"/>
  <c r="Y29" i="26"/>
  <c r="AB23" i="26"/>
  <c r="T16" i="26"/>
  <c r="L29" i="26"/>
  <c r="AA16" i="26"/>
  <c r="H32" i="26"/>
  <c r="P22" i="26"/>
  <c r="G23" i="26"/>
  <c r="Q23" i="26"/>
  <c r="R29" i="26"/>
  <c r="U16" i="26"/>
  <c r="E32" i="26"/>
  <c r="I22" i="26"/>
  <c r="N32" i="26"/>
  <c r="S23" i="26"/>
  <c r="L23" i="26"/>
  <c r="Y23" i="26"/>
  <c r="K29" i="26"/>
  <c r="K16" i="26"/>
  <c r="AA32" i="26"/>
  <c r="J32" i="26"/>
  <c r="K22" i="26"/>
  <c r="F22" i="26"/>
  <c r="K28" i="26"/>
  <c r="R32" i="26"/>
  <c r="AB22" i="26"/>
  <c r="R22" i="26"/>
  <c r="T28" i="26"/>
  <c r="Z28" i="26"/>
  <c r="Z23" i="26"/>
  <c r="W23" i="26"/>
  <c r="I23" i="26"/>
  <c r="P29" i="26"/>
  <c r="AA29" i="26"/>
  <c r="R16" i="26"/>
  <c r="F28" i="26"/>
  <c r="R23" i="26"/>
  <c r="K23" i="26"/>
  <c r="V23" i="26"/>
  <c r="H23" i="26"/>
  <c r="X23" i="26"/>
  <c r="M23" i="26"/>
  <c r="U29" i="26"/>
  <c r="I29" i="26"/>
  <c r="Z29" i="26"/>
  <c r="I16" i="26"/>
  <c r="E16" i="26"/>
  <c r="Z16" i="26"/>
  <c r="R28" i="26"/>
  <c r="AA28" i="26"/>
  <c r="J23" i="26"/>
  <c r="F23" i="26"/>
  <c r="O23" i="26"/>
  <c r="P23" i="26"/>
  <c r="E23" i="26"/>
  <c r="M29" i="26"/>
  <c r="J29" i="26"/>
  <c r="S29" i="26"/>
  <c r="Q16" i="26"/>
  <c r="J16" i="26"/>
  <c r="S16" i="26"/>
  <c r="I28" i="26"/>
  <c r="N28" i="26"/>
  <c r="H28" i="26"/>
  <c r="X28" i="26"/>
  <c r="W27" i="26"/>
  <c r="Y28" i="26"/>
  <c r="M28" i="26"/>
  <c r="V28" i="26"/>
  <c r="S28" i="26"/>
  <c r="L28" i="26"/>
  <c r="AB28" i="26"/>
  <c r="L27" i="26"/>
  <c r="V32" i="26"/>
  <c r="K32" i="26"/>
  <c r="T32" i="26"/>
  <c r="G22" i="26"/>
  <c r="M22" i="26"/>
  <c r="V22" i="26"/>
  <c r="E28" i="26"/>
  <c r="O28" i="26"/>
  <c r="Q28" i="26"/>
  <c r="J28" i="26"/>
  <c r="U28" i="26"/>
  <c r="G28" i="26"/>
  <c r="W28" i="26"/>
  <c r="Q27" i="26"/>
  <c r="I32" i="26"/>
  <c r="O32" i="26"/>
  <c r="X32" i="26"/>
  <c r="T22" i="26"/>
  <c r="H22" i="26"/>
  <c r="Y22" i="26"/>
  <c r="T29" i="26"/>
  <c r="AB29" i="26"/>
  <c r="X29" i="26"/>
  <c r="F29" i="26"/>
  <c r="V29" i="26"/>
  <c r="O29" i="26"/>
  <c r="H16" i="26"/>
  <c r="P16" i="26"/>
  <c r="AB16" i="26"/>
  <c r="F16" i="26"/>
  <c r="V16" i="26"/>
  <c r="O16" i="26"/>
  <c r="K27" i="26"/>
  <c r="E29" i="26"/>
  <c r="H29" i="26"/>
  <c r="Q29" i="26"/>
  <c r="N29" i="26"/>
  <c r="G29" i="26"/>
  <c r="X16" i="26"/>
  <c r="L16" i="26"/>
  <c r="M16" i="26"/>
  <c r="N16" i="26"/>
  <c r="G16" i="26"/>
  <c r="O27" i="26"/>
  <c r="AB27" i="26"/>
  <c r="F27" i="26"/>
  <c r="S27" i="26"/>
  <c r="E27" i="26"/>
  <c r="V27" i="26"/>
  <c r="R27" i="26"/>
  <c r="AA27" i="26"/>
  <c r="T27" i="26"/>
  <c r="I27" i="26"/>
  <c r="Y27" i="26"/>
  <c r="U32" i="26"/>
  <c r="Q32" i="26"/>
  <c r="Z32" i="26"/>
  <c r="S32" i="26"/>
  <c r="L32" i="26"/>
  <c r="AB32" i="26"/>
  <c r="AA22" i="26"/>
  <c r="O22" i="26"/>
  <c r="X22" i="26"/>
  <c r="Q22" i="26"/>
  <c r="J22" i="26"/>
  <c r="Z22" i="26"/>
  <c r="J27" i="26"/>
  <c r="P27" i="26"/>
  <c r="U27" i="26"/>
  <c r="N27" i="26"/>
  <c r="G27" i="26"/>
  <c r="Z27" i="26"/>
  <c r="H27" i="26"/>
  <c r="X27" i="26"/>
  <c r="M32" i="26"/>
  <c r="F32" i="26"/>
  <c r="Y32" i="26"/>
  <c r="G32" i="26"/>
  <c r="W32" i="26"/>
  <c r="S22" i="26"/>
  <c r="L22" i="26"/>
  <c r="W22" i="26"/>
  <c r="E22" i="26"/>
  <c r="U22" i="26"/>
  <c r="Z18" i="26"/>
  <c r="V18" i="26"/>
  <c r="R18" i="26"/>
  <c r="N18" i="26"/>
  <c r="J18" i="26"/>
  <c r="F18" i="26"/>
  <c r="Y18" i="26"/>
  <c r="U18" i="26"/>
  <c r="Q18" i="26"/>
  <c r="M18" i="26"/>
  <c r="I18" i="26"/>
  <c r="E18" i="26"/>
  <c r="AB18" i="26"/>
  <c r="T18" i="26"/>
  <c r="L18" i="26"/>
  <c r="AA18" i="26"/>
  <c r="S18" i="26"/>
  <c r="K18" i="26"/>
  <c r="P18" i="26"/>
  <c r="O18" i="26"/>
  <c r="H18" i="26"/>
  <c r="G18" i="26"/>
  <c r="X18" i="26"/>
  <c r="W18" i="26"/>
  <c r="Z30" i="26"/>
  <c r="V30" i="26"/>
  <c r="R30" i="26"/>
  <c r="N30" i="26"/>
  <c r="J30" i="26"/>
  <c r="F30" i="26"/>
  <c r="Y30" i="26"/>
  <c r="U30" i="26"/>
  <c r="Q30" i="26"/>
  <c r="M30" i="26"/>
  <c r="I30" i="26"/>
  <c r="E30" i="26"/>
  <c r="AB30" i="26"/>
  <c r="T30" i="26"/>
  <c r="L30" i="26"/>
  <c r="AA30" i="26"/>
  <c r="S30" i="26"/>
  <c r="K30" i="26"/>
  <c r="P30" i="26"/>
  <c r="O30" i="26"/>
  <c r="H30" i="26"/>
  <c r="G30" i="26"/>
  <c r="X30" i="26"/>
  <c r="W30" i="26"/>
  <c r="Z26" i="26"/>
  <c r="V26" i="26"/>
  <c r="R26" i="26"/>
  <c r="N26" i="26"/>
  <c r="J26" i="26"/>
  <c r="F26" i="26"/>
  <c r="Y26" i="26"/>
  <c r="U26" i="26"/>
  <c r="Q26" i="26"/>
  <c r="M26" i="26"/>
  <c r="I26" i="26"/>
  <c r="E26" i="26"/>
  <c r="X26" i="26"/>
  <c r="P26" i="26"/>
  <c r="H26" i="26"/>
  <c r="W26" i="26"/>
  <c r="O26" i="26"/>
  <c r="G26" i="26"/>
  <c r="T26" i="26"/>
  <c r="S26" i="26"/>
  <c r="AB26" i="26"/>
  <c r="AA26" i="26"/>
  <c r="L26" i="26"/>
  <c r="K26" i="26"/>
  <c r="Y17" i="26"/>
  <c r="U17" i="26"/>
  <c r="Q17" i="26"/>
  <c r="M17" i="26"/>
  <c r="I17" i="26"/>
  <c r="E17" i="26"/>
  <c r="AB17" i="26"/>
  <c r="X17" i="26"/>
  <c r="T17" i="26"/>
  <c r="P17" i="26"/>
  <c r="L17" i="26"/>
  <c r="H17" i="26"/>
  <c r="AA17" i="26"/>
  <c r="S17" i="26"/>
  <c r="K17" i="26"/>
  <c r="Z17" i="26"/>
  <c r="R17" i="26"/>
  <c r="J17" i="26"/>
  <c r="W17" i="26"/>
  <c r="G17" i="26"/>
  <c r="V17" i="26"/>
  <c r="F17" i="26"/>
  <c r="O17" i="26"/>
  <c r="N17" i="26"/>
  <c r="AA12" i="26"/>
  <c r="W12" i="26"/>
  <c r="Y12" i="26"/>
  <c r="T12" i="26"/>
  <c r="P12" i="26"/>
  <c r="L12" i="26"/>
  <c r="H12" i="26"/>
  <c r="X12" i="26"/>
  <c r="S12" i="26"/>
  <c r="O12" i="26"/>
  <c r="K12" i="26"/>
  <c r="G12" i="26"/>
  <c r="V12" i="26"/>
  <c r="N12" i="26"/>
  <c r="F12" i="26"/>
  <c r="U12" i="26"/>
  <c r="M12" i="26"/>
  <c r="E12" i="26"/>
  <c r="AB12" i="26"/>
  <c r="J12" i="26"/>
  <c r="Z12" i="26"/>
  <c r="I12" i="26"/>
  <c r="R12" i="26"/>
  <c r="Q12" i="26"/>
  <c r="Z13" i="26"/>
  <c r="V13" i="26"/>
  <c r="R13" i="26"/>
  <c r="N13" i="26"/>
  <c r="J13" i="26"/>
  <c r="F13" i="26"/>
  <c r="AB13" i="26"/>
  <c r="W13" i="26"/>
  <c r="Q13" i="26"/>
  <c r="L13" i="26"/>
  <c r="G13" i="26"/>
  <c r="AA13" i="26"/>
  <c r="U13" i="26"/>
  <c r="P13" i="26"/>
  <c r="K13" i="26"/>
  <c r="E13" i="26"/>
  <c r="Y13" i="26"/>
  <c r="O13" i="26"/>
  <c r="X13" i="26"/>
  <c r="M13" i="26"/>
  <c r="T13" i="26"/>
  <c r="S13" i="26"/>
  <c r="I13" i="26"/>
  <c r="H13" i="26"/>
  <c r="AA25" i="26"/>
  <c r="W25" i="26"/>
  <c r="S25" i="26"/>
  <c r="O25" i="26"/>
  <c r="K25" i="26"/>
  <c r="G25" i="26"/>
  <c r="Z25" i="26"/>
  <c r="V25" i="26"/>
  <c r="R25" i="26"/>
  <c r="N25" i="26"/>
  <c r="J25" i="26"/>
  <c r="F25" i="26"/>
  <c r="U25" i="26"/>
  <c r="M25" i="26"/>
  <c r="E25" i="26"/>
  <c r="AB25" i="26"/>
  <c r="T25" i="26"/>
  <c r="L25" i="26"/>
  <c r="Q25" i="26"/>
  <c r="P25" i="26"/>
  <c r="Y25" i="26"/>
  <c r="X25" i="26"/>
  <c r="I25" i="26"/>
  <c r="H25" i="26"/>
  <c r="AB15" i="26"/>
  <c r="X15" i="26"/>
  <c r="T15" i="26"/>
  <c r="P15" i="26"/>
  <c r="L15" i="26"/>
  <c r="H15" i="26"/>
  <c r="AA15" i="26"/>
  <c r="W15" i="26"/>
  <c r="S15" i="26"/>
  <c r="O15" i="26"/>
  <c r="K15" i="26"/>
  <c r="G15" i="26"/>
  <c r="Z15" i="26"/>
  <c r="R15" i="26"/>
  <c r="J15" i="26"/>
  <c r="Y15" i="26"/>
  <c r="Q15" i="26"/>
  <c r="I15" i="26"/>
  <c r="N15" i="26"/>
  <c r="M15" i="26"/>
  <c r="V15" i="26"/>
  <c r="U15" i="26"/>
  <c r="F15" i="26"/>
  <c r="E15" i="26"/>
  <c r="AC14" i="26" l="1"/>
  <c r="G16" i="9" s="1"/>
  <c r="I97" i="13" s="1"/>
  <c r="AC24" i="26"/>
  <c r="G26" i="9" s="1"/>
  <c r="H26" i="9" s="1"/>
  <c r="I26" i="9" s="1"/>
  <c r="AC31" i="26"/>
  <c r="G33" i="9" s="1"/>
  <c r="H33" i="9" s="1"/>
  <c r="I33" i="9" s="1"/>
  <c r="AC27" i="26"/>
  <c r="G29" i="9" s="1"/>
  <c r="I110" i="13" s="1"/>
  <c r="AC23" i="26"/>
  <c r="G25" i="9" s="1"/>
  <c r="I106" i="13" s="1"/>
  <c r="AC28" i="26"/>
  <c r="G30" i="9" s="1"/>
  <c r="I111" i="13" s="1"/>
  <c r="AC16" i="26"/>
  <c r="G18" i="9" s="1"/>
  <c r="I99" i="13" s="1"/>
  <c r="AC32" i="26"/>
  <c r="G34" i="9" s="1"/>
  <c r="I115" i="13" s="1"/>
  <c r="AC29" i="26"/>
  <c r="G31" i="9" s="1"/>
  <c r="I112" i="13" s="1"/>
  <c r="AC22" i="26"/>
  <c r="G24" i="9" s="1"/>
  <c r="H24" i="9" s="1"/>
  <c r="I24" i="9" s="1"/>
  <c r="AC25" i="26"/>
  <c r="G27" i="9" s="1"/>
  <c r="AC12" i="26"/>
  <c r="G14" i="9" s="1"/>
  <c r="AC26" i="26"/>
  <c r="G28" i="9" s="1"/>
  <c r="AC17" i="26"/>
  <c r="G19" i="9" s="1"/>
  <c r="AC13" i="26"/>
  <c r="G15" i="9" s="1"/>
  <c r="AC15" i="26"/>
  <c r="G17" i="9" s="1"/>
  <c r="AC30" i="26"/>
  <c r="G32" i="9" s="1"/>
  <c r="AC18" i="26"/>
  <c r="G20" i="9" s="1"/>
  <c r="H16" i="9" l="1"/>
  <c r="I16" i="9" s="1"/>
  <c r="J74" i="13" s="1"/>
  <c r="I114" i="13"/>
  <c r="I107" i="13"/>
  <c r="H25" i="9"/>
  <c r="I25" i="9" s="1"/>
  <c r="J83" i="13" s="1"/>
  <c r="H29" i="9"/>
  <c r="I29" i="9" s="1"/>
  <c r="J87" i="13" s="1"/>
  <c r="H18" i="9"/>
  <c r="I18" i="9" s="1"/>
  <c r="J76" i="13" s="1"/>
  <c r="J129" i="13" s="1"/>
  <c r="J135" i="13" s="1"/>
  <c r="H34" i="9"/>
  <c r="I34" i="9" s="1"/>
  <c r="J115" i="13" s="1"/>
  <c r="K115" i="13" s="1"/>
  <c r="N115" i="13" s="1"/>
  <c r="H30" i="9"/>
  <c r="I30" i="9" s="1"/>
  <c r="I105" i="13"/>
  <c r="H31" i="9"/>
  <c r="I31" i="9" s="1"/>
  <c r="J91" i="13"/>
  <c r="J114" i="13"/>
  <c r="I96" i="13"/>
  <c r="H15" i="9"/>
  <c r="I15" i="9" s="1"/>
  <c r="I109" i="13"/>
  <c r="H28" i="9"/>
  <c r="I28" i="9" s="1"/>
  <c r="I95" i="13"/>
  <c r="H14" i="9"/>
  <c r="I14" i="9" s="1"/>
  <c r="I113" i="13"/>
  <c r="H32" i="9"/>
  <c r="I32" i="9" s="1"/>
  <c r="I98" i="13"/>
  <c r="H17" i="9"/>
  <c r="I17" i="9" s="1"/>
  <c r="J84" i="13"/>
  <c r="J107" i="13"/>
  <c r="I108" i="13"/>
  <c r="H27" i="9"/>
  <c r="I27" i="9" s="1"/>
  <c r="I101" i="13"/>
  <c r="H20" i="9"/>
  <c r="I20" i="9" s="1"/>
  <c r="J82" i="13"/>
  <c r="J105" i="13"/>
  <c r="I100" i="13"/>
  <c r="H19" i="9"/>
  <c r="I19" i="9" s="1"/>
  <c r="K105" i="13" l="1"/>
  <c r="J97" i="13"/>
  <c r="K114" i="13"/>
  <c r="N114" i="13" s="1"/>
  <c r="K107" i="13"/>
  <c r="N107" i="13" s="1"/>
  <c r="J110" i="13"/>
  <c r="K110" i="13" s="1"/>
  <c r="N110" i="13" s="1"/>
  <c r="J106" i="13"/>
  <c r="K106" i="13" s="1"/>
  <c r="N106" i="13" s="1"/>
  <c r="J99" i="13"/>
  <c r="J92" i="13"/>
  <c r="P33" i="13" s="1"/>
  <c r="T33" i="13" s="1"/>
  <c r="J111" i="13"/>
  <c r="K111" i="13" s="1"/>
  <c r="N111" i="13" s="1"/>
  <c r="J88" i="13"/>
  <c r="J89" i="13"/>
  <c r="J112" i="13"/>
  <c r="K112" i="13" s="1"/>
  <c r="N112" i="13" s="1"/>
  <c r="J113" i="13"/>
  <c r="K113" i="13" s="1"/>
  <c r="N113" i="13" s="1"/>
  <c r="J90" i="13"/>
  <c r="J72" i="13"/>
  <c r="J95" i="13"/>
  <c r="J73" i="13"/>
  <c r="J96" i="13"/>
  <c r="J101" i="13"/>
  <c r="K101" i="13" s="1"/>
  <c r="J78" i="13"/>
  <c r="J108" i="13"/>
  <c r="K108" i="13" s="1"/>
  <c r="N108" i="13" s="1"/>
  <c r="J85" i="13"/>
  <c r="J98" i="13"/>
  <c r="J75" i="13"/>
  <c r="J128" i="13" s="1"/>
  <c r="J134" i="13" s="1"/>
  <c r="J109" i="13"/>
  <c r="K109" i="13" s="1"/>
  <c r="N109" i="13" s="1"/>
  <c r="J86" i="13"/>
  <c r="P28" i="13"/>
  <c r="T28" i="13" s="1"/>
  <c r="K87" i="13"/>
  <c r="N87" i="13" s="1"/>
  <c r="J77" i="13"/>
  <c r="J130" i="13" s="1"/>
  <c r="J136" i="13" s="1"/>
  <c r="J100" i="13"/>
  <c r="P24" i="13"/>
  <c r="T24" i="13" s="1"/>
  <c r="K83" i="13"/>
  <c r="P23" i="13"/>
  <c r="T23" i="13" s="1"/>
  <c r="K82" i="13"/>
  <c r="N82" i="13" s="1"/>
  <c r="P25" i="13"/>
  <c r="T25" i="13" s="1"/>
  <c r="K84" i="13"/>
  <c r="N84" i="13" s="1"/>
  <c r="P15" i="13"/>
  <c r="T15" i="13" s="1"/>
  <c r="K74" i="13"/>
  <c r="P17" i="13"/>
  <c r="T17" i="13" s="1"/>
  <c r="K76" i="13"/>
  <c r="P32" i="13"/>
  <c r="T32" i="13" s="1"/>
  <c r="K91" i="13"/>
  <c r="N91" i="13" s="1"/>
  <c r="N76" i="13" l="1"/>
  <c r="O25" i="13"/>
  <c r="S25" i="13" s="1"/>
  <c r="J132" i="13"/>
  <c r="J138" i="13" s="1"/>
  <c r="K138" i="13" s="1"/>
  <c r="K96" i="13"/>
  <c r="N96" i="13" s="1"/>
  <c r="O23" i="13"/>
  <c r="S23" i="13" s="1"/>
  <c r="K100" i="13"/>
  <c r="N100" i="13" s="1"/>
  <c r="K95" i="13"/>
  <c r="N95" i="13" s="1"/>
  <c r="K97" i="13"/>
  <c r="N97" i="13" s="1"/>
  <c r="O32" i="13"/>
  <c r="S32" i="13" s="1"/>
  <c r="K98" i="13"/>
  <c r="N98" i="13" s="1"/>
  <c r="N101" i="13"/>
  <c r="J127" i="13"/>
  <c r="J133" i="13" s="1"/>
  <c r="K99" i="13"/>
  <c r="N99" i="13" s="1"/>
  <c r="O28" i="13"/>
  <c r="S28" i="13" s="1"/>
  <c r="K92" i="13"/>
  <c r="N92" i="13" s="1"/>
  <c r="O33" i="13" s="1"/>
  <c r="S33" i="13" s="1"/>
  <c r="P29" i="13"/>
  <c r="T29" i="13" s="1"/>
  <c r="K88" i="13"/>
  <c r="N88" i="13" s="1"/>
  <c r="O29" i="13" s="1"/>
  <c r="S29" i="13" s="1"/>
  <c r="P30" i="13"/>
  <c r="T30" i="13" s="1"/>
  <c r="K89" i="13"/>
  <c r="N89" i="13" s="1"/>
  <c r="T74" i="13"/>
  <c r="N74" i="13"/>
  <c r="P18" i="13"/>
  <c r="T18" i="13" s="1"/>
  <c r="K77" i="13"/>
  <c r="N83" i="13"/>
  <c r="P27" i="13"/>
  <c r="T27" i="13" s="1"/>
  <c r="K86" i="13"/>
  <c r="N86" i="13" s="1"/>
  <c r="O27" i="13" s="1"/>
  <c r="S27" i="13" s="1"/>
  <c r="P26" i="13"/>
  <c r="T26" i="13" s="1"/>
  <c r="K85" i="13"/>
  <c r="N85" i="13" s="1"/>
  <c r="O26" i="13" s="1"/>
  <c r="S26" i="13" s="1"/>
  <c r="P19" i="13"/>
  <c r="T19" i="13" s="1"/>
  <c r="K78" i="13"/>
  <c r="P31" i="13"/>
  <c r="T31" i="13" s="1"/>
  <c r="K90" i="13"/>
  <c r="N90" i="13" s="1"/>
  <c r="P16" i="13"/>
  <c r="T16" i="13" s="1"/>
  <c r="K75" i="13"/>
  <c r="K136" i="13"/>
  <c r="K131" i="13"/>
  <c r="K130" i="13"/>
  <c r="P13" i="13"/>
  <c r="T13" i="13" s="1"/>
  <c r="K72" i="13"/>
  <c r="K73" i="13"/>
  <c r="P14" i="13"/>
  <c r="T14" i="13" s="1"/>
  <c r="K143" i="13" l="1"/>
  <c r="O17" i="13"/>
  <c r="S17" i="13" s="1"/>
  <c r="O30" i="13"/>
  <c r="S30" i="13" s="1"/>
  <c r="O31" i="13"/>
  <c r="S31" i="13" s="1"/>
  <c r="O15" i="13"/>
  <c r="S15" i="13" s="1"/>
  <c r="O24" i="13"/>
  <c r="S24" i="13" s="1"/>
  <c r="K132" i="13"/>
  <c r="K146" i="13" s="1"/>
  <c r="J6" i="17" s="1"/>
  <c r="N78" i="13"/>
  <c r="T75" i="13"/>
  <c r="N75" i="13"/>
  <c r="O16" i="13" s="1"/>
  <c r="S16" i="13" s="1"/>
  <c r="K135" i="13"/>
  <c r="K129" i="13"/>
  <c r="T72" i="13"/>
  <c r="N72" i="13"/>
  <c r="T77" i="13"/>
  <c r="N77" i="13"/>
  <c r="S18" i="13" s="1"/>
  <c r="K134" i="13"/>
  <c r="K128" i="13"/>
  <c r="T73" i="13"/>
  <c r="N73" i="13"/>
  <c r="O14" i="13" s="1"/>
  <c r="S14" i="13" s="1"/>
  <c r="K133" i="13"/>
  <c r="K127" i="13"/>
  <c r="O19" i="13" l="1"/>
  <c r="S19" i="13" s="1"/>
  <c r="H13" i="18"/>
  <c r="H17" i="18" s="1"/>
  <c r="H18" i="18" s="1"/>
  <c r="G6" i="17"/>
  <c r="E13" i="18" s="1"/>
  <c r="K142" i="13"/>
  <c r="F6" i="17" s="1"/>
  <c r="D13" i="18" s="1"/>
  <c r="D17" i="18" s="1"/>
  <c r="D18" i="18" s="1"/>
  <c r="K140" i="13"/>
  <c r="D6" i="17" s="1"/>
  <c r="K141" i="13"/>
  <c r="I9" i="17"/>
  <c r="G24" i="18"/>
  <c r="G9" i="17" l="1"/>
  <c r="G11" i="17" s="1"/>
  <c r="E17" i="18"/>
  <c r="E18" i="18" s="1"/>
  <c r="B24" i="18"/>
  <c r="B13" i="18"/>
  <c r="E24" i="18"/>
  <c r="F9" i="17"/>
  <c r="D24" i="18"/>
  <c r="E6" i="17"/>
  <c r="H22" i="18"/>
  <c r="J9" i="17"/>
  <c r="H24" i="18"/>
  <c r="I13" i="17"/>
  <c r="I12" i="17"/>
  <c r="I15" i="17"/>
  <c r="I16" i="17"/>
  <c r="I11" i="17"/>
  <c r="I14" i="17"/>
  <c r="G22" i="18"/>
  <c r="D9" i="17"/>
  <c r="G15" i="17" l="1"/>
  <c r="G16" i="17"/>
  <c r="G14" i="17"/>
  <c r="G12" i="17"/>
  <c r="G13" i="17"/>
  <c r="J12" i="17"/>
  <c r="F12" i="17"/>
  <c r="E22" i="18"/>
  <c r="B22" i="18"/>
  <c r="B17" i="18"/>
  <c r="C24" i="18"/>
  <c r="C13" i="18"/>
  <c r="C17" i="18" s="1"/>
  <c r="F11" i="17"/>
  <c r="D22" i="18"/>
  <c r="F16" i="17"/>
  <c r="F15" i="17"/>
  <c r="F14" i="17"/>
  <c r="F13" i="17"/>
  <c r="E9" i="17"/>
  <c r="J16" i="17"/>
  <c r="J11" i="17"/>
  <c r="J13" i="17"/>
  <c r="J15" i="17"/>
  <c r="J14" i="17"/>
  <c r="D13" i="17"/>
  <c r="D14" i="17"/>
  <c r="D16" i="17"/>
  <c r="D15" i="17"/>
  <c r="D12" i="17"/>
  <c r="D11" i="17"/>
  <c r="I18" i="17"/>
  <c r="I23" i="17" s="1"/>
  <c r="G18" i="17" l="1"/>
  <c r="G23" i="17" s="1"/>
  <c r="B18" i="18"/>
  <c r="C18" i="18"/>
  <c r="F18" i="17"/>
  <c r="F23" i="17" s="1"/>
  <c r="C22" i="18"/>
  <c r="E13" i="17"/>
  <c r="E16" i="17"/>
  <c r="E14" i="17"/>
  <c r="E11" i="17"/>
  <c r="E12" i="17"/>
  <c r="E15" i="17"/>
  <c r="J18" i="17"/>
  <c r="J23" i="17" s="1"/>
  <c r="D18" i="17"/>
  <c r="D23" i="17" s="1"/>
  <c r="E18" i="17" l="1"/>
  <c r="E23" i="17" s="1"/>
  <c r="I23" i="4" l="1"/>
  <c r="G106" i="4"/>
  <c r="I106" i="4" s="1"/>
  <c r="I65" i="4"/>
  <c r="I44" i="4"/>
  <c r="E23" i="9" l="1"/>
  <c r="L104" i="13" s="1"/>
  <c r="E34" i="6"/>
  <c r="L58" i="13" s="1"/>
  <c r="E20" i="10"/>
  <c r="I20" i="10" s="1"/>
  <c r="I34" i="6" l="1"/>
  <c r="J58" i="13" s="1"/>
  <c r="K58" i="13" s="1"/>
  <c r="N58" i="13" s="1"/>
  <c r="L81" i="13"/>
  <c r="I22" i="4"/>
  <c r="I105" i="4"/>
  <c r="E33" i="6" s="1"/>
  <c r="I43" i="4"/>
  <c r="E19" i="10" s="1"/>
  <c r="Z23" i="22"/>
  <c r="Z21" i="23" s="1"/>
  <c r="E19" i="14"/>
  <c r="E53" i="14" s="1"/>
  <c r="N23" i="22"/>
  <c r="P23" i="22" l="1"/>
  <c r="P21" i="24" s="1"/>
  <c r="K23" i="22"/>
  <c r="K21" i="24" s="1"/>
  <c r="L23" i="22"/>
  <c r="L21" i="23" s="1"/>
  <c r="I64" i="4"/>
  <c r="E22" i="9" s="1"/>
  <c r="K22" i="22" s="1"/>
  <c r="I19" i="10"/>
  <c r="G24" i="5" s="1"/>
  <c r="J21" i="13" s="1"/>
  <c r="K21" i="13" s="1"/>
  <c r="R22" i="22"/>
  <c r="L80" i="13"/>
  <c r="G25" i="5"/>
  <c r="J22" i="13" s="1"/>
  <c r="K22" i="13" s="1"/>
  <c r="N22" i="13" s="1"/>
  <c r="AB23" i="22"/>
  <c r="AB21" i="24" s="1"/>
  <c r="W23" i="22"/>
  <c r="W21" i="23" s="1"/>
  <c r="L57" i="13"/>
  <c r="I33" i="6"/>
  <c r="J57" i="13" s="1"/>
  <c r="K57" i="13" s="1"/>
  <c r="T23" i="22"/>
  <c r="T21" i="24" s="1"/>
  <c r="M23" i="22"/>
  <c r="M21" i="23" s="1"/>
  <c r="E23" i="22"/>
  <c r="E21" i="23" s="1"/>
  <c r="L21" i="13"/>
  <c r="H23" i="22"/>
  <c r="H21" i="23" s="1"/>
  <c r="U23" i="22"/>
  <c r="U21" i="23" s="1"/>
  <c r="I23" i="22"/>
  <c r="I21" i="24" s="1"/>
  <c r="J23" i="22"/>
  <c r="J21" i="24" s="1"/>
  <c r="F23" i="22"/>
  <c r="F21" i="24" s="1"/>
  <c r="S23" i="22"/>
  <c r="O23" i="22"/>
  <c r="O21" i="24" s="1"/>
  <c r="Z21" i="24"/>
  <c r="Z21" i="25" s="1"/>
  <c r="R23" i="22"/>
  <c r="R21" i="24" s="1"/>
  <c r="Q23" i="22"/>
  <c r="Q21" i="23" s="1"/>
  <c r="G23" i="22"/>
  <c r="G21" i="24" s="1"/>
  <c r="AA23" i="22"/>
  <c r="AA21" i="24" s="1"/>
  <c r="Y23" i="22"/>
  <c r="Y21" i="23" s="1"/>
  <c r="X23" i="22"/>
  <c r="X21" i="24" s="1"/>
  <c r="AB21" i="23"/>
  <c r="AB21" i="25" s="1"/>
  <c r="V23" i="22"/>
  <c r="V21" i="24" s="1"/>
  <c r="P21" i="23"/>
  <c r="P21" i="25" s="1"/>
  <c r="N21" i="23"/>
  <c r="N21" i="24"/>
  <c r="B11" i="1"/>
  <c r="T21" i="23"/>
  <c r="W21" i="24" l="1"/>
  <c r="W21" i="25" s="1"/>
  <c r="K21" i="23"/>
  <c r="K21" i="25" s="1"/>
  <c r="L21" i="24"/>
  <c r="L21" i="25" s="1"/>
  <c r="F21" i="23"/>
  <c r="M21" i="24"/>
  <c r="M21" i="25" s="1"/>
  <c r="L103" i="13"/>
  <c r="Z22" i="22"/>
  <c r="Z20" i="24" s="1"/>
  <c r="I22" i="22"/>
  <c r="I20" i="23" s="1"/>
  <c r="E22" i="22"/>
  <c r="E20" i="24" s="1"/>
  <c r="AA22" i="22"/>
  <c r="AA20" i="23" s="1"/>
  <c r="J22" i="22"/>
  <c r="J20" i="24" s="1"/>
  <c r="R20" i="24"/>
  <c r="R20" i="23"/>
  <c r="AB22" i="22"/>
  <c r="G22" i="22"/>
  <c r="F22" i="22"/>
  <c r="N57" i="13"/>
  <c r="Q22" i="22"/>
  <c r="L22" i="22"/>
  <c r="O22" i="22"/>
  <c r="M22" i="22"/>
  <c r="H22" i="22"/>
  <c r="N22" i="22"/>
  <c r="I20" i="24"/>
  <c r="K20" i="24"/>
  <c r="K20" i="23"/>
  <c r="J20" i="23"/>
  <c r="W22" i="22"/>
  <c r="X22" i="22"/>
  <c r="V22" i="22"/>
  <c r="Y22" i="22"/>
  <c r="T22" i="22"/>
  <c r="S22" i="22"/>
  <c r="U22" i="22"/>
  <c r="P22" i="22"/>
  <c r="H21" i="24"/>
  <c r="E21" i="24"/>
  <c r="E21" i="25" s="1"/>
  <c r="O21" i="23"/>
  <c r="O21" i="25" s="1"/>
  <c r="N21" i="13"/>
  <c r="U21" i="24"/>
  <c r="U21" i="25" s="1"/>
  <c r="I21" i="23"/>
  <c r="I21" i="25" s="1"/>
  <c r="J21" i="23"/>
  <c r="J21" i="25" s="1"/>
  <c r="Y21" i="24"/>
  <c r="Y21" i="25" s="1"/>
  <c r="G21" i="23"/>
  <c r="G21" i="25" s="1"/>
  <c r="R21" i="23"/>
  <c r="R21" i="25" s="1"/>
  <c r="V21" i="23"/>
  <c r="V21" i="25" s="1"/>
  <c r="S21" i="23"/>
  <c r="S21" i="24"/>
  <c r="AA21" i="23"/>
  <c r="AA21" i="25" s="1"/>
  <c r="Q21" i="24"/>
  <c r="Q21" i="25" s="1"/>
  <c r="X21" i="23"/>
  <c r="X21" i="25" s="1"/>
  <c r="H21" i="25"/>
  <c r="T21" i="25"/>
  <c r="E21" i="9"/>
  <c r="E18" i="10"/>
  <c r="E32" i="6"/>
  <c r="F26" i="18"/>
  <c r="N21" i="25"/>
  <c r="E58" i="14"/>
  <c r="D10" i="16" s="1"/>
  <c r="F21" i="25"/>
  <c r="F23" i="18"/>
  <c r="Z20" i="23" l="1"/>
  <c r="Z20" i="25" s="1"/>
  <c r="AA20" i="24"/>
  <c r="E20" i="23"/>
  <c r="E20" i="25" s="1"/>
  <c r="K20" i="25"/>
  <c r="R20" i="25"/>
  <c r="V20" i="24"/>
  <c r="V20" i="23"/>
  <c r="F20" i="24"/>
  <c r="F20" i="23"/>
  <c r="X20" i="24"/>
  <c r="X20" i="23"/>
  <c r="N20" i="24"/>
  <c r="N20" i="23"/>
  <c r="G20" i="24"/>
  <c r="G20" i="23"/>
  <c r="P20" i="24"/>
  <c r="P20" i="23"/>
  <c r="Y20" i="24"/>
  <c r="Y20" i="23"/>
  <c r="J20" i="25"/>
  <c r="I20" i="25"/>
  <c r="M20" i="24"/>
  <c r="M20" i="23"/>
  <c r="AA20" i="25"/>
  <c r="U20" i="24"/>
  <c r="U20" i="23"/>
  <c r="O20" i="24"/>
  <c r="O20" i="23"/>
  <c r="S20" i="24"/>
  <c r="S20" i="23"/>
  <c r="L20" i="24"/>
  <c r="L20" i="23"/>
  <c r="T20" i="23"/>
  <c r="T20" i="24"/>
  <c r="W20" i="24"/>
  <c r="W20" i="23"/>
  <c r="H20" i="24"/>
  <c r="H20" i="23"/>
  <c r="Q20" i="24"/>
  <c r="Q20" i="23"/>
  <c r="AB20" i="23"/>
  <c r="AB20" i="24"/>
  <c r="S21" i="25"/>
  <c r="AC21" i="25" s="1"/>
  <c r="Z21" i="26" s="1"/>
  <c r="L79" i="13"/>
  <c r="I18" i="10"/>
  <c r="Q21" i="22" s="1"/>
  <c r="L20" i="13"/>
  <c r="F62" i="14"/>
  <c r="H7" i="17"/>
  <c r="I32" i="6"/>
  <c r="J56" i="13" s="1"/>
  <c r="K56" i="13" s="1"/>
  <c r="L56" i="13"/>
  <c r="L102" i="13"/>
  <c r="G21" i="22" l="1"/>
  <c r="G19" i="23" s="1"/>
  <c r="Q20" i="25"/>
  <c r="W20" i="25"/>
  <c r="L20" i="25"/>
  <c r="O20" i="25"/>
  <c r="P20" i="25"/>
  <c r="N20" i="25"/>
  <c r="F20" i="25"/>
  <c r="AB20" i="25"/>
  <c r="T20" i="25"/>
  <c r="W21" i="22"/>
  <c r="W19" i="23" s="1"/>
  <c r="O21" i="22"/>
  <c r="O19" i="24" s="1"/>
  <c r="X21" i="22"/>
  <c r="X19" i="24" s="1"/>
  <c r="S21" i="22"/>
  <c r="S19" i="24" s="1"/>
  <c r="H20" i="25"/>
  <c r="S20" i="25"/>
  <c r="U20" i="25"/>
  <c r="M20" i="25"/>
  <c r="Y20" i="25"/>
  <c r="G20" i="25"/>
  <c r="X20" i="25"/>
  <c r="V20" i="25"/>
  <c r="X21" i="26"/>
  <c r="W21" i="26"/>
  <c r="AA21" i="26"/>
  <c r="U21" i="26"/>
  <c r="S21" i="26"/>
  <c r="O21" i="26"/>
  <c r="L21" i="26"/>
  <c r="Y21" i="26"/>
  <c r="K21" i="26"/>
  <c r="F21" i="26"/>
  <c r="H21" i="26"/>
  <c r="R21" i="26"/>
  <c r="G21" i="26"/>
  <c r="N21" i="26"/>
  <c r="Q21" i="26"/>
  <c r="T21" i="26"/>
  <c r="J21" i="26"/>
  <c r="AB21" i="26"/>
  <c r="H21" i="22"/>
  <c r="H19" i="24" s="1"/>
  <c r="K21" i="22"/>
  <c r="K19" i="23" s="1"/>
  <c r="AB21" i="22"/>
  <c r="AB19" i="23" s="1"/>
  <c r="F21" i="22"/>
  <c r="F19" i="24" s="1"/>
  <c r="J21" i="22"/>
  <c r="J19" i="24" s="1"/>
  <c r="Y21" i="22"/>
  <c r="Y19" i="23" s="1"/>
  <c r="I21" i="22"/>
  <c r="I19" i="23" s="1"/>
  <c r="T21" i="22"/>
  <c r="T19" i="24" s="1"/>
  <c r="R21" i="22"/>
  <c r="R19" i="23" s="1"/>
  <c r="M21" i="22"/>
  <c r="M19" i="23" s="1"/>
  <c r="N21" i="22"/>
  <c r="N19" i="24" s="1"/>
  <c r="L21" i="22"/>
  <c r="L19" i="24" s="1"/>
  <c r="U21" i="22"/>
  <c r="U19" i="23" s="1"/>
  <c r="Z21" i="22"/>
  <c r="Z19" i="24" s="1"/>
  <c r="P21" i="22"/>
  <c r="P19" i="24" s="1"/>
  <c r="V21" i="22"/>
  <c r="V19" i="24" s="1"/>
  <c r="AA21" i="22"/>
  <c r="AA19" i="24" s="1"/>
  <c r="E21" i="22"/>
  <c r="E19" i="23" s="1"/>
  <c r="M21" i="26"/>
  <c r="P21" i="26"/>
  <c r="E21" i="26"/>
  <c r="I21" i="26"/>
  <c r="V21" i="26"/>
  <c r="G19" i="24"/>
  <c r="G23" i="5"/>
  <c r="J20" i="13" s="1"/>
  <c r="K20" i="13" s="1"/>
  <c r="F15" i="18"/>
  <c r="M7" i="17"/>
  <c r="F25" i="18"/>
  <c r="Q19" i="23"/>
  <c r="Q19" i="24"/>
  <c r="N56" i="13"/>
  <c r="N20" i="13" l="1"/>
  <c r="S19" i="23"/>
  <c r="S19" i="25" s="1"/>
  <c r="W19" i="24"/>
  <c r="W19" i="25" s="1"/>
  <c r="AC20" i="25"/>
  <c r="F20" i="26" s="1"/>
  <c r="O19" i="23"/>
  <c r="O19" i="25" s="1"/>
  <c r="U19" i="24"/>
  <c r="U19" i="25" s="1"/>
  <c r="H19" i="23"/>
  <c r="H19" i="25" s="1"/>
  <c r="X19" i="23"/>
  <c r="X19" i="25" s="1"/>
  <c r="R19" i="24"/>
  <c r="R19" i="25" s="1"/>
  <c r="J19" i="23"/>
  <c r="J19" i="25" s="1"/>
  <c r="AA19" i="23"/>
  <c r="AA19" i="25" s="1"/>
  <c r="F19" i="23"/>
  <c r="F19" i="25" s="1"/>
  <c r="L19" i="23"/>
  <c r="L19" i="25" s="1"/>
  <c r="Z19" i="23"/>
  <c r="Z19" i="25" s="1"/>
  <c r="T19" i="23"/>
  <c r="T19" i="25" s="1"/>
  <c r="E19" i="24"/>
  <c r="E19" i="25" s="1"/>
  <c r="P19" i="23"/>
  <c r="P19" i="25" s="1"/>
  <c r="N19" i="23"/>
  <c r="N19" i="25" s="1"/>
  <c r="V19" i="23"/>
  <c r="V19" i="25" s="1"/>
  <c r="K19" i="24"/>
  <c r="K19" i="25" s="1"/>
  <c r="AB19" i="24"/>
  <c r="AB19" i="25" s="1"/>
  <c r="M19" i="24"/>
  <c r="M19" i="25" s="1"/>
  <c r="I19" i="24"/>
  <c r="I19" i="25" s="1"/>
  <c r="Y19" i="24"/>
  <c r="Y19" i="25" s="1"/>
  <c r="AC21" i="26"/>
  <c r="Q19" i="25"/>
  <c r="G19" i="25"/>
  <c r="T20" i="26" l="1"/>
  <c r="P20" i="26"/>
  <c r="G20" i="26"/>
  <c r="W20" i="26"/>
  <c r="R20" i="26"/>
  <c r="Z20" i="26"/>
  <c r="E20" i="26"/>
  <c r="S20" i="26"/>
  <c r="U20" i="26"/>
  <c r="AA20" i="26"/>
  <c r="I20" i="26"/>
  <c r="Y20" i="26"/>
  <c r="N20" i="26"/>
  <c r="M20" i="26"/>
  <c r="L20" i="26"/>
  <c r="K20" i="26"/>
  <c r="X20" i="26"/>
  <c r="J20" i="26"/>
  <c r="AB20" i="26"/>
  <c r="H20" i="26"/>
  <c r="O20" i="26"/>
  <c r="Q20" i="26"/>
  <c r="V20" i="26"/>
  <c r="G23" i="9"/>
  <c r="I104" i="13" s="1"/>
  <c r="AC19" i="25"/>
  <c r="Z19" i="26" s="1"/>
  <c r="AC20" i="26" l="1"/>
  <c r="G22" i="9" s="1"/>
  <c r="H22" i="9" s="1"/>
  <c r="I22" i="9" s="1"/>
  <c r="H23" i="9"/>
  <c r="I23" i="9" s="1"/>
  <c r="J81" i="13" s="1"/>
  <c r="P22" i="13" s="1"/>
  <c r="T22" i="13" s="1"/>
  <c r="G19" i="26"/>
  <c r="U19" i="26"/>
  <c r="L19" i="26"/>
  <c r="V19" i="26"/>
  <c r="H19" i="26"/>
  <c r="N19" i="26"/>
  <c r="O19" i="26"/>
  <c r="W19" i="26"/>
  <c r="T19" i="26"/>
  <c r="I19" i="26"/>
  <c r="S19" i="26"/>
  <c r="J19" i="26"/>
  <c r="Q19" i="26"/>
  <c r="Y19" i="26"/>
  <c r="F19" i="26"/>
  <c r="E19" i="26"/>
  <c r="M19" i="26"/>
  <c r="K19" i="26"/>
  <c r="AB19" i="26"/>
  <c r="R19" i="26"/>
  <c r="X19" i="26"/>
  <c r="P19" i="26"/>
  <c r="AA19" i="26"/>
  <c r="K81" i="13" l="1"/>
  <c r="N81" i="13" s="1"/>
  <c r="J104" i="13"/>
  <c r="K104" i="13" s="1"/>
  <c r="N104" i="13" s="1"/>
  <c r="I103" i="13"/>
  <c r="J103" i="13"/>
  <c r="K103" i="13" s="1"/>
  <c r="N103" i="13" s="1"/>
  <c r="J80" i="13"/>
  <c r="AC19" i="26"/>
  <c r="G21" i="9" s="1"/>
  <c r="I102" i="13" s="1"/>
  <c r="O22" i="13" l="1"/>
  <c r="S22" i="13" s="1"/>
  <c r="P21" i="13"/>
  <c r="T21" i="13" s="1"/>
  <c r="K80" i="13"/>
  <c r="N80" i="13" s="1"/>
  <c r="O21" i="13" s="1"/>
  <c r="H21" i="9"/>
  <c r="I21" i="9" s="1"/>
  <c r="J102" i="13" s="1"/>
  <c r="K102" i="13" s="1"/>
  <c r="N102" i="13" s="1"/>
  <c r="S21" i="13" l="1"/>
  <c r="J79" i="13"/>
  <c r="J131" i="13" s="1"/>
  <c r="P20" i="13" l="1"/>
  <c r="T20" i="13" s="1"/>
  <c r="J137" i="13"/>
  <c r="K137" i="13" s="1"/>
  <c r="K79" i="13"/>
  <c r="N79" i="13" l="1"/>
  <c r="K144" i="13"/>
  <c r="Q147" i="13" s="1"/>
  <c r="K147" i="13"/>
  <c r="D9" i="16" s="1"/>
  <c r="O20" i="13"/>
  <c r="S20" i="13" s="1"/>
  <c r="D12" i="16" l="1"/>
  <c r="D19" i="16" s="1"/>
  <c r="H6" i="17"/>
  <c r="D17" i="16" l="1"/>
  <c r="M6" i="17"/>
  <c r="F13" i="18"/>
  <c r="F22" i="18" s="1"/>
  <c r="D18" i="16"/>
  <c r="D16" i="16"/>
  <c r="D15" i="16"/>
  <c r="D14" i="16"/>
  <c r="F24" i="18"/>
  <c r="H9" i="17"/>
  <c r="H11" i="17" l="1"/>
  <c r="M11" i="17" s="1"/>
  <c r="D21" i="16"/>
  <c r="D26" i="16" s="1"/>
  <c r="F17" i="18"/>
  <c r="F18" i="18" s="1"/>
  <c r="H14" i="17"/>
  <c r="M14" i="17" s="1"/>
  <c r="H15" i="17"/>
  <c r="M15" i="17" s="1"/>
  <c r="M9" i="17"/>
  <c r="H12" i="17"/>
  <c r="M12" i="17" s="1"/>
  <c r="H16" i="17"/>
  <c r="M16" i="17" s="1"/>
  <c r="H13" i="17"/>
  <c r="M13" i="17" s="1"/>
  <c r="AE11" i="26" l="1"/>
  <c r="H18" i="17"/>
  <c r="H23" i="17" s="1"/>
  <c r="B17" i="1"/>
  <c r="M18" i="17" l="1"/>
  <c r="M23" i="17"/>
  <c r="D24" i="17"/>
</calcChain>
</file>

<file path=xl/sharedStrings.xml><?xml version="1.0" encoding="utf-8"?>
<sst xmlns="http://schemas.openxmlformats.org/spreadsheetml/2006/main" count="1862" uniqueCount="456">
  <si>
    <t>Cobre</t>
  </si>
  <si>
    <t>Stockpile Worksheet #1</t>
  </si>
  <si>
    <t>General Information</t>
  </si>
  <si>
    <t>Applicant</t>
  </si>
  <si>
    <t>Cobre Mining Company</t>
  </si>
  <si>
    <t>Hanover, New Mexico 88401</t>
  </si>
  <si>
    <t>Disturbed Surface Area (acres)</t>
  </si>
  <si>
    <t>Type of Operation</t>
  </si>
  <si>
    <t>Existing/Surface/Copper</t>
  </si>
  <si>
    <t>Current value before escalation</t>
  </si>
  <si>
    <t xml:space="preserve">     and discounting</t>
  </si>
  <si>
    <t>Stockpile Worksheet #2</t>
  </si>
  <si>
    <t>Demolition</t>
  </si>
  <si>
    <t>Demo cost are addressed elsewhere.</t>
  </si>
  <si>
    <t>This page intentionally left blank.</t>
  </si>
  <si>
    <t>Stockpile Worksheet #3</t>
  </si>
  <si>
    <t>Material Handling Plan Summary Sheet</t>
  </si>
  <si>
    <t>Total Haul/Push Distance</t>
  </si>
  <si>
    <t>Item</t>
  </si>
  <si>
    <t>Description</t>
  </si>
  <si>
    <t>Location 1</t>
  </si>
  <si>
    <t>Location 2</t>
  </si>
  <si>
    <t>Grade</t>
  </si>
  <si>
    <t>Equipment</t>
  </si>
  <si>
    <t>(ft)</t>
  </si>
  <si>
    <t>(%)</t>
  </si>
  <si>
    <t>-</t>
  </si>
  <si>
    <t>see dozer</t>
  </si>
  <si>
    <t>D11T CD</t>
  </si>
  <si>
    <t>Regrade Top</t>
  </si>
  <si>
    <t>Dozer Assist</t>
  </si>
  <si>
    <t>Haul Roads</t>
  </si>
  <si>
    <t>Load cover soil</t>
  </si>
  <si>
    <t>992K</t>
  </si>
  <si>
    <t>Haul cover soil</t>
  </si>
  <si>
    <t>see Trucks</t>
  </si>
  <si>
    <t>777F</t>
  </si>
  <si>
    <t>D11T w/ ripper</t>
  </si>
  <si>
    <t>Grade surface</t>
  </si>
  <si>
    <t>16M</t>
  </si>
  <si>
    <t>Grade cover soil</t>
  </si>
  <si>
    <t>Other</t>
  </si>
  <si>
    <t>Off-Hwy Water Tanker Truck</t>
  </si>
  <si>
    <t>10,000 gal</t>
  </si>
  <si>
    <t>Motor Grader</t>
  </si>
  <si>
    <t>WRF= Waste Rock Facility</t>
  </si>
  <si>
    <t>Stockpile Worksheet #4</t>
  </si>
  <si>
    <t>Earthwork Quantity Worksheet</t>
  </si>
  <si>
    <t>Cover</t>
  </si>
  <si>
    <t>Swell</t>
  </si>
  <si>
    <t>Loose/stockpile</t>
  </si>
  <si>
    <t>Area</t>
  </si>
  <si>
    <t>Depth</t>
  </si>
  <si>
    <t>Volume</t>
  </si>
  <si>
    <t>Factor</t>
  </si>
  <si>
    <t>(ac)</t>
  </si>
  <si>
    <t>(in)</t>
  </si>
  <si>
    <t>(bcy)</t>
  </si>
  <si>
    <t>(lcy)</t>
  </si>
  <si>
    <t>Top</t>
  </si>
  <si>
    <t>Stockpile Worksheet #5</t>
  </si>
  <si>
    <t>Productivity and Hours Required for Dozer Use---Earthmoving</t>
  </si>
  <si>
    <t>PERFORMANCE FACTORS</t>
  </si>
  <si>
    <t>Total</t>
  </si>
  <si>
    <t>Production</t>
  </si>
  <si>
    <t>Maximum</t>
  </si>
  <si>
    <t>Direct</t>
  </si>
  <si>
    <t>Loose</t>
  </si>
  <si>
    <t>Task</t>
  </si>
  <si>
    <t>Soil</t>
  </si>
  <si>
    <t>Method/</t>
  </si>
  <si>
    <t>Push</t>
  </si>
  <si>
    <t>Normal</t>
  </si>
  <si>
    <t>Work</t>
  </si>
  <si>
    <t>Drive</t>
  </si>
  <si>
    <t>Task Description</t>
  </si>
  <si>
    <t>Productivity</t>
  </si>
  <si>
    <t>Time</t>
  </si>
  <si>
    <t>Material</t>
  </si>
  <si>
    <t>Weight</t>
  </si>
  <si>
    <t>Blade</t>
  </si>
  <si>
    <t>Distance</t>
  </si>
  <si>
    <t>Operator</t>
  </si>
  <si>
    <t>Hour</t>
  </si>
  <si>
    <t>Visibility</t>
  </si>
  <si>
    <t>Elevation</t>
  </si>
  <si>
    <t>Trans.</t>
  </si>
  <si>
    <t>(cy)</t>
  </si>
  <si>
    <t>(cy/hr)</t>
  </si>
  <si>
    <t>(hours)</t>
  </si>
  <si>
    <t>(lb/cy)</t>
  </si>
  <si>
    <t>(feet)</t>
  </si>
  <si>
    <t>(min/hr)</t>
  </si>
  <si>
    <t>N/A</t>
  </si>
  <si>
    <t xml:space="preserve">                                                                                                                                                                                                                                                                                                                                                                                                                                                                                                                                                                                                                                                                                                                                                                                                                                                                                                                                                                                                                                                                                                                                                                                                                                                                                                                                                                                                                                                                                                                                                                                                                                                                                                                                                                                  </t>
  </si>
  <si>
    <t>Stockpile Worksheet #6</t>
  </si>
  <si>
    <t>Productivity and Hours Required for Dozer Use---Grading</t>
  </si>
  <si>
    <t>Effective</t>
  </si>
  <si>
    <t>Width</t>
  </si>
  <si>
    <t>Speed</t>
  </si>
  <si>
    <t>(acres)</t>
  </si>
  <si>
    <t xml:space="preserve"> (acres/hr)</t>
  </si>
  <si>
    <t>(miles/hr)</t>
  </si>
  <si>
    <t>*Push distances: Assumed 100 feet.</t>
  </si>
  <si>
    <t>Stockpile Worksheet #7</t>
  </si>
  <si>
    <t>Productivity and Hours Required for</t>
  </si>
  <si>
    <t xml:space="preserve">          Ripper-Equipped Dozer Use</t>
  </si>
  <si>
    <t xml:space="preserve">Note: Scarifying/Ripping Covered Areas Currently Included in Revegetation Costs  </t>
  </si>
  <si>
    <t>Ripping</t>
  </si>
  <si>
    <t>Ripper</t>
  </si>
  <si>
    <t>Pocket</t>
  </si>
  <si>
    <t>No. of</t>
  </si>
  <si>
    <t>Turn</t>
  </si>
  <si>
    <t>1000 ft</t>
  </si>
  <si>
    <t>ripper</t>
  </si>
  <si>
    <t>Length</t>
  </si>
  <si>
    <t>Penetration</t>
  </si>
  <si>
    <t>Spacing</t>
  </si>
  <si>
    <t>Pockets</t>
  </si>
  <si>
    <t>path width</t>
  </si>
  <si>
    <t>(acres/hr)</t>
  </si>
  <si>
    <t>(min/pass)</t>
  </si>
  <si>
    <t>(mph)</t>
  </si>
  <si>
    <t>Stockpile Worksheet #8</t>
  </si>
  <si>
    <t>Productivity and Hours Required for Hydraulic Excavator</t>
  </si>
  <si>
    <t>Net</t>
  </si>
  <si>
    <t>Loader</t>
  </si>
  <si>
    <t>Heaped</t>
  </si>
  <si>
    <t>Bucket</t>
  </si>
  <si>
    <t>Cycle</t>
  </si>
  <si>
    <t>Fill</t>
  </si>
  <si>
    <t>Haul</t>
  </si>
  <si>
    <t>Rolling</t>
  </si>
  <si>
    <t>Capacity</t>
  </si>
  <si>
    <t>Resistance</t>
  </si>
  <si>
    <t>Loaded</t>
  </si>
  <si>
    <t>Empty</t>
  </si>
  <si>
    <t>(min)</t>
  </si>
  <si>
    <t>Stockpile Worksheet #9</t>
  </si>
  <si>
    <t>Productivity and Hours Required for Truck Use</t>
  </si>
  <si>
    <t>Truck-Loader Matching</t>
  </si>
  <si>
    <t>Truck Loading Height (empty), Cat 777F - 14'7"</t>
  </si>
  <si>
    <t>Loader Dump Clearance, Cat 992G - 15'3"</t>
  </si>
  <si>
    <t>Return</t>
  </si>
  <si>
    <t>Truck</t>
  </si>
  <si>
    <t>Optimum</t>
  </si>
  <si>
    <t>Load/</t>
  </si>
  <si>
    <t>Dump/</t>
  </si>
  <si>
    <t>Travel Time</t>
  </si>
  <si>
    <t xml:space="preserve">Travel Time </t>
  </si>
  <si>
    <t>Struck</t>
  </si>
  <si>
    <t>Cycles</t>
  </si>
  <si>
    <t>Loading</t>
  </si>
  <si>
    <t>Maneuver</t>
  </si>
  <si>
    <t>Trucks</t>
  </si>
  <si>
    <t>per Truck</t>
  </si>
  <si>
    <t>Segment 1</t>
  </si>
  <si>
    <t>Segment 2</t>
  </si>
  <si>
    <t>Segment 3</t>
  </si>
  <si>
    <t>(hrs)</t>
  </si>
  <si>
    <t>(meters)</t>
  </si>
  <si>
    <t>(min/m)</t>
  </si>
  <si>
    <t>Stockpile Worksheet #10</t>
  </si>
  <si>
    <t>Productivity for Front End Loader</t>
  </si>
  <si>
    <t>Rated</t>
  </si>
  <si>
    <t>Stockpile Worksheet #11</t>
  </si>
  <si>
    <t>Productivity and Hours Required for Scraper Use</t>
  </si>
  <si>
    <t>Stockpile Worksheet #12</t>
  </si>
  <si>
    <t>Productivity and Hours Required for Motor grader Use---Grading</t>
  </si>
  <si>
    <t>Stockpile Worksheet #13</t>
  </si>
  <si>
    <t>Summary Calculation of Earthmoving Costs</t>
  </si>
  <si>
    <t>Owning and</t>
  </si>
  <si>
    <t>Labor</t>
  </si>
  <si>
    <t xml:space="preserve">Number of </t>
  </si>
  <si>
    <t>Prod.</t>
  </si>
  <si>
    <t>Unit</t>
  </si>
  <si>
    <t xml:space="preserve">Total </t>
  </si>
  <si>
    <t>Fleet</t>
  </si>
  <si>
    <t>Type</t>
  </si>
  <si>
    <t>Operating Cost</t>
  </si>
  <si>
    <t>Cost</t>
  </si>
  <si>
    <t>Units</t>
  </si>
  <si>
    <t>Req'd</t>
  </si>
  <si>
    <t>Unit Cost</t>
  </si>
  <si>
    <t>($/hr)</t>
  </si>
  <si>
    <t>(Equipment)</t>
  </si>
  <si>
    <t>($)</t>
  </si>
  <si>
    <t>($/unit)</t>
  </si>
  <si>
    <t>($/ton)</t>
  </si>
  <si>
    <t>(ton/hr)</t>
  </si>
  <si>
    <t>Dozers-Earthmoving</t>
  </si>
  <si>
    <t>cy</t>
  </si>
  <si>
    <t>Cover -&gt;</t>
  </si>
  <si>
    <t>Dozers-Grading</t>
  </si>
  <si>
    <t>ac</t>
  </si>
  <si>
    <t>Loaders</t>
  </si>
  <si>
    <t>Rippers</t>
  </si>
  <si>
    <t>Water Truck and Grader</t>
  </si>
  <si>
    <t>Surface Impoundments</t>
  </si>
  <si>
    <t>Q/A Check -&gt;</t>
  </si>
  <si>
    <t>Earthwork Direct Cost</t>
  </si>
  <si>
    <t>Fuel-</t>
  </si>
  <si>
    <t>Adjusted</t>
  </si>
  <si>
    <t>EQUIPMENT</t>
  </si>
  <si>
    <t>Fuel</t>
  </si>
  <si>
    <t>Own/Op</t>
  </si>
  <si>
    <t>Consumption</t>
  </si>
  <si>
    <t>(w/out fuel)</t>
  </si>
  <si>
    <t>Equipment Description</t>
  </si>
  <si>
    <t>(gal/hr)</t>
  </si>
  <si>
    <t>Reference</t>
  </si>
  <si>
    <t>Cat D11T CD Bulldozer</t>
  </si>
  <si>
    <t>Cat D11T Bulldozer w/ multi shank ripper</t>
  </si>
  <si>
    <t>Cat 777F Truck</t>
  </si>
  <si>
    <t>Cat 992K Loader</t>
  </si>
  <si>
    <t>Cat 16M Motor Grader</t>
  </si>
  <si>
    <t>Off-Hwy Water Tanker Truck, 10,000-gal.</t>
  </si>
  <si>
    <t>FUEL</t>
  </si>
  <si>
    <t>Oil Broker Quote</t>
    <phoneticPr fontId="0" type="noConversion"/>
  </si>
  <si>
    <t>per gallon</t>
  </si>
  <si>
    <t>Nominal</t>
  </si>
  <si>
    <t>LABOR</t>
  </si>
  <si>
    <t>NMDOL Type A</t>
  </si>
  <si>
    <t>Rate</t>
  </si>
  <si>
    <t>Labor Description</t>
  </si>
  <si>
    <t>Operator Group</t>
  </si>
  <si>
    <t>Operator Classification</t>
  </si>
  <si>
    <t>Equipment Operator IV</t>
  </si>
  <si>
    <t>Bulldozer (mult. Units)</t>
  </si>
  <si>
    <t>Truck Driver III</t>
  </si>
  <si>
    <t xml:space="preserve">Haul Truck </t>
  </si>
  <si>
    <t>Equipment Operator VI</t>
  </si>
  <si>
    <t>Loader (over 10 cy)</t>
  </si>
  <si>
    <t>References</t>
  </si>
  <si>
    <t xml:space="preserve">1.  Equipment unit rates from EquipmentWatch Custom Cost Evaluator Version 6.15.0B (http://www.equipmentwatch.com). See attachments for rate development. </t>
  </si>
  <si>
    <t>2. Western Refining Quote, Lordsburg NM (June 18, 2014).</t>
  </si>
  <si>
    <t xml:space="preserve">3. Labor rates based on NM Department of Labor Type H (Heavy Engineering) labor rates.  See attachments for rate development. </t>
  </si>
  <si>
    <t>Stockpile Worksheet #14</t>
  </si>
  <si>
    <t>Revegetation Costs</t>
  </si>
  <si>
    <t>Description:</t>
  </si>
  <si>
    <t xml:space="preserve">Chiseling or ripping, scarifying, disking, rangeland drill seeding, mulching, crimping, mobilization. </t>
  </si>
  <si>
    <t>Unit or Disturbance</t>
  </si>
  <si>
    <t>($/acre)</t>
  </si>
  <si>
    <t>Grape Gulch Pond #3</t>
  </si>
  <si>
    <t>Magnetite Seepage Pond</t>
  </si>
  <si>
    <t>SWRF Dam 1</t>
  </si>
  <si>
    <t>SWRF Dam 2</t>
  </si>
  <si>
    <t>SWRF Dam 3</t>
  </si>
  <si>
    <t>North Tailings Decant Pond</t>
  </si>
  <si>
    <t xml:space="preserve">Blackman's Seep (Pond #2) </t>
  </si>
  <si>
    <t xml:space="preserve">Upper Creek Containment Pond 1 </t>
  </si>
  <si>
    <t>Borrow Areas</t>
  </si>
  <si>
    <t>Revegetation Direct Cost</t>
  </si>
  <si>
    <t>Q/A check-&gt;</t>
  </si>
  <si>
    <t>Stockpile Worksheet #15</t>
  </si>
  <si>
    <t>Other Reclamation Activity Costs</t>
  </si>
  <si>
    <t>Activity</t>
  </si>
  <si>
    <t>Quantity</t>
  </si>
  <si>
    <t>Line Item</t>
  </si>
  <si>
    <t xml:space="preserve"> Page</t>
  </si>
  <si>
    <t>ft</t>
  </si>
  <si>
    <t>hr</t>
  </si>
  <si>
    <t>Means</t>
  </si>
  <si>
    <t>Crew B-12C</t>
  </si>
  <si>
    <t xml:space="preserve">1 Equip. Oper (crane), 1 laborer, 1 Hyd. Excavator, 2 C.Y. Approximately 40 hrs to demo a 200' reinforced concrete dam.  </t>
  </si>
  <si>
    <t>Wells</t>
  </si>
  <si>
    <t>Plug &amp; Abandon Well</t>
  </si>
  <si>
    <t>close after 100-years</t>
  </si>
  <si>
    <t>MMD, 2013</t>
  </si>
  <si>
    <t>$14.00/ft minus 28.3% indirect costs then added 2% inflation from 2013 to 2014.  “Estimated costs for abandoning boreholes using bentonite cement grout ranges from approximately $14.00 to $25.00 per foot. For the purposes of estimating a simplified cost of abandoning boreholes the MMD cost is $14.00/ft. The FA cost estimate could be higher or lower based on site specific characteristics”.</t>
  </si>
  <si>
    <t>Downdrain Length</t>
  </si>
  <si>
    <t>Appendix B8</t>
  </si>
  <si>
    <t xml:space="preserve">Excavate and waste 7.6 cy/lf material on slopes with D11T CD, 175-foot downslope excavation, 200-foot lateral waste push.  Finish grade with D6T XL SU 3 passes 1 mph.  </t>
  </si>
  <si>
    <t>Downdrain Gravel, Haul</t>
  </si>
  <si>
    <t>G1030 150 6600</t>
  </si>
  <si>
    <t>Load &amp; Haul rock, 3-cy loader, 7 20-cy trailers, 4-mile RT</t>
  </si>
  <si>
    <t>Downdrain Gravel, Backfill</t>
  </si>
  <si>
    <t>312323.14-5200</t>
  </si>
  <si>
    <t xml:space="preserve">Gravel Backfill, 300 hp, 150' haul sand and gravel </t>
  </si>
  <si>
    <t>Downdrain Riprap, Haul</t>
  </si>
  <si>
    <t>Downdrain Riprap, Backfill</t>
  </si>
  <si>
    <t>3:1 slope Bench Grading</t>
  </si>
  <si>
    <t xml:space="preserve">Excavate and waste 9.26 cy/lf  on slopes with D11T CD, 87-foot push.  Finish grade with D9T SU 3 passes 1 mph.  </t>
  </si>
  <si>
    <t>2.5:1 slope Bench Grading</t>
  </si>
  <si>
    <t xml:space="preserve">Excavate and waste 9.52 cy/lf on slopes with D11T CD, 78-foot push.  Finish grade with D9T SU 3 passes 1 mph.  </t>
  </si>
  <si>
    <t>feet</t>
  </si>
  <si>
    <t xml:space="preserve">Excavate and waste 0.43 cy/lf with D11T CD, 175-foot excavation, 200-foot lateral waste push.  Finish grade with D6T XL SU 1 pass 1 mph.  </t>
  </si>
  <si>
    <t>Type 1 Top Channels</t>
  </si>
  <si>
    <t xml:space="preserve">Excavate and waste 2.4 cy/lf with D11T CD, 175-foot excavation, 200-foot lateral waste push.  Finish grade with D9T SU 3 passes 1 mph. </t>
  </si>
  <si>
    <t>Type 2 Top Channels</t>
  </si>
  <si>
    <t>Riprap &amp; Gravel</t>
  </si>
  <si>
    <t>Outslope Channel Riprap, Haul</t>
  </si>
  <si>
    <t>Top Channel Riprap, Haul</t>
  </si>
  <si>
    <t>Top Channel Gravel, Haul</t>
  </si>
  <si>
    <t>Outslope Channel Riprap, Backfill</t>
  </si>
  <si>
    <t>Top Channel Riprap, Backfill</t>
  </si>
  <si>
    <t>Top Channel Gravel, Backfill</t>
  </si>
  <si>
    <t xml:space="preserve">Riprap </t>
  </si>
  <si>
    <t>Gravel</t>
  </si>
  <si>
    <t>321123.23-0301</t>
  </si>
  <si>
    <t>Base Course Drainage Layers, Crushed 1 1/2 ", Compacted to 4" deep</t>
  </si>
  <si>
    <t>Safety berm, Pits perimeter</t>
  </si>
  <si>
    <t xml:space="preserve">Excavate 3.7 cy/lf with  D6T XL SU, 100-foot  push.  Finish grade 1.2 cy/lf with D6T XL SU 50 ft push.  </t>
  </si>
  <si>
    <t>Chain link fence, Pits perimeter</t>
  </si>
  <si>
    <t>323113.20-0800</t>
  </si>
  <si>
    <t>Fence, chain link industrial, schedule 40, including concrete, 6 ga. wire, 6' high, but omit barbed wire, galv. Steel</t>
  </si>
  <si>
    <t>Continental Pit</t>
  </si>
  <si>
    <t>Other Direct Cost</t>
  </si>
  <si>
    <t>RS Means Heavy Construction Cost Data (28st Annual Edition 2014)</t>
  </si>
  <si>
    <t>New Mexico Las Cruces</t>
  </si>
  <si>
    <t>Stockpile Worksheet #16</t>
  </si>
  <si>
    <t>Reclamation Summary</t>
  </si>
  <si>
    <t>Current Value</t>
  </si>
  <si>
    <t>DIRECT COSTS</t>
  </si>
  <si>
    <t>Facility and Structure Removal</t>
  </si>
  <si>
    <t>Earthmoving</t>
  </si>
  <si>
    <t>Revegetation</t>
    <phoneticPr fontId="0" type="noConversion"/>
  </si>
  <si>
    <t>Subtotal, Direct Costs</t>
  </si>
  <si>
    <r>
      <t>INDIRECT COSTS</t>
    </r>
    <r>
      <rPr>
        <b/>
        <vertAlign val="superscript"/>
        <sz val="10"/>
        <rFont val="Arial"/>
        <family val="2"/>
      </rPr>
      <t>1</t>
    </r>
  </si>
  <si>
    <t xml:space="preserve">Mobilization and Demobilization </t>
  </si>
  <si>
    <t xml:space="preserve">Contingencies </t>
  </si>
  <si>
    <t xml:space="preserve">Engineering Redesign Fee </t>
  </si>
  <si>
    <t xml:space="preserve">Contractor Profit and Overhead </t>
  </si>
  <si>
    <t xml:space="preserve">Project Management Fee </t>
  </si>
  <si>
    <t>State Procurement Cost</t>
  </si>
  <si>
    <t>Indirect Percentage Sum =</t>
  </si>
  <si>
    <t>Subtotal, Indirect Costs</t>
  </si>
  <si>
    <t>TOTAL COST</t>
  </si>
  <si>
    <t>Data Sources:</t>
  </si>
  <si>
    <t xml:space="preserve">MMD.  1996.  Closeout Plan Guidelines for Existing Mines, Mining Act Reclamation Bureau Mining and Minerals Division </t>
  </si>
  <si>
    <t xml:space="preserve">                     New Mexico Energy, Minerals and Natural Resources Department.  April 30, 1996.</t>
  </si>
  <si>
    <t xml:space="preserve">OSM.  2000.  U.S. Department of the Interior, Office of Surface Mining Reclamation and Enforcement </t>
  </si>
  <si>
    <t xml:space="preserve">                     Handbook for Calculation of Reclamation Bond Amounts.  April 5, 2000.</t>
  </si>
  <si>
    <t>Notes:</t>
  </si>
  <si>
    <t>1)</t>
  </si>
  <si>
    <t>Indirect costs are based on the guidance available from MMD (1996) and OSM (2000).</t>
  </si>
  <si>
    <t>Stockpile Worksheet #17</t>
  </si>
  <si>
    <t>Totals</t>
  </si>
  <si>
    <t>Revegetation</t>
  </si>
  <si>
    <t>INDIRECT COSTS</t>
  </si>
  <si>
    <t>Project Management Fee</t>
  </si>
  <si>
    <t>TOTAL  COST PER STOCKPILE</t>
  </si>
  <si>
    <t>TOTAL  COST</t>
  </si>
  <si>
    <t>Stockpile Worksheet #18</t>
  </si>
  <si>
    <t>Facility Characteristics</t>
  </si>
  <si>
    <t>Facility</t>
  </si>
  <si>
    <t>Reclaimed Acres</t>
  </si>
  <si>
    <t>Capital Cost</t>
  </si>
  <si>
    <t>Seed &amp; Mulch</t>
  </si>
  <si>
    <t>Capital Cost Totals</t>
  </si>
  <si>
    <t>Capital Cost/Acre</t>
  </si>
  <si>
    <t>Capital Cost/Acre Cover</t>
  </si>
  <si>
    <t>Capital Cost/Acre Top/Outslope Adjustment</t>
  </si>
  <si>
    <t>Capital Cost/Acre Earthwork Total</t>
  </si>
  <si>
    <t>Capital Cost/Acre Reveg</t>
  </si>
  <si>
    <t>Capital Cost/Acre Other</t>
  </si>
  <si>
    <t>Stockpile Worksheet #9a</t>
  </si>
  <si>
    <t>Trucks Productivity (cy/hr)</t>
  </si>
  <si>
    <t>Productivity (cy/hr) =</t>
  </si>
  <si>
    <t>work hour (min/hr) x loader cycles per truck x net bucket capacity (cy) x no. of trucks / truck cycle time (min)</t>
  </si>
  <si>
    <t>Example:</t>
  </si>
  <si>
    <t>50 min/hr x 6 buckets x 11.9 cy/bucket x 8 trucks / 50 min = 571 cy/hr</t>
  </si>
  <si>
    <t>No. of Trucks</t>
  </si>
  <si>
    <t>Stockpile Worksheet #9b</t>
  </si>
  <si>
    <t>Truck Time (hours)</t>
  </si>
  <si>
    <t>Truck Time (hr) =</t>
  </si>
  <si>
    <t>If vol./prod. (cy/cy per hr)&lt;loader task time (hr), then use loader task time (hr); if not, use vol./ prod. (cy/cy per hr)</t>
  </si>
  <si>
    <t>1,000,000 cy / 571 cy/hr = 1,751 hr &lt; 2,000 hr =====&gt; 2,000 hr</t>
  </si>
  <si>
    <t>Stockpile Worksheet #9c</t>
  </si>
  <si>
    <t>Truck Cost</t>
  </si>
  <si>
    <t>Truck Cost ($) =</t>
  </si>
  <si>
    <t>Truck time (hr) x [owning/operating cost ($/hr) + labor cost ($/hr)] x no. of trucks</t>
  </si>
  <si>
    <t>5,000 hr x ($187.01/hr + $20.00/hr) x 8 trucks = $8,280,400</t>
  </si>
  <si>
    <t>Stockpile Worksheet #9d</t>
  </si>
  <si>
    <t>Loader Cost</t>
  </si>
  <si>
    <t>Loader Cost ($) =</t>
  </si>
  <si>
    <t>Loader time (hr) x [owning/operating cost ($/hr) + labor cost ($/hr)]</t>
  </si>
  <si>
    <t>5,000 hr x ($206.13/hr + $20.00/hr) = $1,130,650</t>
  </si>
  <si>
    <t>Stockpile Worksheet #9e</t>
  </si>
  <si>
    <t>Trucks &amp; Loader Total Cost</t>
  </si>
  <si>
    <t>Total Cost ($) =</t>
  </si>
  <si>
    <t>Truck Cost ($) + Loader Cost ($)</t>
  </si>
  <si>
    <t>$8,280,400 + $1,130,650 = $9,411,050</t>
  </si>
  <si>
    <t>Minimum</t>
  </si>
  <si>
    <t>Stockpile Worksheet #9f</t>
  </si>
  <si>
    <t>Trucks Optimum</t>
  </si>
  <si>
    <t>Optimum =</t>
  </si>
  <si>
    <t>If minimum total cost &gt;or = total cost for this no. of trucks, then enter this no. of trucks; if not, enter zero</t>
  </si>
  <si>
    <t>$4,478,191 &lt; $6,060,707 =====&gt; enter zero</t>
  </si>
  <si>
    <t>Stockpile Worksheet #4a</t>
  </si>
  <si>
    <t>SLOPE MODIFICATION</t>
  </si>
  <si>
    <t>Dozer</t>
  </si>
  <si>
    <t>SWRDF</t>
  </si>
  <si>
    <t>SWRDF Outslopes</t>
  </si>
  <si>
    <t xml:space="preserve">SWRDF Top </t>
  </si>
  <si>
    <t>Pearson-Barnes Mine Area</t>
  </si>
  <si>
    <t>OB-4 Stockpile</t>
  </si>
  <si>
    <t>Tailing Pipeline Corridor</t>
  </si>
  <si>
    <t>Exploration Roads</t>
  </si>
  <si>
    <t>East WRF Containment</t>
  </si>
  <si>
    <t>Decant Pond #4</t>
  </si>
  <si>
    <t xml:space="preserve">OB = Overburden </t>
  </si>
  <si>
    <t>OB Stockpile 1 through 4, Topsoil Stockpile, South OB Stockpile</t>
  </si>
  <si>
    <t>OB Stockpile 1 through 3, Topsoil Stockpile, South OB Stockpile</t>
  </si>
  <si>
    <t>Top Soil Stockpile</t>
  </si>
  <si>
    <t>South OB Stockpile (proposed)</t>
  </si>
  <si>
    <t>(CY)</t>
  </si>
  <si>
    <t>Haul and Exploration Roads</t>
  </si>
  <si>
    <t>Bank/stockpile</t>
  </si>
  <si>
    <t>Reinforced Concrete Wall Demolition</t>
  </si>
  <si>
    <t>Channels and Benches</t>
  </si>
  <si>
    <t>Based on Projected EOY 2019 Mine Plan</t>
  </si>
  <si>
    <t>(passes/acre)</t>
  </si>
  <si>
    <t>Continental Pit berm and fence disturbance</t>
  </si>
  <si>
    <t>Fowler Brothers Riprap Verbal Quote February 2009 $29.16/cy inflated to 2014 dollars</t>
  </si>
  <si>
    <t>Appendix B.2.8</t>
  </si>
  <si>
    <t>See Appendix B.2.8 for Channel, Bench, and Downdrain unit rate development.</t>
  </si>
  <si>
    <t>Stockpiles, Main Tailings Impoundment, Surface Impoundments, Haul Roads, Borrow Areas, Wells and Continental Pit</t>
  </si>
  <si>
    <t>Low Grade WRF</t>
  </si>
  <si>
    <t>Hanover Mountain Mine</t>
  </si>
  <si>
    <t>Berm</t>
  </si>
  <si>
    <t>Chain link fence</t>
  </si>
  <si>
    <t>Rip liners</t>
  </si>
  <si>
    <t>Rip surface</t>
  </si>
  <si>
    <t>PERFORMANCE FACTORS:</t>
  </si>
  <si>
    <t>Hanover Mountain Deposit</t>
  </si>
  <si>
    <t>NOBS (proposed)</t>
  </si>
  <si>
    <t>OB Stockpile-1</t>
  </si>
  <si>
    <t>OB Stockpile-2</t>
  </si>
  <si>
    <t>OB Stockpile-3</t>
  </si>
  <si>
    <t>OB Stockpile-4</t>
  </si>
  <si>
    <t>OB Stockpile-5</t>
  </si>
  <si>
    <t>NOBS</t>
  </si>
  <si>
    <t>Regrade</t>
  </si>
  <si>
    <t>Cover Material (Load, haul, spread)</t>
  </si>
  <si>
    <r>
      <t>Other</t>
    </r>
    <r>
      <rPr>
        <vertAlign val="superscript"/>
        <sz val="10"/>
        <rFont val="Arial"/>
        <family val="2"/>
      </rPr>
      <t>( c)</t>
    </r>
  </si>
  <si>
    <t>Disturbed Area Adjacent and North of the SWRDF</t>
  </si>
  <si>
    <r>
      <t xml:space="preserve">Other </t>
    </r>
    <r>
      <rPr>
        <b/>
        <vertAlign val="superscript"/>
        <sz val="10"/>
        <rFont val="Arial"/>
        <family val="2"/>
      </rPr>
      <t>( c)</t>
    </r>
  </si>
  <si>
    <t xml:space="preserve">(a) Includes disturbed area adjacent and north of the SWRDF </t>
  </si>
  <si>
    <t>( b) Includes berm and fence disturbed area</t>
  </si>
  <si>
    <t>Location 1*</t>
  </si>
  <si>
    <t>*Cover material is assumed to be obtained for each facility based on the 2014 mine expansion plan, the volume of available cover material, and proximity to the facility being covered.  These haul routes are subject to change based on those factors.</t>
  </si>
  <si>
    <t>Regrade Outslope</t>
  </si>
  <si>
    <r>
      <rPr>
        <sz val="12"/>
        <rFont val="Arial"/>
        <family val="2"/>
      </rPr>
      <t>MTI Reclaim Pond</t>
    </r>
  </si>
  <si>
    <t>MTI</t>
  </si>
  <si>
    <t>Outslope</t>
  </si>
  <si>
    <t>Top and Outslope</t>
  </si>
  <si>
    <t xml:space="preserve">MTI Reclaim Pond </t>
  </si>
  <si>
    <t xml:space="preserve"> Riprap, Backfill</t>
  </si>
  <si>
    <t xml:space="preserve">MTI </t>
  </si>
  <si>
    <t xml:space="preserve"> Outslope Channels </t>
  </si>
  <si>
    <t>(d) Cost includes reclaiming south buttress area and burying tailing pipelines in place.</t>
  </si>
  <si>
    <t>Stockpiles, Tailings, Reservoirs, Haul Roads and Distrubed Area Reclamation</t>
  </si>
  <si>
    <t>(c) Other includes benches, channels, downdrains, plug and abandon wells, fence, berms, and reinforced concrete wall demolition.</t>
  </si>
  <si>
    <t>Reclaim Pond Outlet Channel</t>
  </si>
  <si>
    <t>&lt;- subtract cover already hauled from Reclaim Pond Outlet cut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</si>
</sst>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quot;$&quot;#,##0"/>
    <numFmt numFmtId="166" formatCode="0.0%"/>
    <numFmt numFmtId="167" formatCode="mm/dd/yy_)"/>
    <numFmt numFmtId="168" formatCode="#,##0.0"/>
    <numFmt numFmtId="169" formatCode="0\+00"/>
    <numFmt numFmtId="170" formatCode="0_ "/>
    <numFmt numFmtId="171" formatCode="#,##0.0_);\(#,##0.0\)"/>
    <numFmt numFmtId="172" formatCode="0.00_)"/>
    <numFmt numFmtId="173" formatCode="0.00000"/>
    <numFmt numFmtId="174" formatCode="0.000"/>
    <numFmt numFmtId="175" formatCode="#,##0.000"/>
    <numFmt numFmtId="176" formatCode="_(&quot;$&quot;* #,##0_);_(&quot;$&quot;* \(#,##0\);_(&quot;$&quot;* &quot;-&quot;??_);_(@_)"/>
    <numFmt numFmtId="177" formatCode="&quot;$&quot;#,##0.00"/>
    <numFmt numFmtId="178" formatCode="&quot;$&quot;#,##0.0000"/>
    <numFmt numFmtId="179" formatCode="0.000000"/>
    <numFmt numFmtId="180" formatCode="0.0000%"/>
  </numFmts>
  <fonts count="31" x14ac:knownFonts="1">
    <font>
      <sz val="12"/>
      <name val="Arial"/>
      <family val="2"/>
    </font>
    <font>
      <b/>
      <sz val="12"/>
      <color rgb="FF000000"/>
      <name val="Arial"/>
      <family val="2"/>
    </font>
    <font>
      <sz val="12"/>
      <name val="Arial"/>
      <family val="2"/>
    </font>
    <font>
      <b/>
      <i/>
      <sz val="12"/>
      <name val="Arial"/>
      <family val="2"/>
    </font>
    <font>
      <b/>
      <sz val="12"/>
      <name val="Arial"/>
      <family val="2"/>
    </font>
    <font>
      <i/>
      <sz val="12"/>
      <name val="Arial"/>
      <family val="2"/>
    </font>
    <font>
      <b/>
      <sz val="20"/>
      <color indexed="10"/>
      <name val="Arial"/>
      <family val="2"/>
    </font>
    <font>
      <b/>
      <i/>
      <sz val="14"/>
      <name val="Arial"/>
      <family val="2"/>
    </font>
    <font>
      <sz val="8"/>
      <name val="Arial"/>
      <family val="2"/>
    </font>
    <font>
      <b/>
      <sz val="14"/>
      <name val="Arial"/>
      <family val="2"/>
    </font>
    <font>
      <sz val="12"/>
      <color indexed="10"/>
      <name val="Arial"/>
      <family val="2"/>
    </font>
    <font>
      <sz val="10"/>
      <name val="Arial"/>
      <family val="2"/>
    </font>
    <font>
      <b/>
      <sz val="16"/>
      <name val="Times New Roman"/>
      <family val="1"/>
    </font>
    <font>
      <u/>
      <sz val="12"/>
      <name val="Arial"/>
      <family val="2"/>
    </font>
    <font>
      <b/>
      <sz val="11"/>
      <name val="Arial"/>
      <family val="2"/>
    </font>
    <font>
      <sz val="9"/>
      <name val="Times New Roman"/>
      <family val="1"/>
    </font>
    <font>
      <sz val="10"/>
      <color indexed="10"/>
      <name val="Arial"/>
      <family val="2"/>
    </font>
    <font>
      <sz val="14"/>
      <name val="Arial"/>
      <family val="2"/>
    </font>
    <font>
      <sz val="11"/>
      <color indexed="8"/>
      <name val="Calibri"/>
      <family val="2"/>
    </font>
    <font>
      <sz val="12"/>
      <color indexed="8"/>
      <name val="Arial"/>
      <family val="2"/>
    </font>
    <font>
      <sz val="12"/>
      <name val="Times New Roman"/>
      <family val="1"/>
    </font>
    <font>
      <sz val="9"/>
      <name val="Arial"/>
      <family val="2"/>
    </font>
    <font>
      <sz val="9"/>
      <color indexed="8"/>
      <name val="Times New Roman"/>
      <family val="1"/>
    </font>
    <font>
      <i/>
      <sz val="8"/>
      <name val="Arial"/>
      <family val="2"/>
    </font>
    <font>
      <b/>
      <sz val="10"/>
      <name val="Arial"/>
      <family val="2"/>
    </font>
    <font>
      <b/>
      <vertAlign val="superscript"/>
      <sz val="10"/>
      <name val="Arial"/>
      <family val="2"/>
    </font>
    <font>
      <vertAlign val="superscript"/>
      <sz val="10"/>
      <name val="Arial"/>
      <family val="2"/>
    </font>
    <font>
      <b/>
      <u/>
      <sz val="10"/>
      <name val="Arial"/>
      <family val="2"/>
    </font>
    <font>
      <b/>
      <i/>
      <sz val="10"/>
      <name val="Arial"/>
      <family val="2"/>
    </font>
    <font>
      <b/>
      <sz val="20"/>
      <name val="Arial"/>
      <family val="2"/>
    </font>
    <font>
      <sz val="12"/>
      <color rgb="FF1F497D"/>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n">
        <color indexed="8"/>
      </left>
      <right/>
      <top/>
      <bottom style="thin">
        <color indexed="8"/>
      </bottom>
      <diagonal/>
    </border>
    <border>
      <left/>
      <right style="thick">
        <color indexed="8"/>
      </right>
      <top/>
      <bottom style="thin">
        <color indexed="8"/>
      </bottom>
      <diagonal/>
    </border>
    <border>
      <left style="thick">
        <color indexed="8"/>
      </left>
      <right style="thick">
        <color indexed="8"/>
      </right>
      <top/>
      <bottom style="thick">
        <color indexed="8"/>
      </bottom>
      <diagonal/>
    </border>
    <border>
      <left style="hair">
        <color indexed="64"/>
      </left>
      <right style="hair">
        <color indexed="64"/>
      </right>
      <top style="hair">
        <color indexed="64"/>
      </top>
      <bottom style="hair">
        <color indexed="64"/>
      </bottom>
      <diagonal/>
    </border>
  </borders>
  <cellStyleXfs count="10">
    <xf numFmtId="0" fontId="0" fillId="0" borderId="0" applyProtection="0"/>
    <xf numFmtId="41"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8" fillId="0" borderId="0"/>
    <xf numFmtId="0" fontId="2" fillId="0" borderId="0"/>
    <xf numFmtId="0" fontId="11" fillId="0" borderId="0"/>
    <xf numFmtId="0" fontId="11" fillId="0" borderId="0"/>
    <xf numFmtId="0" fontId="11" fillId="0" borderId="0"/>
    <xf numFmtId="43" fontId="2" fillId="0" borderId="0" applyFont="0" applyFill="0" applyBorder="0" applyAlignment="0" applyProtection="0"/>
  </cellStyleXfs>
  <cellXfs count="477">
    <xf numFmtId="0" fontId="0" fillId="0" borderId="0" xfId="0"/>
    <xf numFmtId="0" fontId="0" fillId="0" borderId="0" xfId="0" applyFill="1" applyProtection="1"/>
    <xf numFmtId="0" fontId="0" fillId="0" borderId="0" xfId="0" applyFill="1" applyBorder="1" applyAlignment="1" applyProtection="1">
      <alignment horizontal="right"/>
    </xf>
    <xf numFmtId="0" fontId="0" fillId="0" borderId="0" xfId="0" applyFill="1" applyBorder="1"/>
    <xf numFmtId="0" fontId="0" fillId="0" borderId="0" xfId="0" applyFill="1"/>
    <xf numFmtId="14" fontId="0" fillId="0" borderId="0" xfId="0" applyNumberFormat="1" applyFill="1" applyBorder="1" applyAlignment="1">
      <alignment horizontal="right"/>
    </xf>
    <xf numFmtId="0" fontId="3" fillId="0" borderId="0" xfId="0" applyFont="1" applyFill="1" applyProtection="1"/>
    <xf numFmtId="14" fontId="0" fillId="0" borderId="1" xfId="0" applyNumberFormat="1" applyFill="1" applyBorder="1"/>
    <xf numFmtId="0" fontId="0" fillId="0" borderId="2" xfId="0" applyFill="1" applyBorder="1" applyProtection="1"/>
    <xf numFmtId="0" fontId="0" fillId="0" borderId="3" xfId="0" applyFill="1" applyBorder="1" applyProtection="1"/>
    <xf numFmtId="0" fontId="0" fillId="0" borderId="4" xfId="0" applyFill="1" applyBorder="1" applyAlignment="1" applyProtection="1">
      <alignment horizontal="center"/>
    </xf>
    <xf numFmtId="0" fontId="0" fillId="0" borderId="5" xfId="0" applyFill="1" applyBorder="1" applyProtection="1"/>
    <xf numFmtId="0" fontId="0" fillId="0" borderId="6" xfId="0" applyFill="1" applyBorder="1" applyAlignment="1" applyProtection="1">
      <alignment horizontal="center"/>
    </xf>
    <xf numFmtId="0" fontId="0" fillId="0" borderId="6" xfId="0" applyFill="1" applyBorder="1" applyProtection="1"/>
    <xf numFmtId="0" fontId="0" fillId="0" borderId="0" xfId="0" applyFill="1" applyBorder="1" applyProtection="1"/>
    <xf numFmtId="0" fontId="0" fillId="0" borderId="6" xfId="0" applyFill="1" applyBorder="1"/>
    <xf numFmtId="0" fontId="4" fillId="0" borderId="5" xfId="0" applyFont="1" applyFill="1" applyBorder="1" applyProtection="1"/>
    <xf numFmtId="0" fontId="5" fillId="0" borderId="5" xfId="0" applyFont="1" applyFill="1" applyBorder="1"/>
    <xf numFmtId="165" fontId="4" fillId="0" borderId="0" xfId="0" applyNumberFormat="1" applyFont="1" applyFill="1" applyBorder="1" applyAlignment="1" applyProtection="1">
      <alignment horizontal="center"/>
    </xf>
    <xf numFmtId="0" fontId="4" fillId="0" borderId="7" xfId="0" applyFont="1" applyFill="1" applyBorder="1" applyAlignment="1" applyProtection="1">
      <alignment horizontal="center"/>
    </xf>
    <xf numFmtId="0" fontId="5" fillId="0" borderId="5" xfId="0" quotePrefix="1" applyFont="1" applyFill="1" applyBorder="1" applyProtection="1"/>
    <xf numFmtId="165" fontId="0" fillId="0" borderId="0" xfId="0" applyNumberFormat="1" applyFill="1" applyAlignment="1">
      <alignment horizontal="center"/>
    </xf>
    <xf numFmtId="0" fontId="4" fillId="0" borderId="8" xfId="0" applyFont="1" applyFill="1" applyBorder="1" applyAlignment="1" applyProtection="1">
      <alignment horizontal="center"/>
    </xf>
    <xf numFmtId="0" fontId="0" fillId="0" borderId="5" xfId="0" applyFill="1" applyBorder="1"/>
    <xf numFmtId="5" fontId="4" fillId="0" borderId="0" xfId="0" applyNumberFormat="1" applyFont="1" applyFill="1" applyAlignment="1">
      <alignment horizontal="center"/>
    </xf>
    <xf numFmtId="0" fontId="4" fillId="0" borderId="8" xfId="0" applyFont="1" applyFill="1" applyBorder="1" applyAlignment="1">
      <alignment horizontal="center"/>
    </xf>
    <xf numFmtId="0" fontId="0" fillId="0" borderId="9" xfId="0" applyFill="1" applyBorder="1"/>
    <xf numFmtId="0" fontId="0" fillId="0" borderId="10" xfId="0" applyFill="1" applyBorder="1"/>
    <xf numFmtId="0" fontId="4" fillId="0" borderId="11" xfId="0" applyFont="1" applyFill="1" applyBorder="1" applyAlignment="1">
      <alignment horizontal="center"/>
    </xf>
    <xf numFmtId="0" fontId="0" fillId="0" borderId="0" xfId="0" applyFill="1" applyAlignment="1">
      <alignment horizontal="right"/>
    </xf>
    <xf numFmtId="14" fontId="0" fillId="0" borderId="0" xfId="0" applyNumberFormat="1" applyFill="1" applyAlignment="1" applyProtection="1">
      <alignment horizontal="right"/>
    </xf>
    <xf numFmtId="0" fontId="6" fillId="0" borderId="0" xfId="0" applyFont="1" applyFill="1"/>
    <xf numFmtId="0" fontId="0" fillId="0" borderId="0" xfId="0" applyFill="1" applyAlignment="1" applyProtection="1">
      <alignment horizontal="right"/>
    </xf>
    <xf numFmtId="0" fontId="0" fillId="0" borderId="0" xfId="0" applyFill="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7" fillId="0" borderId="0" xfId="0" applyFont="1" applyFill="1" applyBorder="1"/>
    <xf numFmtId="1" fontId="2" fillId="0" borderId="0" xfId="0" applyNumberFormat="1" applyFont="1" applyFill="1" applyBorder="1"/>
    <xf numFmtId="20" fontId="0" fillId="0" borderId="0" xfId="0" applyNumberFormat="1" applyFill="1"/>
    <xf numFmtId="3" fontId="2" fillId="0" borderId="0" xfId="0" applyNumberFormat="1" applyFont="1" applyFill="1"/>
    <xf numFmtId="9" fontId="8" fillId="0" borderId="0" xfId="0" applyNumberFormat="1" applyFont="1" applyFill="1" applyAlignment="1">
      <alignment horizontal="right"/>
    </xf>
    <xf numFmtId="3" fontId="2" fillId="0" borderId="0" xfId="0" quotePrefix="1" applyNumberFormat="1" applyFont="1" applyFill="1" applyAlignment="1">
      <alignment horizontal="right"/>
    </xf>
    <xf numFmtId="20" fontId="0" fillId="0" borderId="0" xfId="0" applyNumberFormat="1" applyFill="1" applyBorder="1"/>
    <xf numFmtId="0" fontId="2" fillId="0" borderId="0" xfId="0" applyFont="1" applyFill="1" applyBorder="1"/>
    <xf numFmtId="3" fontId="0" fillId="0" borderId="0" xfId="0" applyNumberFormat="1" applyFill="1" applyAlignment="1">
      <alignment horizontal="right"/>
    </xf>
    <xf numFmtId="1" fontId="0" fillId="0" borderId="0" xfId="0" applyNumberFormat="1" applyFill="1" applyAlignment="1">
      <alignment horizontal="right"/>
    </xf>
    <xf numFmtId="0" fontId="2" fillId="0" borderId="0" xfId="0" applyFont="1" applyFill="1"/>
    <xf numFmtId="20" fontId="2" fillId="0" borderId="0" xfId="0" applyNumberFormat="1" applyFont="1" applyFill="1" applyBorder="1"/>
    <xf numFmtId="3" fontId="2"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0" fontId="0" fillId="0" borderId="0" xfId="0" applyFill="1" applyBorder="1" applyAlignment="1">
      <alignment horizontal="right"/>
    </xf>
    <xf numFmtId="166" fontId="8" fillId="0" borderId="0" xfId="0" applyNumberFormat="1" applyFont="1" applyFill="1" applyAlignment="1">
      <alignment horizontal="right"/>
    </xf>
    <xf numFmtId="20" fontId="2" fillId="0" borderId="0" xfId="0" quotePrefix="1" applyNumberFormat="1" applyFont="1" applyFill="1" applyBorder="1"/>
    <xf numFmtId="0" fontId="2" fillId="0" borderId="0" xfId="0" quotePrefix="1" applyFont="1" applyFill="1"/>
    <xf numFmtId="9" fontId="0" fillId="0" borderId="0" xfId="0" applyNumberFormat="1" applyFill="1" applyAlignment="1">
      <alignment horizontal="right"/>
    </xf>
    <xf numFmtId="0" fontId="2" fillId="0" borderId="0" xfId="0" quotePrefix="1" applyFont="1" applyFill="1" applyBorder="1"/>
    <xf numFmtId="1" fontId="7" fillId="0" borderId="0" xfId="0" applyNumberFormat="1" applyFont="1" applyFill="1" applyBorder="1" applyAlignment="1">
      <alignment horizontal="left"/>
    </xf>
    <xf numFmtId="1" fontId="2" fillId="0" borderId="0" xfId="0" applyNumberFormat="1" applyFont="1" applyFill="1" applyAlignment="1" applyProtection="1">
      <alignment horizontal="right"/>
    </xf>
    <xf numFmtId="0" fontId="2" fillId="0" borderId="0" xfId="0" applyFont="1" applyFill="1" applyAlignment="1" applyProtection="1">
      <alignment horizontal="left"/>
    </xf>
    <xf numFmtId="0" fontId="2" fillId="0" borderId="0" xfId="0" applyFont="1" applyFill="1" applyBorder="1" applyAlignment="1">
      <alignment horizontal="left"/>
    </xf>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9" fontId="2" fillId="0" borderId="0" xfId="0" applyNumberFormat="1" applyFont="1" applyFill="1" applyAlignment="1">
      <alignment horizontal="right"/>
    </xf>
    <xf numFmtId="1" fontId="0" fillId="0" borderId="0" xfId="0" quotePrefix="1" applyNumberFormat="1" applyFill="1" applyAlignment="1">
      <alignment horizontal="right"/>
    </xf>
    <xf numFmtId="167" fontId="0" fillId="0" borderId="0" xfId="0" applyNumberFormat="1" applyFill="1" applyAlignment="1" applyProtection="1">
      <alignment horizontal="right"/>
    </xf>
    <xf numFmtId="0" fontId="0" fillId="0" borderId="0" xfId="0" applyFill="1" applyAlignment="1">
      <alignment horizontal="left" vertical="center"/>
    </xf>
    <xf numFmtId="0" fontId="0" fillId="0" borderId="0" xfId="0" applyFill="1" applyBorder="1" applyAlignment="1" applyProtection="1">
      <alignment horizontal="center"/>
    </xf>
    <xf numFmtId="0" fontId="0" fillId="0" borderId="1" xfId="0" applyFill="1" applyBorder="1" applyAlignment="1">
      <alignment horizontal="right"/>
    </xf>
    <xf numFmtId="3" fontId="0" fillId="0" borderId="0" xfId="0" applyNumberFormat="1" applyFill="1"/>
    <xf numFmtId="168" fontId="2" fillId="0" borderId="0" xfId="0" applyNumberFormat="1" applyFont="1" applyFill="1"/>
    <xf numFmtId="3" fontId="2" fillId="0" borderId="0" xfId="0" applyNumberFormat="1" applyFont="1" applyFill="1" applyBorder="1"/>
    <xf numFmtId="168" fontId="0" fillId="0" borderId="0" xfId="0" applyNumberFormat="1" applyFill="1"/>
    <xf numFmtId="3" fontId="10" fillId="0" borderId="0" xfId="0" applyNumberFormat="1" applyFont="1" applyFill="1"/>
    <xf numFmtId="3" fontId="10" fillId="0" borderId="0" xfId="0" applyNumberFormat="1" applyFont="1" applyFill="1" applyBorder="1"/>
    <xf numFmtId="168" fontId="0" fillId="0" borderId="0" xfId="0" applyNumberFormat="1" applyFill="1" applyBorder="1"/>
    <xf numFmtId="4" fontId="0" fillId="0" borderId="0" xfId="0" applyNumberFormat="1" applyFill="1" applyBorder="1"/>
    <xf numFmtId="1" fontId="2" fillId="0" borderId="0" xfId="0" applyNumberFormat="1" applyFont="1" applyFill="1" applyBorder="1" applyAlignment="1">
      <alignment horizontal="left"/>
    </xf>
    <xf numFmtId="0" fontId="10" fillId="0" borderId="0" xfId="0" applyFont="1" applyFill="1"/>
    <xf numFmtId="0" fontId="3" fillId="0" borderId="0" xfId="0" applyFont="1" applyFill="1" applyBorder="1" applyProtection="1"/>
    <xf numFmtId="167" fontId="0" fillId="0" borderId="0" xfId="0" applyNumberFormat="1" applyFill="1" applyBorder="1" applyAlignment="1" applyProtection="1">
      <alignment horizontal="right"/>
    </xf>
    <xf numFmtId="2" fontId="0" fillId="0" borderId="0" xfId="0" applyNumberFormat="1" applyFill="1" applyBorder="1" applyProtection="1"/>
    <xf numFmtId="2" fontId="0" fillId="0" borderId="0" xfId="0" applyNumberFormat="1" applyFill="1" applyBorder="1"/>
    <xf numFmtId="0" fontId="2" fillId="0" borderId="0" xfId="0" applyFont="1" applyFill="1" applyBorder="1" applyAlignment="1">
      <alignment horizontal="center" wrapText="1"/>
    </xf>
    <xf numFmtId="169" fontId="2" fillId="0" borderId="0" xfId="0" applyNumberFormat="1" applyFont="1" applyFill="1" applyBorder="1" applyAlignment="1">
      <alignment horizontal="center" wrapText="1"/>
    </xf>
    <xf numFmtId="37" fontId="2" fillId="0" borderId="0" xfId="0" applyNumberFormat="1" applyFont="1" applyFill="1" applyBorder="1" applyProtection="1"/>
    <xf numFmtId="164" fontId="0" fillId="0" borderId="0" xfId="0" applyNumberFormat="1" applyFill="1" applyBorder="1" applyProtection="1"/>
    <xf numFmtId="3" fontId="2" fillId="0" borderId="0" xfId="0" applyNumberFormat="1" applyFont="1" applyFill="1" applyBorder="1" applyProtection="1"/>
    <xf numFmtId="1" fontId="0" fillId="0" borderId="0" xfId="0" applyNumberFormat="1" applyFill="1" applyBorder="1"/>
    <xf numFmtId="1" fontId="0" fillId="0" borderId="0" xfId="0" applyNumberFormat="1" applyFill="1" applyBorder="1" applyProtection="1"/>
    <xf numFmtId="4" fontId="2" fillId="0" borderId="0" xfId="0" applyNumberFormat="1" applyFont="1" applyFill="1" applyBorder="1" applyProtection="1"/>
    <xf numFmtId="170" fontId="0" fillId="0" borderId="0" xfId="0" applyNumberFormat="1" applyBorder="1"/>
    <xf numFmtId="1" fontId="0" fillId="0" borderId="0" xfId="0" applyNumberFormat="1" applyFill="1"/>
    <xf numFmtId="167" fontId="0" fillId="0" borderId="0" xfId="0" applyNumberFormat="1" applyFill="1" applyBorder="1" applyProtection="1"/>
    <xf numFmtId="2" fontId="0" fillId="0" borderId="0" xfId="0" applyNumberFormat="1" applyFill="1" applyBorder="1" applyAlignment="1">
      <alignment horizontal="right"/>
    </xf>
    <xf numFmtId="1" fontId="0" fillId="0" borderId="0" xfId="0" applyNumberFormat="1" applyFill="1" applyBorder="1" applyAlignment="1">
      <alignment horizontal="right"/>
    </xf>
    <xf numFmtId="171" fontId="2" fillId="0" borderId="0" xfId="0" applyNumberFormat="1" applyFont="1" applyFill="1" applyBorder="1" applyProtection="1"/>
    <xf numFmtId="164" fontId="2" fillId="0" borderId="0" xfId="3" quotePrefix="1" applyNumberFormat="1" applyFont="1" applyFill="1" applyBorder="1" applyAlignment="1">
      <alignment horizontal="right"/>
    </xf>
    <xf numFmtId="1" fontId="0" fillId="2" borderId="0" xfId="0" applyNumberFormat="1" applyFill="1"/>
    <xf numFmtId="1" fontId="0" fillId="0" borderId="0" xfId="0" quotePrefix="1" applyNumberFormat="1" applyFill="1"/>
    <xf numFmtId="1" fontId="2" fillId="0" borderId="0" xfId="0" quotePrefix="1" applyNumberFormat="1" applyFont="1" applyFill="1" applyBorder="1"/>
    <xf numFmtId="164" fontId="0" fillId="0" borderId="0" xfId="0" applyNumberFormat="1" applyFill="1"/>
    <xf numFmtId="0" fontId="0" fillId="0" borderId="0" xfId="0" applyFill="1" applyBorder="1" applyAlignment="1" applyProtection="1">
      <alignment horizontal="centerContinuous"/>
    </xf>
    <xf numFmtId="0" fontId="12" fillId="0" borderId="0" xfId="0" applyFont="1"/>
    <xf numFmtId="172" fontId="2" fillId="0" borderId="0" xfId="0" applyNumberFormat="1" applyFont="1" applyFill="1" applyBorder="1" applyProtection="1"/>
    <xf numFmtId="3" fontId="0" fillId="0" borderId="0" xfId="0" applyNumberFormat="1" applyFill="1" applyBorder="1" applyProtection="1"/>
    <xf numFmtId="168" fontId="2" fillId="0" borderId="0" xfId="0" applyNumberFormat="1" applyFont="1" applyFill="1" applyBorder="1" applyProtection="1"/>
    <xf numFmtId="3" fontId="0" fillId="0" borderId="0" xfId="0" applyNumberFormat="1" applyFill="1" applyBorder="1"/>
    <xf numFmtId="39" fontId="0" fillId="0" borderId="0" xfId="0" applyNumberFormat="1" applyFill="1" applyBorder="1" applyProtection="1"/>
    <xf numFmtId="2" fontId="0" fillId="0" borderId="0" xfId="0" applyNumberFormat="1" applyFill="1"/>
    <xf numFmtId="168" fontId="0" fillId="0" borderId="0" xfId="0" applyNumberFormat="1" applyFill="1" applyBorder="1" applyProtection="1"/>
    <xf numFmtId="166" fontId="0" fillId="0" borderId="0" xfId="0" applyNumberFormat="1" applyFill="1"/>
    <xf numFmtId="166" fontId="0" fillId="0" borderId="0" xfId="0" applyNumberFormat="1" applyFill="1" applyBorder="1"/>
    <xf numFmtId="0" fontId="13" fillId="0" borderId="0" xfId="0" applyFont="1" applyFill="1" applyBorder="1" applyProtection="1"/>
    <xf numFmtId="2" fontId="2" fillId="0" borderId="0" xfId="0" applyNumberFormat="1" applyFont="1" applyFill="1" applyBorder="1" applyProtection="1"/>
    <xf numFmtId="0" fontId="2" fillId="0" borderId="0" xfId="0" applyFont="1" applyFill="1" applyBorder="1" applyProtection="1"/>
    <xf numFmtId="166" fontId="2" fillId="0" borderId="0" xfId="0" applyNumberFormat="1" applyFont="1" applyFill="1" applyBorder="1" applyProtection="1"/>
    <xf numFmtId="5" fontId="0" fillId="0" borderId="0" xfId="0" applyNumberFormat="1" applyFill="1" applyBorder="1" applyProtection="1"/>
    <xf numFmtId="3" fontId="4" fillId="0" borderId="0" xfId="0" applyNumberFormat="1" applyFont="1" applyFill="1" applyBorder="1"/>
    <xf numFmtId="9" fontId="2" fillId="0" borderId="0" xfId="0" applyNumberFormat="1" applyFont="1" applyFill="1" applyBorder="1" applyProtection="1"/>
    <xf numFmtId="164" fontId="0" fillId="0" borderId="0" xfId="0" applyNumberFormat="1" applyFill="1" applyBorder="1"/>
    <xf numFmtId="166" fontId="0" fillId="0" borderId="0" xfId="0" applyNumberFormat="1" applyFill="1" applyBorder="1" applyProtection="1"/>
    <xf numFmtId="173" fontId="0" fillId="0" borderId="0" xfId="0" applyNumberFormat="1" applyFill="1" applyBorder="1" applyAlignment="1">
      <alignment horizontal="center"/>
    </xf>
    <xf numFmtId="0" fontId="4" fillId="0" borderId="0" xfId="0" applyFont="1" applyFill="1"/>
    <xf numFmtId="0" fontId="14" fillId="0" borderId="0" xfId="0" applyFont="1" applyFill="1" applyBorder="1" applyProtection="1"/>
    <xf numFmtId="0" fontId="14" fillId="0" borderId="0" xfId="0" applyFont="1" applyFill="1" applyProtection="1"/>
    <xf numFmtId="0" fontId="0" fillId="0" borderId="0" xfId="0" applyBorder="1"/>
    <xf numFmtId="37" fontId="0" fillId="0" borderId="0" xfId="0" applyNumberFormat="1" applyFill="1" applyBorder="1" applyProtection="1"/>
    <xf numFmtId="0" fontId="11" fillId="0" borderId="0" xfId="0" applyFont="1" applyBorder="1" applyAlignment="1"/>
    <xf numFmtId="0" fontId="11" fillId="0" borderId="0" xfId="0" applyFont="1" applyAlignment="1"/>
    <xf numFmtId="0" fontId="0" fillId="0" borderId="0" xfId="0" applyAlignment="1">
      <alignment horizontal="left"/>
    </xf>
    <xf numFmtId="0" fontId="0" fillId="0" borderId="0" xfId="0" applyBorder="1" applyProtection="1"/>
    <xf numFmtId="1" fontId="0" fillId="0" borderId="0" xfId="0" applyNumberFormat="1" applyFill="1" applyBorder="1" applyAlignment="1" applyProtection="1">
      <alignment horizontal="center"/>
    </xf>
    <xf numFmtId="0" fontId="7" fillId="0" borderId="0" xfId="0" applyFont="1" applyBorder="1"/>
    <xf numFmtId="0" fontId="4" fillId="0" borderId="0" xfId="0" applyFont="1" applyFill="1" applyBorder="1" applyProtection="1"/>
    <xf numFmtId="172" fontId="0" fillId="0" borderId="0" xfId="0" applyNumberFormat="1" applyFill="1" applyBorder="1" applyProtection="1"/>
    <xf numFmtId="171" fontId="0" fillId="0" borderId="0" xfId="0" applyNumberFormat="1" applyFill="1" applyBorder="1" applyProtection="1"/>
    <xf numFmtId="37" fontId="0" fillId="0" borderId="0" xfId="0" applyNumberFormat="1" applyFill="1" applyBorder="1" applyAlignment="1" applyProtection="1">
      <alignment horizontal="right"/>
    </xf>
    <xf numFmtId="172" fontId="0" fillId="0" borderId="0" xfId="0" applyNumberFormat="1" applyFill="1" applyBorder="1" applyAlignment="1" applyProtection="1">
      <alignment horizontal="right"/>
    </xf>
    <xf numFmtId="174" fontId="0" fillId="0" borderId="0" xfId="0" applyNumberFormat="1" applyFill="1"/>
    <xf numFmtId="0" fontId="4" fillId="0" borderId="0" xfId="0" applyFont="1" applyFill="1" applyBorder="1"/>
    <xf numFmtId="175" fontId="0" fillId="0" borderId="0" xfId="0" applyNumberFormat="1" applyFill="1" applyBorder="1" applyProtection="1"/>
    <xf numFmtId="1" fontId="4" fillId="0" borderId="0" xfId="0" applyNumberFormat="1" applyFont="1" applyFill="1" applyBorder="1"/>
    <xf numFmtId="20" fontId="0" fillId="0" borderId="0" xfId="0" applyNumberFormat="1" applyFill="1" applyAlignment="1">
      <alignment horizontal="right"/>
    </xf>
    <xf numFmtId="37" fontId="0" fillId="0" borderId="0" xfId="0" applyNumberFormat="1" applyFill="1"/>
    <xf numFmtId="176" fontId="0" fillId="0" borderId="0" xfId="2" applyNumberFormat="1" applyFont="1" applyFill="1" applyBorder="1" applyAlignment="1" applyProtection="1">
      <alignment horizontal="right"/>
    </xf>
    <xf numFmtId="0" fontId="4" fillId="0" borderId="0" xfId="0" applyFont="1" applyFill="1" applyBorder="1" applyAlignment="1" applyProtection="1">
      <alignment horizontal="right"/>
    </xf>
    <xf numFmtId="5" fontId="4" fillId="0" borderId="0" xfId="0" applyNumberFormat="1" applyFont="1" applyFill="1" applyBorder="1" applyProtection="1"/>
    <xf numFmtId="1" fontId="4" fillId="0" borderId="0" xfId="0" applyNumberFormat="1" applyFont="1" applyFill="1" applyBorder="1" applyProtection="1"/>
    <xf numFmtId="37" fontId="0" fillId="0" borderId="0" xfId="0" applyNumberFormat="1" applyFill="1" applyBorder="1"/>
    <xf numFmtId="0" fontId="2" fillId="0" borderId="0" xfId="0" applyFont="1" applyFill="1" applyBorder="1" applyAlignment="1">
      <alignment horizontal="center"/>
    </xf>
    <xf numFmtId="37" fontId="2" fillId="0" borderId="0" xfId="0" applyNumberFormat="1" applyFont="1" applyFill="1" applyBorder="1" applyAlignment="1" applyProtection="1">
      <alignment horizontal="center"/>
    </xf>
    <xf numFmtId="10" fontId="2" fillId="0" borderId="0" xfId="0" applyNumberFormat="1" applyFont="1" applyFill="1" applyBorder="1" applyAlignment="1" applyProtection="1">
      <alignment horizontal="center"/>
    </xf>
    <xf numFmtId="0" fontId="0" fillId="0" borderId="0" xfId="0" applyFill="1" applyAlignment="1">
      <alignment horizontal="center"/>
    </xf>
    <xf numFmtId="0" fontId="2" fillId="0" borderId="1" xfId="0" applyFont="1" applyFill="1" applyBorder="1"/>
    <xf numFmtId="0" fontId="2" fillId="0" borderId="1" xfId="0" applyFont="1" applyFill="1"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left"/>
    </xf>
    <xf numFmtId="177" fontId="0" fillId="0" borderId="0" xfId="0" applyNumberFormat="1" applyFill="1" applyBorder="1"/>
    <xf numFmtId="2" fontId="11" fillId="0" borderId="0" xfId="0" applyNumberFormat="1" applyFont="1" applyFill="1" applyBorder="1"/>
    <xf numFmtId="2" fontId="2" fillId="0" borderId="0" xfId="0" applyNumberFormat="1" applyFont="1" applyFill="1" applyBorder="1"/>
    <xf numFmtId="2" fontId="2" fillId="0" borderId="0" xfId="0" applyNumberFormat="1" applyFont="1" applyFill="1" applyBorder="1" applyAlignment="1">
      <alignment horizontal="center"/>
    </xf>
    <xf numFmtId="174" fontId="2" fillId="0" borderId="0" xfId="0" applyNumberFormat="1" applyFont="1" applyFill="1" applyBorder="1" applyAlignment="1">
      <alignment horizontal="center"/>
    </xf>
    <xf numFmtId="2" fontId="0" fillId="0" borderId="0" xfId="0" applyNumberFormat="1" applyFill="1" applyBorder="1" applyAlignment="1">
      <alignment horizontal="center"/>
    </xf>
    <xf numFmtId="177" fontId="0" fillId="0" borderId="0" xfId="0" applyNumberFormat="1" applyFill="1" applyBorder="1" applyAlignment="1">
      <alignment horizontal="right"/>
    </xf>
    <xf numFmtId="0" fontId="2" fillId="0" borderId="1" xfId="0" applyFont="1" applyFill="1" applyBorder="1" applyAlignment="1">
      <alignment horizontal="left"/>
    </xf>
    <xf numFmtId="0" fontId="0" fillId="0" borderId="1" xfId="0" applyFill="1" applyBorder="1" applyAlignment="1">
      <alignment horizontal="left"/>
    </xf>
    <xf numFmtId="0" fontId="0" fillId="0" borderId="0" xfId="0" applyFont="1" applyFill="1" applyBorder="1" applyAlignment="1">
      <alignment horizontal="left"/>
    </xf>
    <xf numFmtId="0" fontId="11" fillId="0" borderId="0" xfId="0" applyFont="1" applyFill="1"/>
    <xf numFmtId="0" fontId="11" fillId="0" borderId="0" xfId="0" applyFont="1" applyFill="1" applyBorder="1"/>
    <xf numFmtId="0" fontId="11" fillId="0" borderId="0" xfId="0" applyFont="1" applyFill="1" applyAlignment="1"/>
    <xf numFmtId="0" fontId="3" fillId="0" borderId="0" xfId="0" applyFont="1" applyBorder="1" applyProtection="1"/>
    <xf numFmtId="0" fontId="0" fillId="0" borderId="0" xfId="0" applyFill="1" applyBorder="1" applyAlignment="1" applyProtection="1">
      <alignment horizontal="left"/>
    </xf>
    <xf numFmtId="0" fontId="7" fillId="0" borderId="0" xfId="0" applyFont="1" applyFill="1" applyBorder="1" applyProtection="1"/>
    <xf numFmtId="20" fontId="2" fillId="0" borderId="0" xfId="0" applyNumberFormat="1" applyFont="1" applyFill="1" applyAlignment="1" applyProtection="1">
      <alignment horizontal="left"/>
    </xf>
    <xf numFmtId="3" fontId="0" fillId="0" borderId="0" xfId="0" quotePrefix="1" applyNumberFormat="1" applyFill="1" applyBorder="1" applyAlignment="1">
      <alignment horizontal="center"/>
    </xf>
    <xf numFmtId="0" fontId="15" fillId="0" borderId="0" xfId="0" applyFont="1" applyFill="1" applyAlignment="1">
      <alignment horizontal="justify"/>
    </xf>
    <xf numFmtId="3" fontId="0" fillId="0" borderId="0" xfId="0" applyNumberFormat="1" applyFill="1" applyBorder="1" applyAlignment="1">
      <alignment horizontal="center"/>
    </xf>
    <xf numFmtId="20" fontId="9" fillId="0" borderId="0" xfId="0" applyNumberFormat="1" applyFont="1" applyFill="1"/>
    <xf numFmtId="0" fontId="2" fillId="0" borderId="0" xfId="0" applyFont="1" applyFill="1" applyAlignment="1"/>
    <xf numFmtId="0" fontId="0" fillId="0" borderId="0" xfId="0" applyFill="1" applyAlignment="1">
      <alignment wrapText="1"/>
    </xf>
    <xf numFmtId="168" fontId="0" fillId="0" borderId="0" xfId="0" quotePrefix="1" applyNumberFormat="1" applyFill="1" applyBorder="1" applyAlignment="1">
      <alignment horizontal="right"/>
    </xf>
    <xf numFmtId="9" fontId="0" fillId="0" borderId="0" xfId="0" applyNumberFormat="1" applyFill="1" applyProtection="1"/>
    <xf numFmtId="0" fontId="15" fillId="0" borderId="0" xfId="0" applyFont="1" applyAlignment="1">
      <alignment horizontal="justify"/>
    </xf>
    <xf numFmtId="168" fontId="16" fillId="0" borderId="0" xfId="0" applyNumberFormat="1" applyFont="1" applyFill="1" applyBorder="1" applyAlignment="1">
      <alignment horizontal="center"/>
    </xf>
    <xf numFmtId="3" fontId="16" fillId="0" borderId="0" xfId="0" applyNumberFormat="1" applyFont="1" applyFill="1" applyBorder="1" applyAlignment="1">
      <alignment horizontal="center"/>
    </xf>
    <xf numFmtId="37" fontId="2" fillId="0" borderId="0" xfId="0" applyNumberFormat="1" applyFont="1" applyFill="1" applyAlignment="1" applyProtection="1">
      <alignment horizontal="left"/>
    </xf>
    <xf numFmtId="168" fontId="0" fillId="0" borderId="0" xfId="0" applyNumberFormat="1" applyFill="1" applyBorder="1" applyAlignment="1">
      <alignment horizontal="right"/>
    </xf>
    <xf numFmtId="168" fontId="0" fillId="0" borderId="0" xfId="0" applyNumberFormat="1" applyFill="1" applyBorder="1" applyAlignment="1">
      <alignment horizontal="center"/>
    </xf>
    <xf numFmtId="168" fontId="0" fillId="0" borderId="0" xfId="0" quotePrefix="1" applyNumberFormat="1" applyFill="1" applyBorder="1" applyAlignment="1">
      <alignment horizontal="center"/>
    </xf>
    <xf numFmtId="20" fontId="4" fillId="0" borderId="0" xfId="0" applyNumberFormat="1" applyFont="1" applyFill="1" applyBorder="1" applyAlignment="1" applyProtection="1">
      <alignment horizontal="right"/>
    </xf>
    <xf numFmtId="37" fontId="0" fillId="0" borderId="0" xfId="0" applyNumberFormat="1" applyFill="1" applyAlignment="1">
      <alignment horizontal="left"/>
    </xf>
    <xf numFmtId="20" fontId="4" fillId="0" borderId="0" xfId="0" applyNumberFormat="1" applyFont="1" applyFill="1" applyBorder="1" applyProtection="1"/>
    <xf numFmtId="168" fontId="16" fillId="0" borderId="0" xfId="0" quotePrefix="1" applyNumberFormat="1" applyFont="1" applyFill="1" applyBorder="1" applyAlignment="1">
      <alignment horizontal="center"/>
    </xf>
    <xf numFmtId="3" fontId="16" fillId="0" borderId="0" xfId="0" quotePrefix="1" applyNumberFormat="1" applyFont="1" applyFill="1" applyBorder="1" applyAlignment="1">
      <alignment horizontal="center"/>
    </xf>
    <xf numFmtId="5" fontId="0" fillId="0" borderId="0" xfId="2" applyNumberFormat="1" applyFont="1" applyFill="1" applyAlignment="1">
      <alignment horizontal="left"/>
    </xf>
    <xf numFmtId="179" fontId="0" fillId="0" borderId="0" xfId="0" applyNumberFormat="1" applyFill="1"/>
    <xf numFmtId="2" fontId="0" fillId="0" borderId="0" xfId="0" applyNumberFormat="1" applyFill="1" applyBorder="1" applyAlignment="1" applyProtection="1">
      <alignment horizontal="right"/>
    </xf>
    <xf numFmtId="17" fontId="0" fillId="0" borderId="0" xfId="0" applyNumberFormat="1" applyFill="1" applyBorder="1"/>
    <xf numFmtId="20" fontId="17" fillId="0" borderId="0" xfId="0" applyNumberFormat="1" applyFont="1" applyFill="1" applyBorder="1" applyProtection="1"/>
    <xf numFmtId="0" fontId="0" fillId="0" borderId="0" xfId="0" applyFill="1" applyBorder="1" applyAlignment="1" applyProtection="1">
      <alignment wrapText="1"/>
    </xf>
    <xf numFmtId="0" fontId="0" fillId="0" borderId="0" xfId="0" applyFill="1" applyBorder="1" applyAlignment="1">
      <alignment wrapText="1"/>
    </xf>
    <xf numFmtId="0" fontId="9" fillId="0" borderId="0" xfId="0" applyFont="1" applyFill="1"/>
    <xf numFmtId="177" fontId="0" fillId="0" borderId="0" xfId="0" applyNumberFormat="1" applyFill="1" applyBorder="1" applyAlignment="1" applyProtection="1">
      <alignment horizontal="right"/>
    </xf>
    <xf numFmtId="177" fontId="0" fillId="0" borderId="0" xfId="0" applyNumberFormat="1" applyFill="1" applyBorder="1" applyProtection="1"/>
    <xf numFmtId="0" fontId="0" fillId="0" borderId="0" xfId="0" applyFill="1" applyBorder="1" applyAlignment="1">
      <alignment horizontal="left" wrapText="1"/>
    </xf>
    <xf numFmtId="20" fontId="2" fillId="0" borderId="0" xfId="0" applyNumberFormat="1" applyFont="1" applyFill="1" applyBorder="1" applyProtection="1"/>
    <xf numFmtId="0" fontId="19" fillId="0" borderId="0" xfId="4" applyFont="1" applyFill="1" applyBorder="1" applyAlignment="1">
      <alignment horizontal="center"/>
    </xf>
    <xf numFmtId="165" fontId="0" fillId="0" borderId="0" xfId="0" applyNumberFormat="1" applyFill="1" applyBorder="1" applyProtection="1"/>
    <xf numFmtId="20" fontId="4" fillId="0" borderId="0" xfId="0" applyNumberFormat="1" applyFont="1" applyFill="1"/>
    <xf numFmtId="0" fontId="10" fillId="0" borderId="0" xfId="0" applyFont="1" applyFill="1" applyBorder="1" applyProtection="1"/>
    <xf numFmtId="0" fontId="0" fillId="0" borderId="0" xfId="0" applyFill="1" applyBorder="1" applyAlignment="1"/>
    <xf numFmtId="0" fontId="0" fillId="0" borderId="0" xfId="0" applyFill="1" applyAlignment="1"/>
    <xf numFmtId="165" fontId="0" fillId="0" borderId="0" xfId="0" applyNumberFormat="1" applyFill="1" applyAlignment="1">
      <alignment horizontal="right"/>
    </xf>
    <xf numFmtId="165" fontId="0" fillId="0" borderId="0" xfId="0" applyNumberFormat="1" applyFill="1"/>
    <xf numFmtId="165" fontId="4" fillId="0" borderId="0" xfId="0" applyNumberFormat="1" applyFont="1" applyFill="1" applyBorder="1" applyProtection="1"/>
    <xf numFmtId="0" fontId="0" fillId="0" borderId="0" xfId="0" applyFill="1" applyAlignment="1">
      <alignment horizontal="center" vertical="center" wrapText="1"/>
    </xf>
    <xf numFmtId="0" fontId="21" fillId="0" borderId="0" xfId="0" applyFont="1" applyFill="1" applyBorder="1"/>
    <xf numFmtId="0" fontId="22" fillId="0" borderId="0" xfId="0" applyFont="1" applyFill="1" applyBorder="1" applyAlignment="1">
      <alignment horizontal="center" vertical="center" wrapText="1"/>
    </xf>
    <xf numFmtId="0" fontId="22" fillId="0" borderId="0" xfId="0" applyFont="1" applyFill="1" applyBorder="1" applyAlignment="1">
      <alignment wrapText="1"/>
    </xf>
    <xf numFmtId="5" fontId="0" fillId="0" borderId="0" xfId="0" applyNumberFormat="1" applyFill="1" applyBorder="1" applyAlignment="1">
      <alignment horizontal="left"/>
    </xf>
    <xf numFmtId="0" fontId="22" fillId="0" borderId="0" xfId="0" applyNumberFormat="1" applyFont="1" applyFill="1" applyBorder="1" applyAlignment="1">
      <alignment wrapText="1"/>
    </xf>
    <xf numFmtId="0" fontId="11" fillId="0" borderId="0" xfId="0" applyFont="1" applyFill="1" applyBorder="1" applyAlignment="1">
      <alignment horizontal="right"/>
    </xf>
    <xf numFmtId="0" fontId="0" fillId="0" borderId="0" xfId="0" applyFont="1" applyFill="1" applyBorder="1" applyAlignment="1">
      <alignment horizontal="right"/>
    </xf>
    <xf numFmtId="0" fontId="3" fillId="0" borderId="0" xfId="0" applyFont="1" applyFill="1" applyBorder="1"/>
    <xf numFmtId="14" fontId="4" fillId="0" borderId="0" xfId="0" quotePrefix="1" applyNumberFormat="1" applyFont="1" applyFill="1" applyBorder="1" applyAlignment="1" applyProtection="1">
      <alignment horizontal="right"/>
    </xf>
    <xf numFmtId="167" fontId="2" fillId="0" borderId="0" xfId="0" applyNumberFormat="1" applyFont="1" applyFill="1" applyBorder="1" applyAlignment="1" applyProtection="1">
      <alignment horizontal="right"/>
    </xf>
    <xf numFmtId="167" fontId="11" fillId="0" borderId="0" xfId="0" applyNumberFormat="1" applyFont="1" applyFill="1" applyBorder="1" applyAlignment="1" applyProtection="1">
      <alignment horizontal="right"/>
    </xf>
    <xf numFmtId="0" fontId="23" fillId="0" borderId="0" xfId="0" quotePrefix="1" applyFont="1" applyFill="1" applyBorder="1" applyAlignment="1">
      <alignment horizontal="right"/>
    </xf>
    <xf numFmtId="0" fontId="24" fillId="0" borderId="0" xfId="0" applyFont="1" applyFill="1" applyBorder="1"/>
    <xf numFmtId="165" fontId="11" fillId="0" borderId="0" xfId="0" applyNumberFormat="1" applyFont="1" applyFill="1" applyBorder="1"/>
    <xf numFmtId="0" fontId="11" fillId="0" borderId="0" xfId="0" quotePrefix="1" applyFont="1" applyFill="1" applyBorder="1" applyAlignment="1">
      <alignment horizontal="right"/>
    </xf>
    <xf numFmtId="5" fontId="11" fillId="0" borderId="0" xfId="0" applyNumberFormat="1" applyFont="1" applyFill="1" applyBorder="1" applyProtection="1"/>
    <xf numFmtId="37" fontId="11" fillId="0" borderId="0" xfId="0" applyNumberFormat="1" applyFont="1" applyFill="1"/>
    <xf numFmtId="37" fontId="11" fillId="0" borderId="0" xfId="0" applyNumberFormat="1" applyFont="1" applyFill="1" applyBorder="1"/>
    <xf numFmtId="0" fontId="24" fillId="0" borderId="0" xfId="0" applyFont="1" applyFill="1" applyBorder="1" applyAlignment="1">
      <alignment horizontal="right"/>
    </xf>
    <xf numFmtId="37" fontId="11" fillId="0" borderId="0" xfId="0" applyNumberFormat="1" applyFont="1" applyFill="1" applyBorder="1" applyProtection="1"/>
    <xf numFmtId="5" fontId="24" fillId="0" borderId="0" xfId="0" applyNumberFormat="1" applyFont="1" applyFill="1" applyBorder="1"/>
    <xf numFmtId="10" fontId="11" fillId="0" borderId="0" xfId="0" applyNumberFormat="1" applyFont="1" applyFill="1" applyBorder="1" applyProtection="1"/>
    <xf numFmtId="5" fontId="11" fillId="0" borderId="0" xfId="0" applyNumberFormat="1" applyFont="1" applyFill="1" applyBorder="1"/>
    <xf numFmtId="7" fontId="11" fillId="0" borderId="0" xfId="0" applyNumberFormat="1" applyFont="1" applyFill="1" applyBorder="1" applyProtection="1"/>
    <xf numFmtId="166" fontId="11" fillId="0" borderId="0" xfId="0" applyNumberFormat="1" applyFont="1" applyFill="1" applyBorder="1"/>
    <xf numFmtId="180" fontId="11" fillId="0" borderId="0" xfId="0" applyNumberFormat="1" applyFont="1" applyFill="1" applyBorder="1" applyProtection="1"/>
    <xf numFmtId="5" fontId="24" fillId="0" borderId="0" xfId="0" applyNumberFormat="1" applyFont="1" applyFill="1" applyBorder="1" applyProtection="1"/>
    <xf numFmtId="0" fontId="11" fillId="0" borderId="0" xfId="0" quotePrefix="1" applyFont="1" applyFill="1" applyBorder="1"/>
    <xf numFmtId="166" fontId="11" fillId="0" borderId="0" xfId="0" applyNumberFormat="1" applyFont="1" applyFill="1" applyBorder="1" applyProtection="1"/>
    <xf numFmtId="7" fontId="11" fillId="0" borderId="0" xfId="0" applyNumberFormat="1" applyFont="1" applyFill="1" applyBorder="1"/>
    <xf numFmtId="10" fontId="11" fillId="0" borderId="0" xfId="0" applyNumberFormat="1" applyFont="1" applyFill="1" applyBorder="1"/>
    <xf numFmtId="0" fontId="11" fillId="0" borderId="0" xfId="0" applyFont="1" applyFill="1" applyBorder="1" applyAlignment="1"/>
    <xf numFmtId="1" fontId="11" fillId="0" borderId="0" xfId="0" applyNumberFormat="1" applyFont="1"/>
    <xf numFmtId="0" fontId="11" fillId="0" borderId="0" xfId="0" applyFont="1"/>
    <xf numFmtId="166" fontId="11" fillId="0" borderId="0" xfId="0" applyNumberFormat="1" applyFont="1"/>
    <xf numFmtId="165" fontId="11" fillId="0" borderId="0" xfId="0" applyNumberFormat="1" applyFont="1" applyFill="1"/>
    <xf numFmtId="165" fontId="24" fillId="0" borderId="0" xfId="0" applyNumberFormat="1" applyFont="1"/>
    <xf numFmtId="0" fontId="24" fillId="0" borderId="0" xfId="0" applyFont="1"/>
    <xf numFmtId="165" fontId="24" fillId="0" borderId="0" xfId="0" applyNumberFormat="1" applyFont="1" applyFill="1"/>
    <xf numFmtId="165" fontId="11" fillId="0" borderId="0" xfId="0" applyNumberFormat="1" applyFont="1"/>
    <xf numFmtId="166" fontId="11" fillId="0" borderId="0" xfId="0" applyNumberFormat="1" applyFont="1" applyFill="1"/>
    <xf numFmtId="166" fontId="0" fillId="0" borderId="0" xfId="0" applyNumberFormat="1"/>
    <xf numFmtId="1" fontId="0" fillId="0" borderId="0" xfId="0" applyNumberFormat="1"/>
    <xf numFmtId="0" fontId="24" fillId="0" borderId="0" xfId="0" applyFont="1" applyFill="1"/>
    <xf numFmtId="0" fontId="11" fillId="0" borderId="0" xfId="0" applyFont="1" applyBorder="1" applyAlignment="1">
      <alignment horizontal="center" vertical="top" wrapText="1"/>
    </xf>
    <xf numFmtId="0" fontId="11" fillId="0" borderId="0" xfId="0" applyFont="1" applyFill="1" applyBorder="1" applyAlignment="1">
      <alignment horizontal="center" vertical="top" wrapText="1"/>
    </xf>
    <xf numFmtId="0" fontId="24" fillId="0" borderId="0" xfId="0" applyFont="1" applyBorder="1" applyAlignment="1">
      <alignment horizontal="left" vertical="top" wrapText="1"/>
    </xf>
    <xf numFmtId="173" fontId="0" fillId="0" borderId="0" xfId="0" applyNumberFormat="1"/>
    <xf numFmtId="0" fontId="27" fillId="0" borderId="0" xfId="0" applyFont="1" applyBorder="1" applyAlignment="1">
      <alignment horizontal="center" vertical="top" wrapText="1"/>
    </xf>
    <xf numFmtId="0" fontId="20" fillId="0" borderId="0" xfId="0" applyFont="1" applyFill="1" applyBorder="1" applyAlignment="1">
      <alignment horizontal="center" vertical="top" wrapText="1"/>
    </xf>
    <xf numFmtId="165" fontId="0" fillId="0" borderId="0" xfId="0" applyNumberFormat="1"/>
    <xf numFmtId="165" fontId="20"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Border="1"/>
    <xf numFmtId="165" fontId="11" fillId="0" borderId="0" xfId="0" applyNumberFormat="1" applyFont="1" applyBorder="1"/>
    <xf numFmtId="0" fontId="11" fillId="0" borderId="0" xfId="0" applyFont="1" applyBorder="1"/>
    <xf numFmtId="177" fontId="0" fillId="0" borderId="0" xfId="0" applyNumberFormat="1"/>
    <xf numFmtId="0" fontId="3" fillId="0" borderId="0" xfId="0" applyFont="1" applyProtection="1"/>
    <xf numFmtId="0" fontId="0" fillId="0" borderId="12" xfId="0" applyFill="1" applyBorder="1" applyProtection="1"/>
    <xf numFmtId="0" fontId="11" fillId="0" borderId="0" xfId="6" applyFill="1"/>
    <xf numFmtId="0" fontId="11" fillId="0" borderId="0" xfId="6" applyFont="1" applyFill="1" applyBorder="1" applyProtection="1"/>
    <xf numFmtId="0" fontId="11" fillId="0" borderId="0" xfId="6" applyFont="1" applyFill="1"/>
    <xf numFmtId="0" fontId="11" fillId="0" borderId="0" xfId="6" applyFill="1" applyBorder="1" applyAlignment="1">
      <alignment horizontal="right"/>
    </xf>
    <xf numFmtId="0" fontId="11" fillId="0" borderId="0" xfId="6" applyFont="1" applyFill="1" applyBorder="1"/>
    <xf numFmtId="0" fontId="11" fillId="0" borderId="0" xfId="6" applyFont="1" applyFill="1" applyBorder="1" applyAlignment="1" applyProtection="1">
      <alignment horizontal="right"/>
    </xf>
    <xf numFmtId="0" fontId="28" fillId="0" borderId="0" xfId="6" applyFont="1" applyFill="1" applyBorder="1" applyProtection="1"/>
    <xf numFmtId="14" fontId="11" fillId="0" borderId="0" xfId="6" applyNumberFormat="1" applyFill="1" applyBorder="1" applyAlignment="1">
      <alignment horizontal="right"/>
    </xf>
    <xf numFmtId="0" fontId="3" fillId="0" borderId="0" xfId="6" applyFont="1" applyFill="1" applyBorder="1"/>
    <xf numFmtId="0" fontId="11" fillId="0" borderId="0" xfId="6" applyFont="1" applyFill="1" applyBorder="1" applyAlignment="1">
      <alignment horizontal="right"/>
    </xf>
    <xf numFmtId="37" fontId="11" fillId="0" borderId="0" xfId="6" applyNumberFormat="1" applyFont="1" applyFill="1" applyBorder="1" applyProtection="1"/>
    <xf numFmtId="0" fontId="11" fillId="0" borderId="0" xfId="6" applyFill="1" applyBorder="1"/>
    <xf numFmtId="167" fontId="11" fillId="0" borderId="0" xfId="6" applyNumberFormat="1" applyFont="1" applyFill="1" applyBorder="1" applyAlignment="1" applyProtection="1">
      <alignment horizontal="right"/>
    </xf>
    <xf numFmtId="0" fontId="4" fillId="0" borderId="0" xfId="0" applyFont="1" applyBorder="1" applyProtection="1"/>
    <xf numFmtId="3" fontId="11" fillId="0" borderId="0" xfId="6" applyNumberFormat="1" applyFont="1" applyFill="1" applyBorder="1" applyProtection="1"/>
    <xf numFmtId="0" fontId="11" fillId="0" borderId="0" xfId="6" applyFill="1" applyBorder="1" applyProtection="1"/>
    <xf numFmtId="0" fontId="11" fillId="0" borderId="0" xfId="6" applyFill="1" applyBorder="1" applyAlignment="1" applyProtection="1">
      <alignment horizontal="right"/>
    </xf>
    <xf numFmtId="0" fontId="3" fillId="0" borderId="0" xfId="6" applyFont="1" applyFill="1" applyBorder="1" applyProtection="1"/>
    <xf numFmtId="167" fontId="11" fillId="0" borderId="0" xfId="6" applyNumberFormat="1" applyFill="1" applyBorder="1" applyAlignment="1" applyProtection="1">
      <alignment horizontal="right"/>
    </xf>
    <xf numFmtId="5" fontId="11" fillId="0" borderId="0" xfId="6" applyNumberFormat="1" applyFill="1" applyBorder="1" applyProtection="1"/>
    <xf numFmtId="3" fontId="11" fillId="0" borderId="0" xfId="6" applyNumberFormat="1" applyFont="1" applyFill="1" applyBorder="1"/>
    <xf numFmtId="165" fontId="11" fillId="0" borderId="0" xfId="6" applyNumberFormat="1" applyFont="1" applyFill="1" applyBorder="1"/>
    <xf numFmtId="165" fontId="11" fillId="0" borderId="0" xfId="6" applyNumberFormat="1" applyFont="1" applyFill="1" applyBorder="1" applyProtection="1"/>
    <xf numFmtId="165" fontId="11" fillId="0" borderId="0" xfId="6" applyNumberFormat="1" applyFill="1" applyBorder="1"/>
    <xf numFmtId="0" fontId="11" fillId="0" borderId="0" xfId="7" applyFill="1"/>
    <xf numFmtId="41" fontId="11" fillId="0" borderId="0" xfId="1" applyFont="1" applyFill="1"/>
    <xf numFmtId="0" fontId="11" fillId="0" borderId="0" xfId="7" applyFill="1" applyBorder="1" applyAlignment="1">
      <alignment horizontal="right"/>
    </xf>
    <xf numFmtId="0" fontId="11" fillId="0" borderId="0" xfId="7" applyFill="1" applyAlignment="1">
      <alignment horizontal="right"/>
    </xf>
    <xf numFmtId="0" fontId="11" fillId="0" borderId="0" xfId="7" applyFont="1" applyFill="1"/>
    <xf numFmtId="14" fontId="11" fillId="0" borderId="0" xfId="7" applyNumberFormat="1" applyFill="1" applyBorder="1" applyAlignment="1">
      <alignment horizontal="right"/>
    </xf>
    <xf numFmtId="0" fontId="11" fillId="0" borderId="0" xfId="7" applyFill="1" applyAlignment="1">
      <alignment horizontal="left"/>
    </xf>
    <xf numFmtId="0" fontId="11" fillId="0" borderId="0" xfId="7" applyFont="1" applyFill="1" applyAlignment="1">
      <alignment horizontal="right"/>
    </xf>
    <xf numFmtId="0" fontId="11" fillId="0" borderId="1" xfId="7" applyFill="1" applyBorder="1"/>
    <xf numFmtId="0" fontId="24" fillId="0" borderId="0" xfId="7" applyFont="1" applyFill="1" applyBorder="1" applyAlignment="1">
      <alignment horizontal="left"/>
    </xf>
    <xf numFmtId="0" fontId="11" fillId="0" borderId="0" xfId="7" applyFill="1" applyBorder="1"/>
    <xf numFmtId="0" fontId="11" fillId="0" borderId="0" xfId="7" quotePrefix="1" applyFill="1" applyBorder="1" applyAlignment="1">
      <alignment horizontal="right"/>
    </xf>
    <xf numFmtId="0" fontId="11" fillId="0" borderId="0" xfId="7" applyFill="1" applyBorder="1" applyAlignment="1">
      <alignment horizontal="left"/>
    </xf>
    <xf numFmtId="3" fontId="2" fillId="0" borderId="0" xfId="7" applyNumberFormat="1" applyFont="1" applyFill="1" applyAlignment="1">
      <alignment horizontal="right"/>
    </xf>
    <xf numFmtId="0" fontId="2" fillId="0" borderId="0" xfId="7" applyFont="1" applyFill="1"/>
    <xf numFmtId="3" fontId="11" fillId="0" borderId="0" xfId="0" applyNumberFormat="1" applyFont="1" applyFill="1" applyBorder="1" applyAlignment="1">
      <alignment horizontal="center"/>
    </xf>
    <xf numFmtId="0" fontId="11" fillId="0" borderId="0" xfId="7" applyFont="1" applyFill="1" applyBorder="1"/>
    <xf numFmtId="20" fontId="11" fillId="0" borderId="0" xfId="7" applyNumberFormat="1" applyFill="1" applyBorder="1" applyAlignment="1">
      <alignment horizontal="left"/>
    </xf>
    <xf numFmtId="0" fontId="0" fillId="0" borderId="0" xfId="0" applyFill="1" applyBorder="1" applyAlignment="1">
      <alignment horizontal="center"/>
    </xf>
    <xf numFmtId="14" fontId="0" fillId="0" borderId="0" xfId="0" applyNumberFormat="1" applyFill="1" applyBorder="1"/>
    <xf numFmtId="0" fontId="0" fillId="0" borderId="0" xfId="0" applyFill="1" applyAlignment="1" applyProtection="1">
      <alignment wrapText="1"/>
    </xf>
    <xf numFmtId="0" fontId="0" fillId="0" borderId="0" xfId="0" applyFill="1" applyAlignment="1" applyProtection="1">
      <alignment horizontal="center" wrapText="1"/>
    </xf>
    <xf numFmtId="0" fontId="0" fillId="0" borderId="1" xfId="0" applyFill="1" applyBorder="1" applyAlignment="1" applyProtection="1">
      <alignment horizontal="center" wrapText="1"/>
    </xf>
    <xf numFmtId="0" fontId="0" fillId="0" borderId="0" xfId="0" applyFont="1" applyFill="1"/>
    <xf numFmtId="0" fontId="2" fillId="0" borderId="0" xfId="0" applyFont="1" applyFill="1" applyBorder="1" applyAlignment="1" applyProtection="1">
      <alignment horizontal="left" wrapText="1"/>
    </xf>
    <xf numFmtId="0" fontId="2" fillId="0" borderId="0" xfId="0" applyFont="1" applyFill="1" applyBorder="1" applyAlignment="1">
      <alignment wrapText="1"/>
    </xf>
    <xf numFmtId="0" fontId="0" fillId="0" borderId="0" xfId="0" applyFont="1" applyFill="1" applyBorder="1" applyProtection="1"/>
    <xf numFmtId="3" fontId="11" fillId="0" borderId="0" xfId="0" quotePrefix="1" applyNumberFormat="1" applyFont="1" applyFill="1" applyBorder="1" applyAlignment="1">
      <alignment horizontal="center"/>
    </xf>
    <xf numFmtId="0" fontId="11" fillId="0" borderId="0" xfId="7" applyFill="1" applyAlignment="1">
      <alignment horizontal="center" vertical="center"/>
    </xf>
    <xf numFmtId="0" fontId="11" fillId="0" borderId="1" xfId="7" applyFill="1" applyBorder="1" applyAlignment="1">
      <alignment horizontal="center" vertical="center"/>
    </xf>
    <xf numFmtId="0" fontId="11" fillId="0" borderId="1" xfId="7" quotePrefix="1" applyFill="1" applyBorder="1" applyAlignment="1">
      <alignment horizontal="center" vertical="center"/>
    </xf>
    <xf numFmtId="164" fontId="0" fillId="0" borderId="0" xfId="0" applyNumberFormat="1" applyFill="1" applyAlignment="1">
      <alignment horizontal="right"/>
    </xf>
    <xf numFmtId="5" fontId="0" fillId="0" borderId="0" xfId="0" applyNumberFormat="1" applyFill="1"/>
    <xf numFmtId="166" fontId="0" fillId="0" borderId="0" xfId="0" applyNumberFormat="1" applyFill="1" applyBorder="1" applyAlignment="1">
      <alignment horizontal="center"/>
    </xf>
    <xf numFmtId="20" fontId="0" fillId="0" borderId="0" xfId="0" applyNumberFormat="1" applyFont="1" applyFill="1" applyBorder="1" applyProtection="1"/>
    <xf numFmtId="37" fontId="0" fillId="0" borderId="0" xfId="0" applyNumberFormat="1" applyFont="1" applyFill="1" applyBorder="1" applyProtection="1"/>
    <xf numFmtId="0" fontId="2" fillId="0" borderId="0" xfId="0" applyFont="1" applyFill="1" applyBorder="1" applyAlignment="1" applyProtection="1">
      <alignment horizontal="left"/>
    </xf>
    <xf numFmtId="0" fontId="0" fillId="0" borderId="0" xfId="0" applyFont="1" applyFill="1" applyBorder="1"/>
    <xf numFmtId="164" fontId="2" fillId="0" borderId="0" xfId="0" applyNumberFormat="1" applyFont="1" applyFill="1" applyBorder="1" applyAlignment="1">
      <alignment horizontal="center"/>
    </xf>
    <xf numFmtId="177" fontId="2" fillId="0" borderId="0" xfId="0" applyNumberFormat="1" applyFont="1" applyFill="1" applyBorder="1" applyAlignment="1">
      <alignment horizontal="center"/>
    </xf>
    <xf numFmtId="177" fontId="0" fillId="0" borderId="0" xfId="0" applyNumberFormat="1" applyFill="1" applyBorder="1" applyAlignment="1">
      <alignment horizontal="center"/>
    </xf>
    <xf numFmtId="177" fontId="0" fillId="0" borderId="0" xfId="0" applyNumberFormat="1" applyFill="1" applyBorder="1" applyAlignment="1" applyProtection="1">
      <alignment horizontal="center"/>
    </xf>
    <xf numFmtId="177" fontId="2" fillId="0" borderId="0" xfId="0" applyNumberFormat="1" applyFont="1" applyFill="1" applyBorder="1" applyAlignment="1">
      <alignment horizontal="center" vertical="center"/>
    </xf>
    <xf numFmtId="178" fontId="0" fillId="0" borderId="0" xfId="0" applyNumberFormat="1" applyFill="1" applyBorder="1" applyAlignment="1">
      <alignment horizontal="right"/>
    </xf>
    <xf numFmtId="2" fontId="0" fillId="0" borderId="0" xfId="0" applyNumberFormat="1" applyFill="1" applyBorder="1" applyAlignment="1">
      <alignment horizontal="left"/>
    </xf>
    <xf numFmtId="0" fontId="0" fillId="0" borderId="0" xfId="0" applyBorder="1" applyAlignment="1" applyProtection="1">
      <alignment horizontal="left"/>
    </xf>
    <xf numFmtId="0" fontId="0" fillId="0" borderId="0" xfId="0" applyBorder="1" applyAlignment="1">
      <alignment horizontal="left"/>
    </xf>
    <xf numFmtId="9" fontId="11" fillId="0" borderId="0" xfId="0" applyNumberFormat="1" applyFont="1" applyFill="1" applyBorder="1" applyProtection="1"/>
    <xf numFmtId="20" fontId="4" fillId="0" borderId="8" xfId="0" applyNumberFormat="1" applyFont="1" applyFill="1" applyBorder="1" applyAlignment="1">
      <alignment horizontal="center" wrapText="1"/>
    </xf>
    <xf numFmtId="0" fontId="29" fillId="0" borderId="0" xfId="0" applyFont="1" applyFill="1"/>
    <xf numFmtId="20" fontId="0" fillId="0" borderId="0" xfId="0" applyNumberFormat="1" applyFill="1" applyAlignment="1">
      <alignment wrapText="1"/>
    </xf>
    <xf numFmtId="20" fontId="2" fillId="0" borderId="0" xfId="0" applyNumberFormat="1" applyFont="1" applyFill="1" applyBorder="1" applyAlignment="1" applyProtection="1">
      <alignment horizontal="left" wrapText="1"/>
    </xf>
    <xf numFmtId="20" fontId="0" fillId="0" borderId="0" xfId="0" applyNumberFormat="1" applyFont="1" applyFill="1" applyAlignment="1">
      <alignment wrapText="1"/>
    </xf>
    <xf numFmtId="20" fontId="2" fillId="0" borderId="0" xfId="0" applyNumberFormat="1" applyFont="1" applyFill="1" applyAlignment="1">
      <alignment wrapText="1"/>
    </xf>
    <xf numFmtId="20" fontId="2" fillId="0" borderId="0" xfId="0" applyNumberFormat="1" applyFont="1" applyFill="1" applyBorder="1" applyAlignment="1">
      <alignment wrapText="1"/>
    </xf>
    <xf numFmtId="0" fontId="0" fillId="0" borderId="0" xfId="0" applyFill="1" applyAlignment="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horizontal="center" vertical="center"/>
    </xf>
    <xf numFmtId="3" fontId="0" fillId="0" borderId="0" xfId="0" applyNumberFormat="1" applyFill="1" applyAlignment="1">
      <alignment horizontal="center" vertical="center"/>
    </xf>
    <xf numFmtId="9" fontId="0" fillId="0" borderId="0" xfId="0" applyNumberFormat="1" applyFill="1" applyAlignment="1">
      <alignment horizontal="center" vertical="center"/>
    </xf>
    <xf numFmtId="168"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2" fillId="0" borderId="0" xfId="0" applyNumberFormat="1" applyFont="1" applyFill="1" applyAlignment="1">
      <alignment horizontal="center" vertical="center"/>
    </xf>
    <xf numFmtId="168" fontId="2" fillId="0" borderId="0" xfId="0" applyNumberFormat="1" applyFont="1" applyFill="1" applyAlignment="1">
      <alignment horizontal="center" vertical="center"/>
    </xf>
    <xf numFmtId="168" fontId="0" fillId="0" borderId="0" xfId="0" applyNumberFormat="1" applyFill="1" applyAlignment="1">
      <alignment horizontal="center" vertical="center"/>
    </xf>
    <xf numFmtId="168" fontId="0" fillId="0" borderId="0" xfId="0" applyNumberFormat="1" applyFill="1" applyBorder="1" applyAlignment="1">
      <alignment horizontal="center" vertical="center"/>
    </xf>
    <xf numFmtId="4" fontId="0" fillId="0" borderId="0" xfId="0" applyNumberFormat="1" applyFill="1" applyBorder="1" applyAlignment="1">
      <alignment horizontal="center" vertical="center"/>
    </xf>
    <xf numFmtId="0" fontId="0" fillId="0" borderId="0" xfId="0" applyFill="1" applyBorder="1" applyAlignment="1" applyProtection="1">
      <alignment vertical="center"/>
    </xf>
    <xf numFmtId="0" fontId="0" fillId="0" borderId="0" xfId="0" applyFill="1" applyBorder="1" applyAlignment="1">
      <alignment vertical="center"/>
    </xf>
    <xf numFmtId="0" fontId="0" fillId="0" borderId="0" xfId="0" applyFill="1" applyAlignment="1">
      <alignment vertical="center"/>
    </xf>
    <xf numFmtId="2" fontId="0" fillId="0" borderId="0" xfId="0" applyNumberFormat="1" applyFill="1" applyBorder="1" applyAlignment="1" applyProtection="1">
      <alignment horizontal="center"/>
    </xf>
    <xf numFmtId="37" fontId="2" fillId="0" borderId="0" xfId="0" applyNumberFormat="1" applyFon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70" fontId="0" fillId="0" borderId="0" xfId="0" applyNumberFormat="1" applyFill="1" applyBorder="1" applyAlignment="1">
      <alignment horizontal="center" vertical="center"/>
    </xf>
    <xf numFmtId="1" fontId="0" fillId="0" borderId="0" xfId="0" applyNumberFormat="1" applyFill="1" applyBorder="1" applyAlignment="1" applyProtection="1">
      <alignment horizontal="center" vertical="center"/>
    </xf>
    <xf numFmtId="164" fontId="2" fillId="0" borderId="0" xfId="3" quotePrefix="1" applyNumberFormat="1" applyFont="1" applyFill="1" applyBorder="1" applyAlignment="1">
      <alignment horizontal="center" vertical="center"/>
    </xf>
    <xf numFmtId="164" fontId="2" fillId="0" borderId="0" xfId="3" applyNumberFormat="1" applyFont="1" applyFill="1" applyBorder="1" applyAlignment="1">
      <alignment horizontal="center" vertical="center"/>
    </xf>
    <xf numFmtId="39" fontId="2" fillId="0" borderId="0" xfId="0" applyNumberFormat="1" applyFont="1" applyFill="1" applyBorder="1" applyAlignment="1" applyProtection="1">
      <alignment horizontal="center" vertical="center"/>
    </xf>
    <xf numFmtId="171" fontId="2" fillId="0" borderId="0" xfId="0" applyNumberFormat="1" applyFont="1" applyFill="1" applyBorder="1" applyAlignment="1" applyProtection="1">
      <alignment horizontal="center" vertical="center"/>
    </xf>
    <xf numFmtId="1" fontId="0" fillId="0" borderId="0" xfId="0" applyNumberFormat="1" applyFill="1" applyAlignment="1">
      <alignment horizontal="center" vertical="center"/>
    </xf>
    <xf numFmtId="37" fontId="2" fillId="0" borderId="0" xfId="0" quotePrefix="1" applyNumberFormat="1" applyFont="1" applyFill="1" applyBorder="1" applyAlignment="1" applyProtection="1">
      <alignment horizontal="center" vertical="center"/>
    </xf>
    <xf numFmtId="1" fontId="0" fillId="0" borderId="0" xfId="0" quotePrefix="1" applyNumberFormat="1" applyFill="1" applyBorder="1" applyAlignment="1">
      <alignment horizontal="center" vertical="center"/>
    </xf>
    <xf numFmtId="0" fontId="0" fillId="0" borderId="0" xfId="0" quotePrefix="1" applyFill="1" applyAlignment="1">
      <alignment horizontal="center" vertical="center"/>
    </xf>
    <xf numFmtId="2" fontId="0" fillId="0" borderId="0" xfId="0" quotePrefix="1" applyNumberFormat="1" applyFill="1" applyBorder="1" applyAlignment="1">
      <alignment horizontal="center" vertical="center"/>
    </xf>
    <xf numFmtId="1" fontId="2" fillId="0" borderId="0"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164" fontId="0" fillId="0" borderId="0" xfId="0" applyNumberFormat="1" applyFill="1" applyAlignment="1">
      <alignment horizontal="center" vertical="center"/>
    </xf>
    <xf numFmtId="0" fontId="7" fillId="0" borderId="0" xfId="0" applyFont="1" applyFill="1" applyBorder="1" applyAlignment="1">
      <alignment horizontal="center" vertical="center"/>
    </xf>
    <xf numFmtId="172" fontId="2" fillId="0" borderId="0" xfId="0" applyNumberFormat="1" applyFont="1" applyFill="1" applyBorder="1" applyAlignment="1" applyProtection="1">
      <alignment horizontal="center" vertical="center"/>
    </xf>
    <xf numFmtId="3" fontId="0" fillId="0" borderId="0" xfId="0" applyNumberFormat="1" applyFill="1" applyBorder="1" applyAlignment="1" applyProtection="1">
      <alignment horizontal="center" vertical="center"/>
    </xf>
    <xf numFmtId="39" fontId="0" fillId="0" borderId="0" xfId="0" applyNumberFormat="1" applyFill="1" applyBorder="1" applyAlignment="1" applyProtection="1">
      <alignment horizontal="center" vertical="center"/>
    </xf>
    <xf numFmtId="2" fontId="0" fillId="0" borderId="0" xfId="0" applyNumberFormat="1" applyFill="1" applyAlignment="1">
      <alignment horizontal="center" vertical="center"/>
    </xf>
    <xf numFmtId="0" fontId="0" fillId="0" borderId="0" xfId="0" applyFill="1" applyBorder="1" applyAlignment="1">
      <alignment vertical="center" wrapText="1"/>
    </xf>
    <xf numFmtId="0" fontId="0" fillId="0" borderId="0" xfId="0" quotePrefix="1" applyFill="1" applyBorder="1" applyAlignment="1">
      <alignment horizontal="center"/>
    </xf>
    <xf numFmtId="166" fontId="0" fillId="0" borderId="0" xfId="0" applyNumberFormat="1" applyFill="1" applyBorder="1" applyAlignment="1">
      <alignment horizontal="center" vertical="center"/>
    </xf>
    <xf numFmtId="0" fontId="0" fillId="0" borderId="0" xfId="0" applyFill="1" applyBorder="1" applyAlignment="1" applyProtection="1">
      <alignment vertical="center" wrapText="1"/>
    </xf>
    <xf numFmtId="173" fontId="0" fillId="0" borderId="0" xfId="0" applyNumberFormat="1" applyFill="1" applyBorder="1" applyAlignment="1">
      <alignment horizontal="center" vertical="center"/>
    </xf>
    <xf numFmtId="3" fontId="0" fillId="0" borderId="0" xfId="0" quotePrefix="1" applyNumberFormat="1" applyFill="1" applyBorder="1" applyAlignment="1">
      <alignment horizontal="center" vertical="center"/>
    </xf>
    <xf numFmtId="10" fontId="0" fillId="0" borderId="0" xfId="0" quotePrefix="1" applyNumberFormat="1" applyFill="1" applyBorder="1" applyAlignment="1">
      <alignment horizontal="center" vertical="center"/>
    </xf>
    <xf numFmtId="166" fontId="0" fillId="0" borderId="0" xfId="0" quotePrefix="1" applyNumberFormat="1" applyFill="1" applyBorder="1" applyAlignment="1">
      <alignment horizontal="center" vertical="center"/>
    </xf>
    <xf numFmtId="166" fontId="0" fillId="0" borderId="0" xfId="0" applyNumberFormat="1" applyFill="1" applyBorder="1" applyAlignment="1" applyProtection="1">
      <alignment horizontal="center" vertical="center"/>
    </xf>
    <xf numFmtId="3" fontId="2" fillId="0" borderId="0" xfId="0" quotePrefix="1" applyNumberFormat="1" applyFont="1" applyFill="1" applyBorder="1" applyAlignment="1">
      <alignment horizontal="center" vertical="center"/>
    </xf>
    <xf numFmtId="166" fontId="0" fillId="0" borderId="0" xfId="0" quotePrefix="1" applyNumberFormat="1" applyFill="1" applyBorder="1" applyAlignment="1" applyProtection="1">
      <alignment horizontal="center" vertical="center"/>
    </xf>
    <xf numFmtId="9" fontId="2" fillId="0" borderId="0" xfId="0" applyNumberFormat="1" applyFont="1" applyFill="1" applyBorder="1" applyAlignment="1" applyProtection="1">
      <alignment horizontal="center" vertical="center"/>
    </xf>
    <xf numFmtId="10" fontId="0" fillId="0" borderId="0" xfId="0" applyNumberFormat="1" applyFill="1" applyBorder="1" applyAlignment="1">
      <alignment horizontal="center" vertical="center"/>
    </xf>
    <xf numFmtId="174" fontId="0" fillId="0" borderId="0" xfId="0" applyNumberFormat="1" applyFill="1" applyBorder="1" applyAlignment="1" applyProtection="1">
      <alignment horizontal="center" vertical="center"/>
    </xf>
    <xf numFmtId="0" fontId="19" fillId="0" borderId="0" xfId="4" applyFont="1" applyFill="1" applyBorder="1" applyAlignment="1">
      <alignment horizontal="center" vertical="center"/>
    </xf>
    <xf numFmtId="177" fontId="0" fillId="0" borderId="0" xfId="0"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0" fillId="0" borderId="0" xfId="0" applyFill="1" applyBorder="1" applyAlignment="1" applyProtection="1">
      <alignment horizontal="left" vertical="center" wrapText="1"/>
    </xf>
    <xf numFmtId="0" fontId="17" fillId="0" borderId="0" xfId="0" applyFont="1" applyBorder="1" applyAlignment="1">
      <alignment horizontal="center" vertical="center"/>
    </xf>
    <xf numFmtId="0" fontId="9" fillId="0" borderId="0" xfId="0" applyFont="1" applyFill="1" applyBorder="1" applyProtection="1"/>
    <xf numFmtId="165" fontId="0" fillId="0" borderId="0" xfId="0" applyNumberFormat="1" applyFill="1" applyBorder="1" applyAlignment="1" applyProtection="1">
      <alignment horizontal="center"/>
    </xf>
    <xf numFmtId="0" fontId="15" fillId="0" borderId="0" xfId="0" applyFont="1" applyFill="1" applyAlignment="1">
      <alignment horizontal="center" vertical="center"/>
    </xf>
    <xf numFmtId="177" fontId="0" fillId="0" borderId="0" xfId="0" applyNumberFormat="1" applyFill="1" applyAlignment="1">
      <alignment horizontal="center" vertical="center"/>
    </xf>
    <xf numFmtId="14" fontId="0" fillId="0" borderId="0" xfId="0" quotePrefix="1" applyNumberFormat="1" applyFont="1" applyFill="1" applyBorder="1" applyAlignment="1" applyProtection="1">
      <alignment horizontal="right"/>
    </xf>
    <xf numFmtId="5" fontId="11" fillId="0" borderId="0" xfId="0" quotePrefix="1" applyNumberFormat="1" applyFont="1" applyFill="1" applyBorder="1" applyAlignment="1" applyProtection="1">
      <alignment horizontal="right"/>
    </xf>
    <xf numFmtId="1" fontId="11" fillId="0" borderId="0" xfId="0" applyNumberFormat="1" applyFont="1" applyFill="1"/>
    <xf numFmtId="165" fontId="20" fillId="0" borderId="0" xfId="0" quotePrefix="1" applyNumberFormat="1" applyFont="1" applyFill="1" applyBorder="1" applyAlignment="1">
      <alignment horizontal="center" vertical="top" wrapTex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164" fontId="20" fillId="0" borderId="0" xfId="0" applyNumberFormat="1" applyFont="1" applyFill="1" applyBorder="1" applyAlignment="1">
      <alignment horizontal="center" vertical="center" wrapText="1"/>
    </xf>
    <xf numFmtId="164" fontId="20" fillId="0" borderId="0" xfId="0" quotePrefix="1" applyNumberFormat="1" applyFont="1" applyFill="1" applyBorder="1" applyAlignment="1">
      <alignment horizontal="center" vertical="center" wrapText="1"/>
    </xf>
    <xf numFmtId="164" fontId="0" fillId="0" borderId="0" xfId="0" quotePrefix="1" applyNumberFormat="1" applyFill="1" applyAlignment="1">
      <alignment horizontal="center" vertical="center"/>
    </xf>
    <xf numFmtId="165" fontId="11" fillId="0" borderId="0" xfId="0" applyNumberFormat="1" applyFont="1" applyAlignment="1">
      <alignment horizontal="center" vertical="center"/>
    </xf>
    <xf numFmtId="165" fontId="11" fillId="0" borderId="0" xfId="0" quotePrefix="1" applyNumberFormat="1" applyFont="1" applyFill="1" applyAlignment="1">
      <alignment horizontal="center" vertical="center"/>
    </xf>
    <xf numFmtId="165" fontId="11" fillId="0" borderId="0" xfId="0" applyNumberFormat="1" applyFont="1" applyFill="1" applyAlignment="1">
      <alignment horizontal="center" vertical="center"/>
    </xf>
    <xf numFmtId="8" fontId="30" fillId="0" borderId="0" xfId="0" applyNumberFormat="1" applyFont="1" applyAlignment="1">
      <alignment vertical="center"/>
    </xf>
    <xf numFmtId="8" fontId="0" fillId="0" borderId="0" xfId="0" applyNumberFormat="1" applyFill="1" applyBorder="1"/>
    <xf numFmtId="0" fontId="0" fillId="0" borderId="0" xfId="0" applyFill="1" applyBorder="1" applyAlignment="1">
      <alignment horizontal="left" vertical="center"/>
    </xf>
    <xf numFmtId="37" fontId="0" fillId="0" borderId="0" xfId="0" applyNumberFormat="1" applyFill="1" applyAlignment="1">
      <alignment horizontal="right"/>
    </xf>
    <xf numFmtId="0" fontId="0" fillId="0" borderId="0" xfId="0" applyFill="1" applyBorder="1" applyAlignment="1" applyProtection="1">
      <alignment horizontal="left" vertical="center"/>
    </xf>
    <xf numFmtId="0" fontId="9" fillId="0" borderId="0" xfId="0" applyFont="1" applyProtection="1"/>
    <xf numFmtId="9" fontId="0" fillId="0" borderId="0" xfId="0" applyNumberFormat="1" applyFill="1" applyAlignment="1">
      <alignment horizontal="center"/>
    </xf>
    <xf numFmtId="20" fontId="0" fillId="0" borderId="0" xfId="0" quotePrefix="1" applyNumberFormat="1" applyFont="1" applyFill="1" applyBorder="1"/>
    <xf numFmtId="165" fontId="11" fillId="0" borderId="0" xfId="0" applyNumberFormat="1" applyFont="1" applyFill="1" applyAlignment="1">
      <alignment horizontal="right" vertical="center" wrapText="1"/>
    </xf>
    <xf numFmtId="165" fontId="11" fillId="0" borderId="0" xfId="0" applyNumberFormat="1" applyFont="1" applyFill="1" applyAlignment="1">
      <alignment horizontal="right" vertical="center"/>
    </xf>
    <xf numFmtId="3" fontId="0" fillId="0" borderId="0" xfId="0" applyNumberFormat="1" applyFill="1" applyAlignment="1">
      <alignment horizontal="center"/>
    </xf>
    <xf numFmtId="0" fontId="0" fillId="0" borderId="0" xfId="0" applyFont="1" applyFill="1" applyAlignment="1" applyProtection="1">
      <alignment horizontal="left"/>
    </xf>
    <xf numFmtId="0" fontId="0" fillId="0" borderId="0" xfId="0" applyFont="1" applyFill="1" applyAlignment="1">
      <alignment wrapText="1"/>
    </xf>
    <xf numFmtId="0" fontId="0" fillId="0" borderId="0" xfId="0" quotePrefix="1" applyFill="1"/>
    <xf numFmtId="20" fontId="0" fillId="0" borderId="0" xfId="0" applyNumberFormat="1" applyFont="1" applyFill="1"/>
    <xf numFmtId="168" fontId="0" fillId="0" borderId="0" xfId="0" quotePrefix="1" applyNumberFormat="1" applyFont="1" applyFill="1" applyBorder="1" applyAlignment="1">
      <alignment horizontal="center" vertical="center"/>
    </xf>
    <xf numFmtId="3" fontId="0" fillId="0" borderId="0" xfId="0" quotePrefix="1" applyNumberFormat="1" applyFont="1" applyFill="1" applyAlignment="1">
      <alignment horizontal="center" vertical="center"/>
    </xf>
    <xf numFmtId="0" fontId="0" fillId="0" borderId="0" xfId="0" applyFont="1" applyFill="1" applyAlignment="1" applyProtection="1">
      <alignment horizontal="left" wrapText="1"/>
    </xf>
    <xf numFmtId="0" fontId="0" fillId="0" borderId="0" xfId="0" applyFill="1" applyBorder="1" applyAlignment="1">
      <alignment horizontal="center"/>
    </xf>
    <xf numFmtId="0" fontId="0" fillId="0" borderId="0" xfId="0" applyFill="1" applyAlignment="1">
      <alignment wrapText="1"/>
    </xf>
    <xf numFmtId="0" fontId="11" fillId="0" borderId="0" xfId="7" quotePrefix="1" applyFill="1" applyBorder="1" applyAlignment="1">
      <alignment horizontal="left"/>
    </xf>
    <xf numFmtId="37" fontId="11" fillId="0" borderId="0" xfId="9" applyNumberFormat="1" applyFont="1" applyFill="1" applyBorder="1" applyAlignment="1">
      <alignment horizontal="center" vertical="center"/>
    </xf>
    <xf numFmtId="1" fontId="0" fillId="0" borderId="0" xfId="0" quotePrefix="1" applyNumberFormat="1" applyFill="1" applyBorder="1" applyAlignment="1">
      <alignment horizontal="right"/>
    </xf>
    <xf numFmtId="3" fontId="0" fillId="0" borderId="0" xfId="0" applyNumberFormat="1" applyFont="1" applyFill="1" applyBorder="1" applyAlignment="1">
      <alignment horizontal="right"/>
    </xf>
    <xf numFmtId="164" fontId="0" fillId="0" borderId="0" xfId="0" applyNumberFormat="1" applyFill="1" applyBorder="1" applyAlignment="1">
      <alignment horizontal="right"/>
    </xf>
    <xf numFmtId="3" fontId="0" fillId="0" borderId="0" xfId="0" quotePrefix="1" applyNumberFormat="1" applyFill="1" applyBorder="1" applyAlignment="1">
      <alignment horizontal="right"/>
    </xf>
    <xf numFmtId="3" fontId="0" fillId="0" borderId="0" xfId="0" applyNumberFormat="1" applyFont="1" applyFill="1"/>
    <xf numFmtId="1" fontId="2" fillId="0" borderId="0" xfId="3" quotePrefix="1" applyNumberFormat="1" applyFont="1" applyFill="1" applyBorder="1" applyAlignment="1">
      <alignment horizontal="center" vertical="center"/>
    </xf>
    <xf numFmtId="5" fontId="0" fillId="0" borderId="0" xfId="0" applyNumberFormat="1" applyFill="1" applyBorder="1" applyAlignment="1">
      <alignment horizontal="right"/>
    </xf>
    <xf numFmtId="0" fontId="9" fillId="0" borderId="0" xfId="0" applyFont="1" applyFill="1" applyProtection="1"/>
    <xf numFmtId="20" fontId="0" fillId="0" borderId="0" xfId="0" applyNumberFormat="1" applyFont="1" applyFill="1" applyBorder="1" applyAlignment="1" applyProtection="1">
      <alignment horizontal="left" wrapText="1"/>
    </xf>
    <xf numFmtId="0" fontId="0" fillId="0" borderId="0" xfId="0" applyFill="1" applyAlignment="1">
      <alignment horizontal="left"/>
    </xf>
    <xf numFmtId="2" fontId="0" fillId="0" borderId="0" xfId="0" applyNumberFormat="1" applyFill="1" applyAlignment="1">
      <alignment horizontal="left" vertical="center"/>
    </xf>
    <xf numFmtId="0" fontId="20" fillId="0" borderId="0" xfId="5" applyFont="1" applyFill="1" applyAlignment="1">
      <alignment horizontal="left"/>
    </xf>
    <xf numFmtId="37" fontId="11" fillId="0" borderId="0" xfId="9" quotePrefix="1" applyNumberFormat="1" applyFont="1" applyFill="1" applyBorder="1" applyAlignment="1">
      <alignment horizontal="center" vertical="center"/>
    </xf>
    <xf numFmtId="37" fontId="11" fillId="0" borderId="0" xfId="9" applyNumberFormat="1" applyFont="1" applyFill="1" applyAlignment="1">
      <alignment horizontal="center" vertical="center"/>
    </xf>
    <xf numFmtId="37" fontId="11" fillId="0" borderId="0" xfId="7" applyNumberFormat="1" applyFill="1"/>
    <xf numFmtId="1" fontId="0" fillId="0" borderId="0" xfId="0" applyNumberFormat="1" applyFill="1" applyAlignment="1" applyProtection="1">
      <alignment horizontal="left"/>
    </xf>
    <xf numFmtId="0" fontId="0" fillId="0" borderId="0" xfId="0" applyFill="1" applyAlignment="1" applyProtection="1">
      <alignment horizontal="center" vertical="top" wrapText="1"/>
    </xf>
    <xf numFmtId="0" fontId="0" fillId="0" borderId="0" xfId="0" applyFill="1" applyBorder="1" applyAlignment="1">
      <alignment horizontal="center"/>
    </xf>
    <xf numFmtId="0" fontId="15" fillId="0" borderId="0" xfId="0" applyFont="1" applyFill="1" applyAlignment="1">
      <alignment horizontal="justify" wrapText="1"/>
    </xf>
    <xf numFmtId="0" fontId="0" fillId="0" borderId="0" xfId="0" applyFill="1" applyAlignment="1">
      <alignment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11" fillId="0" borderId="0" xfId="0" applyFont="1" applyFill="1" applyBorder="1" applyAlignment="1">
      <alignment horizontal="right" wrapText="1"/>
    </xf>
  </cellXfs>
  <cellStyles count="10">
    <cellStyle name="Comma" xfId="9" builtinId="3"/>
    <cellStyle name="Comma [0]" xfId="1" builtinId="6"/>
    <cellStyle name="Currency" xfId="2" builtinId="4"/>
    <cellStyle name="Normal" xfId="0" builtinId="0"/>
    <cellStyle name="Normal_Conveyance_Channels_data" xfId="4"/>
    <cellStyle name="Normal_Demo costs bldgs Cobre 121604" xfId="5"/>
    <cellStyle name="Normal_Earthwork" xfId="7"/>
    <cellStyle name="Normal_Trucks" xfId="6"/>
    <cellStyle name="Percent" xfId="3" builtinId="5"/>
    <cellStyle name="標準_OM"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0</xdr:colOff>
          <xdr:row>14</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1...Describe</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3076" name="Button 4" hidden="1">
              <a:extLst>
                <a:ext uri="{63B3BB69-23CF-44E3-9099-C40C66FF867C}">
                  <a14:compatExt spid="_x0000_s30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3077" name="Button 5" hidden="1">
              <a:extLst>
                <a:ext uri="{63B3BB69-23CF-44E3-9099-C40C66FF867C}">
                  <a14:compatExt spid="_x0000_s307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113</xdr:row>
          <xdr:rowOff>0</xdr:rowOff>
        </xdr:from>
        <xdr:to>
          <xdr:col>0</xdr:col>
          <xdr:colOff>0</xdr:colOff>
          <xdr:row>113</xdr:row>
          <xdr:rowOff>0</xdr:rowOff>
        </xdr:to>
        <xdr:sp macro="" textlink="">
          <xdr:nvSpPr>
            <xdr:cNvPr id="3078" name="Button 6" hidden="1">
              <a:extLst>
                <a:ext uri="{63B3BB69-23CF-44E3-9099-C40C66FF867C}">
                  <a14:compatExt spid="_x0000_s307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113</xdr:row>
          <xdr:rowOff>0</xdr:rowOff>
        </xdr:from>
        <xdr:to>
          <xdr:col>0</xdr:col>
          <xdr:colOff>0</xdr:colOff>
          <xdr:row>113</xdr:row>
          <xdr:rowOff>0</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0" name="Button 4" hidden="1">
              <a:extLst>
                <a:ext uri="{63B3BB69-23CF-44E3-9099-C40C66FF867C}">
                  <a14:compatExt spid="_x0000_s41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1" name="Button 5" hidden="1">
              <a:extLst>
                <a:ext uri="{63B3BB69-23CF-44E3-9099-C40C66FF867C}">
                  <a14:compatExt spid="_x0000_s41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3" name="Button 7" hidden="1">
              <a:extLst>
                <a:ext uri="{63B3BB69-23CF-44E3-9099-C40C66FF867C}">
                  <a14:compatExt spid="_x0000_s410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4" name="Button 8" hidden="1">
              <a:extLst>
                <a:ext uri="{63B3BB69-23CF-44E3-9099-C40C66FF867C}">
                  <a14:compatExt spid="_x0000_s410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5" name="Button 9" hidden="1">
              <a:extLst>
                <a:ext uri="{63B3BB69-23CF-44E3-9099-C40C66FF867C}">
                  <a14:compatExt spid="_x0000_s410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4106" name="Button 10" hidden="1">
              <a:extLst>
                <a:ext uri="{63B3BB69-23CF-44E3-9099-C40C66FF867C}">
                  <a14:compatExt spid="_x0000_s410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15..Other</a:t>
              </a:r>
              <a:endParaRPr lang="en-US"/>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1" name="Button 3" hidden="1">
              <a:extLst>
                <a:ext uri="{63B3BB69-23CF-44E3-9099-C40C66FF867C}">
                  <a14:compatExt spid="_x0000_s717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2" name="Button 4" hidden="1">
              <a:extLst>
                <a:ext uri="{63B3BB69-23CF-44E3-9099-C40C66FF867C}">
                  <a14:compatExt spid="_x0000_s717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3" name="Button 5" hidden="1">
              <a:extLst>
                <a:ext uri="{63B3BB69-23CF-44E3-9099-C40C66FF867C}">
                  <a14:compatExt spid="_x0000_s71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4" name="Button 6" hidden="1">
              <a:extLst>
                <a:ext uri="{63B3BB69-23CF-44E3-9099-C40C66FF867C}">
                  <a14:compatExt spid="_x0000_s717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5" name="Button 7" hidden="1">
              <a:extLst>
                <a:ext uri="{63B3BB69-23CF-44E3-9099-C40C66FF867C}">
                  <a14:compatExt spid="_x0000_s717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6" name="Button 8" hidden="1">
              <a:extLst>
                <a:ext uri="{63B3BB69-23CF-44E3-9099-C40C66FF867C}">
                  <a14:compatExt spid="_x0000_s71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7" name="Button 9" hidden="1">
              <a:extLst>
                <a:ext uri="{63B3BB69-23CF-44E3-9099-C40C66FF867C}">
                  <a14:compatExt spid="_x0000_s717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7178" name="Button 10" hidden="1">
              <a:extLst>
                <a:ext uri="{63B3BB69-23CF-44E3-9099-C40C66FF867C}">
                  <a14:compatExt spid="_x0000_s717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5" name="Button 3" hidden="1">
              <a:extLst>
                <a:ext uri="{63B3BB69-23CF-44E3-9099-C40C66FF867C}">
                  <a14:compatExt spid="_x0000_s819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1...Describe</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6" name="Button 4" hidden="1">
              <a:extLst>
                <a:ext uri="{63B3BB69-23CF-44E3-9099-C40C66FF867C}">
                  <a14:compatExt spid="_x0000_s819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199" name="Button 7" hidden="1">
              <a:extLst>
                <a:ext uri="{63B3BB69-23CF-44E3-9099-C40C66FF867C}">
                  <a14:compatExt spid="_x0000_s819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00" name="Button 8" hidden="1">
              <a:extLst>
                <a:ext uri="{63B3BB69-23CF-44E3-9099-C40C66FF867C}">
                  <a14:compatExt spid="_x0000_s82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01" name="Button 9" hidden="1">
              <a:extLst>
                <a:ext uri="{63B3BB69-23CF-44E3-9099-C40C66FF867C}">
                  <a14:compatExt spid="_x0000_s82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02" name="Button 10" hidden="1">
              <a:extLst>
                <a:ext uri="{63B3BB69-23CF-44E3-9099-C40C66FF867C}">
                  <a14:compatExt spid="_x0000_s820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9525</xdr:rowOff>
        </xdr:from>
        <xdr:to>
          <xdr:col>0</xdr:col>
          <xdr:colOff>0</xdr:colOff>
          <xdr:row>5</xdr:row>
          <xdr:rowOff>9525</xdr:rowOff>
        </xdr:to>
        <xdr:sp macro="" textlink="">
          <xdr:nvSpPr>
            <xdr:cNvPr id="11274" name="Button 10" hidden="1">
              <a:extLst>
                <a:ext uri="{63B3BB69-23CF-44E3-9099-C40C66FF867C}">
                  <a14:compatExt spid="_x0000_s1127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42</xdr:row>
          <xdr:rowOff>0</xdr:rowOff>
        </xdr:from>
        <xdr:to>
          <xdr:col>0</xdr:col>
          <xdr:colOff>0</xdr:colOff>
          <xdr:row>42</xdr:row>
          <xdr:rowOff>0</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96</xdr:row>
          <xdr:rowOff>0</xdr:rowOff>
        </xdr:from>
        <xdr:to>
          <xdr:col>0</xdr:col>
          <xdr:colOff>0</xdr:colOff>
          <xdr:row>96</xdr:row>
          <xdr:rowOff>0</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14...Reveg</a:t>
              </a:r>
              <a:endParaRPr lang="en-US"/>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87" name="Button 3" hidden="1">
              <a:extLst>
                <a:ext uri="{63B3BB69-23CF-44E3-9099-C40C66FF867C}">
                  <a14:compatExt spid="_x0000_s1638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6...Grading</a:t>
              </a:r>
              <a:endParaRPr lang="en-US"/>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22"/>
  <sheetViews>
    <sheetView tabSelected="1" defaultGridColor="0" view="pageBreakPreview" colorId="7" zoomScaleNormal="75" zoomScaleSheetLayoutView="100" workbookViewId="0">
      <selection activeCell="A16" sqref="A16"/>
    </sheetView>
  </sheetViews>
  <sheetFormatPr defaultColWidth="9.77734375" defaultRowHeight="15" x14ac:dyDescent="0.2"/>
  <cols>
    <col min="1" max="1" width="27.5546875" style="4" customWidth="1"/>
    <col min="2" max="2" width="25.77734375" style="4" customWidth="1"/>
    <col min="3" max="3" width="22.6640625" style="4" customWidth="1"/>
    <col min="4" max="16384" width="9.77734375" style="4"/>
  </cols>
  <sheetData>
    <row r="1" spans="1:6" x14ac:dyDescent="0.2">
      <c r="A1" s="1"/>
      <c r="B1" s="1"/>
      <c r="C1" s="2" t="s">
        <v>0</v>
      </c>
      <c r="D1" s="3"/>
    </row>
    <row r="2" spans="1:6" x14ac:dyDescent="0.2">
      <c r="C2" s="5" t="s">
        <v>1</v>
      </c>
      <c r="D2" s="3"/>
    </row>
    <row r="3" spans="1:6" x14ac:dyDescent="0.2">
      <c r="A3" s="6" t="s">
        <v>2</v>
      </c>
      <c r="B3" s="1"/>
      <c r="C3" s="318">
        <v>41978</v>
      </c>
      <c r="D3" s="3"/>
    </row>
    <row r="4" spans="1:6" x14ac:dyDescent="0.2">
      <c r="C4" s="7"/>
      <c r="D4" s="3"/>
    </row>
    <row r="5" spans="1:6" x14ac:dyDescent="0.2">
      <c r="A5" s="8" t="s">
        <v>3</v>
      </c>
      <c r="B5" s="9" t="s">
        <v>4</v>
      </c>
      <c r="C5" s="10"/>
      <c r="D5" s="3"/>
    </row>
    <row r="6" spans="1:6" x14ac:dyDescent="0.2">
      <c r="A6" s="11"/>
      <c r="B6" s="1" t="s">
        <v>5</v>
      </c>
      <c r="C6" s="12"/>
      <c r="D6" s="3"/>
    </row>
    <row r="7" spans="1:6" x14ac:dyDescent="0.2">
      <c r="A7" s="11"/>
      <c r="C7" s="12"/>
      <c r="D7" s="3"/>
    </row>
    <row r="8" spans="1:6" x14ac:dyDescent="0.2">
      <c r="A8" s="11"/>
      <c r="B8" s="1"/>
      <c r="C8" s="13"/>
      <c r="D8" s="3"/>
    </row>
    <row r="9" spans="1:6" x14ac:dyDescent="0.2">
      <c r="A9" s="11"/>
      <c r="B9" s="1"/>
      <c r="C9" s="13"/>
      <c r="D9" s="3"/>
    </row>
    <row r="10" spans="1:6" x14ac:dyDescent="0.2">
      <c r="A10" s="11"/>
      <c r="B10" s="1"/>
      <c r="C10" s="13"/>
      <c r="D10" s="3"/>
    </row>
    <row r="11" spans="1:6" x14ac:dyDescent="0.2">
      <c r="A11" s="11" t="s">
        <v>6</v>
      </c>
      <c r="B11" s="469">
        <f>SUM('14   Reveg'!C11:C47)</f>
        <v>858.77595004596458</v>
      </c>
      <c r="C11" s="13"/>
      <c r="D11" s="3"/>
    </row>
    <row r="12" spans="1:6" x14ac:dyDescent="0.2">
      <c r="A12" s="11"/>
      <c r="B12" s="1"/>
      <c r="C12" s="13"/>
      <c r="D12" s="3"/>
    </row>
    <row r="13" spans="1:6" x14ac:dyDescent="0.2">
      <c r="A13" s="11" t="s">
        <v>7</v>
      </c>
      <c r="B13" s="1" t="s">
        <v>8</v>
      </c>
      <c r="C13" s="13"/>
      <c r="D13" s="3"/>
    </row>
    <row r="14" spans="1:6" x14ac:dyDescent="0.2">
      <c r="A14" s="11"/>
      <c r="B14" s="1"/>
      <c r="C14" s="13"/>
      <c r="D14" s="3"/>
    </row>
    <row r="15" spans="1:6" x14ac:dyDescent="0.2">
      <c r="A15" s="11"/>
      <c r="B15" s="14"/>
      <c r="C15" s="15"/>
    </row>
    <row r="16" spans="1:6" ht="16.5" thickBot="1" x14ac:dyDescent="0.3">
      <c r="A16" s="16"/>
      <c r="C16" s="15"/>
      <c r="F16" s="100"/>
    </row>
    <row r="17" spans="1:3" ht="16.5" thickTop="1" x14ac:dyDescent="0.25">
      <c r="A17" s="17" t="s">
        <v>9</v>
      </c>
      <c r="B17" s="18">
        <f>'16   Sum'!D26</f>
        <v>16438122.403410455</v>
      </c>
      <c r="C17" s="19"/>
    </row>
    <row r="18" spans="1:3" ht="15.75" x14ac:dyDescent="0.25">
      <c r="A18" s="20" t="s">
        <v>10</v>
      </c>
      <c r="B18" s="21"/>
      <c r="C18" s="22"/>
    </row>
    <row r="19" spans="1:3" ht="78.75" x14ac:dyDescent="0.25">
      <c r="A19" s="23"/>
      <c r="B19" s="21"/>
      <c r="C19" s="347" t="s">
        <v>417</v>
      </c>
    </row>
    <row r="20" spans="1:3" ht="15.75" x14ac:dyDescent="0.25">
      <c r="A20" s="17" t="s">
        <v>411</v>
      </c>
      <c r="B20" s="24"/>
      <c r="C20" s="25"/>
    </row>
    <row r="21" spans="1:3" ht="16.5" thickBot="1" x14ac:dyDescent="0.3">
      <c r="A21" s="26"/>
      <c r="B21" s="27"/>
      <c r="C21" s="28"/>
    </row>
    <row r="22" spans="1:3" ht="15.75" thickTop="1" x14ac:dyDescent="0.2"/>
  </sheetData>
  <printOptions horizontalCentered="1"/>
  <pageMargins left="0.75" right="0.75" top="1" bottom="1" header="0.5" footer="0.5"/>
  <pageSetup orientation="landscape" horizontalDpi="300" verticalDpi="300" r:id="rId1"/>
  <headerFooter alignWithMargins="0">
    <oddFooter>&amp;C&amp;F
&amp;   Stockpile Sheet 1 
&amp;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autoFill="0" autoLine="0" autoPict="0">
                <anchor moveWithCells="1" sizeWithCells="1">
                  <from>
                    <xdr:col>0</xdr:col>
                    <xdr:colOff>0</xdr:colOff>
                    <xdr:row>14</xdr:row>
                    <xdr:rowOff>0</xdr:rowOff>
                  </from>
                  <to>
                    <xdr:col>0</xdr:col>
                    <xdr:colOff>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BreakPreview" zoomScale="60" zoomScaleNormal="75" zoomScaleSheetLayoutView="100" workbookViewId="0">
      <selection activeCell="A16" sqref="A16"/>
    </sheetView>
  </sheetViews>
  <sheetFormatPr defaultColWidth="8.77734375" defaultRowHeight="15" x14ac:dyDescent="0.2"/>
  <cols>
    <col min="1" max="1" width="37.5546875" style="4" customWidth="1"/>
    <col min="2" max="2" width="11.77734375" style="4" customWidth="1"/>
    <col min="3" max="3" width="5.21875" style="4" customWidth="1"/>
    <col min="4" max="4" width="5.33203125" style="4" customWidth="1"/>
    <col min="5" max="5" width="5" style="4" customWidth="1"/>
    <col min="6" max="6" width="9.88671875" style="4" customWidth="1"/>
    <col min="7" max="7" width="4" style="4" customWidth="1"/>
    <col min="8" max="8" width="7.77734375" style="4" customWidth="1"/>
    <col min="9" max="9" width="9.5546875" style="4" customWidth="1"/>
    <col min="10" max="10" width="15.88671875" style="4" customWidth="1"/>
    <col min="11" max="11" width="9.21875" style="4" customWidth="1"/>
    <col min="12" max="12" width="14.6640625" style="4" customWidth="1"/>
    <col min="13" max="16384" width="8.77734375" style="4"/>
  </cols>
  <sheetData>
    <row r="1" spans="1:10" x14ac:dyDescent="0.2">
      <c r="A1" s="1"/>
      <c r="B1" s="1"/>
      <c r="C1" s="1"/>
      <c r="D1" s="1"/>
      <c r="J1" s="29" t="str">
        <f>'1 General'!C1</f>
        <v>Cobre</v>
      </c>
    </row>
    <row r="2" spans="1:10" ht="18" x14ac:dyDescent="0.25">
      <c r="A2" s="437"/>
      <c r="B2" s="1"/>
      <c r="C2" s="1"/>
      <c r="D2" s="1"/>
      <c r="J2" s="29" t="s">
        <v>11</v>
      </c>
    </row>
    <row r="3" spans="1:10" x14ac:dyDescent="0.2">
      <c r="A3" s="6" t="s">
        <v>12</v>
      </c>
      <c r="B3" s="1"/>
      <c r="C3" s="1"/>
      <c r="D3" s="1"/>
      <c r="J3" s="30">
        <f>'1 General'!C3</f>
        <v>41978</v>
      </c>
    </row>
    <row r="5" spans="1:10" x14ac:dyDescent="0.2">
      <c r="A5" s="4" t="s">
        <v>13</v>
      </c>
    </row>
    <row r="7" spans="1:10" ht="26.25" x14ac:dyDescent="0.4">
      <c r="A7" s="348" t="s">
        <v>14</v>
      </c>
    </row>
  </sheetData>
  <printOptions horizontalCentered="1"/>
  <pageMargins left="0.75" right="0.75" top="1" bottom="1" header="0.5" footer="0.5"/>
  <pageSetup scale="67" orientation="landscape" r:id="rId1"/>
  <headerFooter alignWithMargins="0">
    <oddFooter>&amp;C&amp;F
&amp;   Stockpile Sheet 2 
&amp;
Page &amp;P of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G184"/>
  <sheetViews>
    <sheetView defaultGridColor="0" view="pageBreakPreview" colorId="22" zoomScale="75" zoomScaleNormal="55" zoomScaleSheetLayoutView="75" workbookViewId="0">
      <pane ySplit="8" topLeftCell="A9" activePane="bottomLeft" state="frozen"/>
      <selection activeCell="A16" sqref="A16"/>
      <selection pane="bottomLeft" activeCell="A16" sqref="A16"/>
    </sheetView>
  </sheetViews>
  <sheetFormatPr defaultColWidth="9.77734375" defaultRowHeight="15" x14ac:dyDescent="0.2"/>
  <cols>
    <col min="1" max="1" width="6.109375" style="4" customWidth="1"/>
    <col min="2" max="2" width="25.21875" style="4" customWidth="1"/>
    <col min="3" max="3" width="58.6640625" style="179" customWidth="1"/>
    <col min="4" max="4" width="41.88671875" style="4" bestFit="1" customWidth="1"/>
    <col min="5" max="5" width="10.5546875" style="4" customWidth="1"/>
    <col min="6" max="6" width="7.77734375" style="4" customWidth="1"/>
    <col min="7" max="7" width="13" style="4" customWidth="1"/>
    <col min="8" max="8" width="9.77734375" style="4"/>
    <col min="9" max="9" width="10.33203125" style="4" bestFit="1" customWidth="1"/>
    <col min="10" max="16384" width="9.77734375" style="4"/>
  </cols>
  <sheetData>
    <row r="1" spans="1:7" x14ac:dyDescent="0.2">
      <c r="A1" s="1"/>
      <c r="B1" s="1"/>
      <c r="C1" s="319"/>
      <c r="E1" s="1"/>
      <c r="F1" s="1"/>
      <c r="G1" s="32" t="str">
        <f>'1 General'!C1</f>
        <v>Cobre</v>
      </c>
    </row>
    <row r="2" spans="1:7" ht="18" x14ac:dyDescent="0.25">
      <c r="A2" s="461"/>
      <c r="B2" s="1"/>
      <c r="C2" s="319"/>
      <c r="D2" s="1"/>
      <c r="E2" s="1"/>
      <c r="F2" s="1"/>
      <c r="G2" s="32" t="s">
        <v>15</v>
      </c>
    </row>
    <row r="3" spans="1:7" x14ac:dyDescent="0.2">
      <c r="A3" s="6" t="s">
        <v>16</v>
      </c>
      <c r="B3" s="1"/>
      <c r="C3" s="319"/>
      <c r="D3" s="1"/>
      <c r="E3" s="1"/>
      <c r="F3" s="1"/>
      <c r="G3" s="30">
        <f>'1 General'!$C$3</f>
        <v>41978</v>
      </c>
    </row>
    <row r="4" spans="1:7" x14ac:dyDescent="0.2">
      <c r="A4" s="6"/>
      <c r="B4" s="1"/>
      <c r="C4" s="319"/>
      <c r="D4" s="1"/>
      <c r="E4" s="1"/>
      <c r="F4" s="1"/>
      <c r="G4" s="30"/>
    </row>
    <row r="5" spans="1:7" x14ac:dyDescent="0.2">
      <c r="A5" s="6"/>
      <c r="B5" s="1"/>
      <c r="C5" s="319"/>
      <c r="D5" s="1"/>
      <c r="E5" s="470" t="s">
        <v>17</v>
      </c>
      <c r="F5" s="1"/>
      <c r="G5" s="30"/>
    </row>
    <row r="6" spans="1:7" ht="15" customHeight="1" x14ac:dyDescent="0.2">
      <c r="A6" s="1"/>
      <c r="B6" s="1"/>
      <c r="C6" s="320"/>
      <c r="D6" s="33"/>
      <c r="E6" s="470"/>
      <c r="F6" s="33"/>
      <c r="G6" s="33"/>
    </row>
    <row r="7" spans="1:7" x14ac:dyDescent="0.2">
      <c r="A7" s="1" t="s">
        <v>18</v>
      </c>
      <c r="B7" s="1" t="s">
        <v>19</v>
      </c>
      <c r="C7" s="320" t="s">
        <v>20</v>
      </c>
      <c r="D7" s="33" t="s">
        <v>21</v>
      </c>
      <c r="E7" s="470"/>
      <c r="F7" s="33" t="s">
        <v>22</v>
      </c>
      <c r="G7" s="33" t="s">
        <v>23</v>
      </c>
    </row>
    <row r="8" spans="1:7" x14ac:dyDescent="0.2">
      <c r="A8" s="34"/>
      <c r="B8" s="34"/>
      <c r="C8" s="321"/>
      <c r="D8" s="35"/>
      <c r="E8" s="35" t="s">
        <v>24</v>
      </c>
      <c r="F8" s="35" t="s">
        <v>25</v>
      </c>
      <c r="G8" s="35"/>
    </row>
    <row r="9" spans="1:7" ht="18.75" x14ac:dyDescent="0.3">
      <c r="A9" s="36"/>
      <c r="C9" s="451"/>
      <c r="G9" s="29"/>
    </row>
    <row r="10" spans="1:7" x14ac:dyDescent="0.2">
      <c r="A10" s="37">
        <v>1100</v>
      </c>
      <c r="B10" s="4" t="s">
        <v>29</v>
      </c>
      <c r="C10" s="349" t="s">
        <v>392</v>
      </c>
      <c r="D10" s="4" t="s">
        <v>26</v>
      </c>
      <c r="E10" s="39">
        <f>Earthwork.xls!D13</f>
        <v>540</v>
      </c>
      <c r="F10" s="40" t="s">
        <v>27</v>
      </c>
      <c r="G10" s="29" t="s">
        <v>28</v>
      </c>
    </row>
    <row r="11" spans="1:7" x14ac:dyDescent="0.2">
      <c r="A11" s="37">
        <v>1101</v>
      </c>
      <c r="B11" s="4" t="s">
        <v>29</v>
      </c>
      <c r="C11" s="349" t="s">
        <v>449</v>
      </c>
      <c r="D11" s="445" t="s">
        <v>26</v>
      </c>
      <c r="E11" s="39">
        <f>Earthwork.xls!D14</f>
        <v>200</v>
      </c>
      <c r="F11" s="40" t="s">
        <v>27</v>
      </c>
      <c r="G11" s="29" t="s">
        <v>28</v>
      </c>
    </row>
    <row r="12" spans="1:7" x14ac:dyDescent="0.2">
      <c r="A12" s="37">
        <v>1102</v>
      </c>
      <c r="B12" s="4" t="s">
        <v>442</v>
      </c>
      <c r="C12" s="349" t="s">
        <v>447</v>
      </c>
      <c r="D12" s="4" t="s">
        <v>26</v>
      </c>
      <c r="E12" s="39">
        <f>Earthwork.xls!D15</f>
        <v>200</v>
      </c>
      <c r="F12" s="40" t="s">
        <v>27</v>
      </c>
      <c r="G12" s="29" t="s">
        <v>28</v>
      </c>
    </row>
    <row r="13" spans="1:7" x14ac:dyDescent="0.2">
      <c r="A13" s="37">
        <v>1103</v>
      </c>
      <c r="B13" s="4" t="s">
        <v>442</v>
      </c>
      <c r="C13" s="349" t="s">
        <v>449</v>
      </c>
      <c r="D13" s="445" t="s">
        <v>26</v>
      </c>
      <c r="E13" s="39">
        <f>Earthwork.xls!D16</f>
        <v>250</v>
      </c>
      <c r="F13" s="40" t="s">
        <v>27</v>
      </c>
      <c r="G13" s="29" t="s">
        <v>28</v>
      </c>
    </row>
    <row r="14" spans="1:7" x14ac:dyDescent="0.2">
      <c r="A14" s="37">
        <v>1104</v>
      </c>
      <c r="B14" s="4" t="s">
        <v>30</v>
      </c>
      <c r="C14" s="349" t="s">
        <v>402</v>
      </c>
      <c r="D14" s="38" t="str">
        <f>C10&amp;" Top "</f>
        <v xml:space="preserve">SWRDF Top </v>
      </c>
      <c r="E14" s="41" t="s">
        <v>26</v>
      </c>
      <c r="F14" s="40" t="s">
        <v>27</v>
      </c>
      <c r="G14" s="29" t="s">
        <v>28</v>
      </c>
    </row>
    <row r="15" spans="1:7" x14ac:dyDescent="0.2">
      <c r="A15" s="37">
        <v>1105</v>
      </c>
      <c r="B15" s="4" t="s">
        <v>30</v>
      </c>
      <c r="C15" s="349" t="str">
        <f>$C$14</f>
        <v>OB Stockpile 1 through 4, Topsoil Stockpile, South OB Stockpile</v>
      </c>
      <c r="D15" s="38" t="s">
        <v>393</v>
      </c>
      <c r="E15" s="41" t="s">
        <v>26</v>
      </c>
      <c r="F15" s="40" t="s">
        <v>27</v>
      </c>
      <c r="G15" s="29" t="s">
        <v>28</v>
      </c>
    </row>
    <row r="16" spans="1:7" x14ac:dyDescent="0.2">
      <c r="A16" s="37">
        <v>1106</v>
      </c>
      <c r="B16" s="4" t="s">
        <v>30</v>
      </c>
      <c r="C16" s="349" t="s">
        <v>432</v>
      </c>
      <c r="D16" s="38" t="s">
        <v>394</v>
      </c>
      <c r="E16" s="41" t="s">
        <v>26</v>
      </c>
      <c r="F16" s="40" t="s">
        <v>27</v>
      </c>
      <c r="G16" s="29" t="s">
        <v>28</v>
      </c>
    </row>
    <row r="17" spans="1:7" x14ac:dyDescent="0.2">
      <c r="A17" s="37">
        <v>1107</v>
      </c>
      <c r="B17" s="4" t="s">
        <v>30</v>
      </c>
      <c r="C17" s="349" t="str">
        <f>$C$16</f>
        <v>NOBS</v>
      </c>
      <c r="D17" s="38" t="s">
        <v>425</v>
      </c>
      <c r="E17" s="41" t="s">
        <v>26</v>
      </c>
      <c r="F17" s="40" t="s">
        <v>27</v>
      </c>
      <c r="G17" s="29" t="s">
        <v>28</v>
      </c>
    </row>
    <row r="18" spans="1:7" x14ac:dyDescent="0.2">
      <c r="A18" s="37">
        <v>1108</v>
      </c>
      <c r="B18" s="4" t="s">
        <v>30</v>
      </c>
      <c r="C18" s="349" t="s">
        <v>403</v>
      </c>
      <c r="D18" s="38" t="s">
        <v>395</v>
      </c>
      <c r="E18" s="41" t="s">
        <v>26</v>
      </c>
      <c r="F18" s="40" t="s">
        <v>27</v>
      </c>
      <c r="G18" s="29" t="s">
        <v>28</v>
      </c>
    </row>
    <row r="19" spans="1:7" x14ac:dyDescent="0.2">
      <c r="A19" s="37">
        <v>1109</v>
      </c>
      <c r="B19" s="4" t="s">
        <v>30</v>
      </c>
      <c r="C19" s="349" t="s">
        <v>396</v>
      </c>
      <c r="D19" s="38" t="s">
        <v>418</v>
      </c>
      <c r="E19" s="41" t="s">
        <v>26</v>
      </c>
      <c r="F19" s="40" t="s">
        <v>27</v>
      </c>
      <c r="G19" s="29" t="s">
        <v>28</v>
      </c>
    </row>
    <row r="20" spans="1:7" x14ac:dyDescent="0.2">
      <c r="A20" s="37">
        <v>1110</v>
      </c>
      <c r="B20" s="4" t="s">
        <v>30</v>
      </c>
      <c r="C20" s="350" t="str">
        <f>C16</f>
        <v>NOBS</v>
      </c>
      <c r="D20" s="446" t="s">
        <v>443</v>
      </c>
      <c r="E20" s="41" t="s">
        <v>26</v>
      </c>
      <c r="F20" s="40" t="s">
        <v>27</v>
      </c>
      <c r="G20" s="29" t="s">
        <v>28</v>
      </c>
    </row>
    <row r="21" spans="1:7" x14ac:dyDescent="0.2">
      <c r="A21" s="37">
        <v>1111</v>
      </c>
      <c r="B21" s="4" t="s">
        <v>30</v>
      </c>
      <c r="C21" s="350" t="str">
        <f>C20</f>
        <v>NOBS</v>
      </c>
      <c r="D21" s="38" t="str">
        <f>C11&amp;" Top"</f>
        <v>MTI  Top</v>
      </c>
      <c r="E21" s="41" t="s">
        <v>26</v>
      </c>
      <c r="F21" s="40" t="s">
        <v>27</v>
      </c>
      <c r="G21" s="29" t="s">
        <v>28</v>
      </c>
    </row>
    <row r="22" spans="1:7" x14ac:dyDescent="0.2">
      <c r="A22" s="37">
        <v>1112</v>
      </c>
      <c r="B22" s="4" t="s">
        <v>30</v>
      </c>
      <c r="C22" s="350" t="str">
        <f>C21</f>
        <v>NOBS</v>
      </c>
      <c r="D22" s="38" t="str">
        <f>C13&amp;" Outslope"</f>
        <v>MTI  Outslope</v>
      </c>
      <c r="E22" s="41" t="s">
        <v>26</v>
      </c>
      <c r="F22" s="40" t="s">
        <v>27</v>
      </c>
      <c r="G22" s="29" t="s">
        <v>28</v>
      </c>
    </row>
    <row r="23" spans="1:7" x14ac:dyDescent="0.2">
      <c r="A23" s="37">
        <v>1113</v>
      </c>
      <c r="B23" s="4" t="s">
        <v>30</v>
      </c>
      <c r="C23" s="462" t="s">
        <v>454</v>
      </c>
      <c r="D23" s="38" t="str">
        <f>C11&amp;" Top"</f>
        <v>MTI  Top</v>
      </c>
      <c r="E23" s="41" t="s">
        <v>26</v>
      </c>
      <c r="F23" s="40" t="s">
        <v>27</v>
      </c>
      <c r="G23" s="29" t="s">
        <v>28</v>
      </c>
    </row>
    <row r="24" spans="1:7" x14ac:dyDescent="0.2">
      <c r="A24" s="37">
        <v>1114</v>
      </c>
      <c r="B24" s="4" t="s">
        <v>30</v>
      </c>
      <c r="C24" s="350" t="str">
        <f>$C$21</f>
        <v>NOBS</v>
      </c>
      <c r="D24" s="38" t="s">
        <v>397</v>
      </c>
      <c r="E24" s="41" t="s">
        <v>26</v>
      </c>
      <c r="F24" s="40" t="s">
        <v>27</v>
      </c>
      <c r="G24" s="29" t="s">
        <v>28</v>
      </c>
    </row>
    <row r="25" spans="1:7" x14ac:dyDescent="0.2">
      <c r="A25" s="37">
        <v>1115</v>
      </c>
      <c r="B25" s="4" t="s">
        <v>30</v>
      </c>
      <c r="C25" s="349" t="str">
        <f>C20</f>
        <v>NOBS</v>
      </c>
      <c r="D25" s="38" t="str">
        <f>'14   Reveg'!B27</f>
        <v>Grape Gulch Pond #3</v>
      </c>
      <c r="E25" s="41" t="s">
        <v>26</v>
      </c>
      <c r="F25" s="40" t="s">
        <v>27</v>
      </c>
      <c r="G25" s="29" t="s">
        <v>28</v>
      </c>
    </row>
    <row r="26" spans="1:7" x14ac:dyDescent="0.2">
      <c r="A26" s="37">
        <v>1116</v>
      </c>
      <c r="B26" s="4" t="s">
        <v>30</v>
      </c>
      <c r="C26" s="349" t="str">
        <f>C20</f>
        <v>NOBS</v>
      </c>
      <c r="D26" s="38" t="str">
        <f>'14   Reveg'!B28</f>
        <v>Magnetite Seepage Pond</v>
      </c>
      <c r="E26" s="41" t="s">
        <v>26</v>
      </c>
      <c r="F26" s="40" t="s">
        <v>27</v>
      </c>
      <c r="G26" s="29" t="s">
        <v>28</v>
      </c>
    </row>
    <row r="27" spans="1:7" x14ac:dyDescent="0.2">
      <c r="A27" s="37">
        <v>1117</v>
      </c>
      <c r="B27" s="4" t="s">
        <v>30</v>
      </c>
      <c r="C27" s="349" t="str">
        <f>C18</f>
        <v>OB Stockpile 1 through 3, Topsoil Stockpile, South OB Stockpile</v>
      </c>
      <c r="D27" s="38" t="str">
        <f>'14   Reveg'!B29</f>
        <v>SWRF Dam 1</v>
      </c>
      <c r="E27" s="41" t="s">
        <v>26</v>
      </c>
      <c r="F27" s="40" t="s">
        <v>27</v>
      </c>
      <c r="G27" s="29" t="s">
        <v>28</v>
      </c>
    </row>
    <row r="28" spans="1:7" x14ac:dyDescent="0.2">
      <c r="A28" s="37">
        <v>1118</v>
      </c>
      <c r="B28" s="4" t="s">
        <v>30</v>
      </c>
      <c r="C28" s="349" t="str">
        <f>C18</f>
        <v>OB Stockpile 1 through 3, Topsoil Stockpile, South OB Stockpile</v>
      </c>
      <c r="D28" s="38" t="str">
        <f>'14   Reveg'!B30</f>
        <v>SWRF Dam 2</v>
      </c>
      <c r="E28" s="41" t="s">
        <v>26</v>
      </c>
      <c r="F28" s="40" t="s">
        <v>27</v>
      </c>
      <c r="G28" s="29" t="s">
        <v>28</v>
      </c>
    </row>
    <row r="29" spans="1:7" x14ac:dyDescent="0.2">
      <c r="A29" s="37">
        <v>1119</v>
      </c>
      <c r="B29" s="4" t="s">
        <v>30</v>
      </c>
      <c r="C29" s="349" t="str">
        <f>C18</f>
        <v>OB Stockpile 1 through 3, Topsoil Stockpile, South OB Stockpile</v>
      </c>
      <c r="D29" s="38" t="str">
        <f>'14   Reveg'!B31</f>
        <v>SWRF Dam 3</v>
      </c>
      <c r="E29" s="41" t="s">
        <v>26</v>
      </c>
      <c r="F29" s="40" t="s">
        <v>27</v>
      </c>
      <c r="G29" s="29" t="s">
        <v>28</v>
      </c>
    </row>
    <row r="30" spans="1:7" x14ac:dyDescent="0.2">
      <c r="A30" s="37">
        <v>1120</v>
      </c>
      <c r="B30" s="4" t="s">
        <v>30</v>
      </c>
      <c r="C30" s="349" t="str">
        <f>C19</f>
        <v>OB-4 Stockpile</v>
      </c>
      <c r="D30" s="38" t="str">
        <f>'14   Reveg'!B32</f>
        <v>North Tailings Decant Pond</v>
      </c>
      <c r="E30" s="41" t="s">
        <v>26</v>
      </c>
      <c r="F30" s="40" t="s">
        <v>27</v>
      </c>
      <c r="G30" s="29" t="s">
        <v>28</v>
      </c>
    </row>
    <row r="31" spans="1:7" x14ac:dyDescent="0.2">
      <c r="A31" s="37">
        <v>1121</v>
      </c>
      <c r="B31" s="4" t="s">
        <v>30</v>
      </c>
      <c r="C31" s="349" t="str">
        <f>C19</f>
        <v>OB-4 Stockpile</v>
      </c>
      <c r="D31" s="38" t="s">
        <v>399</v>
      </c>
      <c r="E31" s="41" t="s">
        <v>26</v>
      </c>
      <c r="F31" s="40" t="s">
        <v>27</v>
      </c>
      <c r="G31" s="29" t="s">
        <v>28</v>
      </c>
    </row>
    <row r="32" spans="1:7" x14ac:dyDescent="0.2">
      <c r="A32" s="37">
        <v>1122</v>
      </c>
      <c r="B32" s="4" t="s">
        <v>30</v>
      </c>
      <c r="C32" s="349" t="str">
        <f>C20</f>
        <v>NOBS</v>
      </c>
      <c r="D32" s="38" t="str">
        <f>'14   Reveg'!B34</f>
        <v xml:space="preserve">Blackman's Seep (Pond #2) </v>
      </c>
      <c r="E32" s="41" t="s">
        <v>26</v>
      </c>
      <c r="F32" s="40" t="s">
        <v>27</v>
      </c>
      <c r="G32" s="29" t="s">
        <v>28</v>
      </c>
    </row>
    <row r="33" spans="1:7" x14ac:dyDescent="0.2">
      <c r="A33" s="37">
        <v>1123</v>
      </c>
      <c r="B33" s="4" t="s">
        <v>30</v>
      </c>
      <c r="C33" s="349" t="str">
        <f>C19</f>
        <v>OB-4 Stockpile</v>
      </c>
      <c r="D33" s="38" t="s">
        <v>400</v>
      </c>
      <c r="E33" s="41" t="s">
        <v>26</v>
      </c>
      <c r="F33" s="40" t="s">
        <v>27</v>
      </c>
      <c r="G33" s="29" t="s">
        <v>28</v>
      </c>
    </row>
    <row r="34" spans="1:7" x14ac:dyDescent="0.2">
      <c r="A34" s="37">
        <v>1124</v>
      </c>
      <c r="B34" s="4" t="s">
        <v>30</v>
      </c>
      <c r="C34" s="349" t="str">
        <f>C20</f>
        <v>NOBS</v>
      </c>
      <c r="D34" s="38" t="str">
        <f>'14   Reveg'!B36</f>
        <v xml:space="preserve">Upper Creek Containment Pond 1 </v>
      </c>
      <c r="E34" s="41" t="s">
        <v>26</v>
      </c>
      <c r="F34" s="40" t="s">
        <v>27</v>
      </c>
      <c r="G34" s="29" t="s">
        <v>28</v>
      </c>
    </row>
    <row r="35" spans="1:7" x14ac:dyDescent="0.2">
      <c r="A35" s="37">
        <v>1200</v>
      </c>
      <c r="B35" s="43" t="s">
        <v>32</v>
      </c>
      <c r="C35" s="350" t="str">
        <f t="shared" ref="C35:D46" si="0">C14</f>
        <v>OB Stockpile 1 through 4, Topsoil Stockpile, South OB Stockpile</v>
      </c>
      <c r="D35" s="42" t="str">
        <f t="shared" si="0"/>
        <v xml:space="preserve">SWRDF Top </v>
      </c>
      <c r="E35" s="44"/>
      <c r="F35" s="45"/>
      <c r="G35" s="50" t="s">
        <v>33</v>
      </c>
    </row>
    <row r="36" spans="1:7" x14ac:dyDescent="0.2">
      <c r="A36" s="37">
        <v>1201</v>
      </c>
      <c r="B36" s="43" t="s">
        <v>32</v>
      </c>
      <c r="C36" s="350" t="str">
        <f t="shared" si="0"/>
        <v>OB Stockpile 1 through 4, Topsoil Stockpile, South OB Stockpile</v>
      </c>
      <c r="D36" s="42" t="str">
        <f t="shared" si="0"/>
        <v>SWRDF Outslopes</v>
      </c>
      <c r="E36" s="44"/>
      <c r="F36" s="45"/>
      <c r="G36" s="50" t="s">
        <v>33</v>
      </c>
    </row>
    <row r="37" spans="1:7" x14ac:dyDescent="0.2">
      <c r="A37" s="37">
        <v>1202</v>
      </c>
      <c r="B37" s="43" t="s">
        <v>32</v>
      </c>
      <c r="C37" s="350" t="str">
        <f t="shared" si="0"/>
        <v>NOBS</v>
      </c>
      <c r="D37" s="42" t="str">
        <f t="shared" si="0"/>
        <v xml:space="preserve">SWRDF Top </v>
      </c>
      <c r="E37" s="44"/>
      <c r="F37" s="45"/>
      <c r="G37" s="50" t="s">
        <v>33</v>
      </c>
    </row>
    <row r="38" spans="1:7" x14ac:dyDescent="0.2">
      <c r="A38" s="37">
        <v>1203</v>
      </c>
      <c r="B38" s="43" t="s">
        <v>32</v>
      </c>
      <c r="C38" s="350" t="str">
        <f t="shared" si="0"/>
        <v>NOBS</v>
      </c>
      <c r="D38" s="42" t="str">
        <f t="shared" si="0"/>
        <v>Hanover Mountain Deposit</v>
      </c>
      <c r="E38" s="44"/>
      <c r="F38" s="45"/>
      <c r="G38" s="50" t="s">
        <v>33</v>
      </c>
    </row>
    <row r="39" spans="1:7" x14ac:dyDescent="0.2">
      <c r="A39" s="37">
        <v>1204</v>
      </c>
      <c r="B39" s="43" t="s">
        <v>32</v>
      </c>
      <c r="C39" s="350" t="str">
        <f t="shared" si="0"/>
        <v>OB Stockpile 1 through 3, Topsoil Stockpile, South OB Stockpile</v>
      </c>
      <c r="D39" s="42" t="str">
        <f t="shared" si="0"/>
        <v>Pearson-Barnes Mine Area</v>
      </c>
      <c r="E39" s="44"/>
      <c r="F39" s="45"/>
      <c r="G39" s="50" t="s">
        <v>33</v>
      </c>
    </row>
    <row r="40" spans="1:7" x14ac:dyDescent="0.2">
      <c r="A40" s="37">
        <v>1205</v>
      </c>
      <c r="B40" s="43" t="s">
        <v>32</v>
      </c>
      <c r="C40" s="350" t="str">
        <f t="shared" si="0"/>
        <v>OB-4 Stockpile</v>
      </c>
      <c r="D40" s="42" t="str">
        <f t="shared" si="0"/>
        <v>Low Grade WRF</v>
      </c>
      <c r="E40" s="44"/>
      <c r="F40" s="45"/>
      <c r="G40" s="50" t="s">
        <v>33</v>
      </c>
    </row>
    <row r="41" spans="1:7" x14ac:dyDescent="0.2">
      <c r="A41" s="37">
        <v>1206</v>
      </c>
      <c r="B41" s="46" t="s">
        <v>32</v>
      </c>
      <c r="C41" s="350" t="str">
        <f t="shared" si="0"/>
        <v>NOBS</v>
      </c>
      <c r="D41" s="42" t="str">
        <f t="shared" si="0"/>
        <v>MTI Reclaim Pond</v>
      </c>
      <c r="E41" s="44"/>
      <c r="F41" s="45"/>
      <c r="G41" s="50" t="s">
        <v>33</v>
      </c>
    </row>
    <row r="42" spans="1:7" x14ac:dyDescent="0.2">
      <c r="A42" s="37">
        <v>1207</v>
      </c>
      <c r="B42" s="46" t="s">
        <v>32</v>
      </c>
      <c r="C42" s="350" t="str">
        <f t="shared" si="0"/>
        <v>NOBS</v>
      </c>
      <c r="D42" s="42" t="str">
        <f t="shared" si="0"/>
        <v>MTI  Top</v>
      </c>
      <c r="E42" s="44"/>
      <c r="F42" s="45"/>
      <c r="G42" s="50" t="s">
        <v>33</v>
      </c>
    </row>
    <row r="43" spans="1:7" x14ac:dyDescent="0.2">
      <c r="A43" s="37">
        <v>1208</v>
      </c>
      <c r="B43" s="46" t="s">
        <v>32</v>
      </c>
      <c r="C43" s="350" t="str">
        <f t="shared" si="0"/>
        <v>NOBS</v>
      </c>
      <c r="D43" s="42" t="str">
        <f t="shared" si="0"/>
        <v>MTI  Outslope</v>
      </c>
      <c r="E43" s="44"/>
      <c r="F43" s="45"/>
      <c r="G43" s="50" t="s">
        <v>33</v>
      </c>
    </row>
    <row r="44" spans="1:7" x14ac:dyDescent="0.2">
      <c r="A44" s="37">
        <v>1209</v>
      </c>
      <c r="B44" s="46" t="s">
        <v>32</v>
      </c>
      <c r="C44" s="350" t="str">
        <f t="shared" si="0"/>
        <v>Reclaim Pond Outlet Channel</v>
      </c>
      <c r="D44" s="42" t="str">
        <f t="shared" si="0"/>
        <v>MTI  Top</v>
      </c>
      <c r="E44" s="44"/>
      <c r="F44" s="45"/>
      <c r="G44" s="50" t="s">
        <v>33</v>
      </c>
    </row>
    <row r="45" spans="1:7" x14ac:dyDescent="0.2">
      <c r="A45" s="37">
        <v>1210</v>
      </c>
      <c r="B45" s="46" t="s">
        <v>32</v>
      </c>
      <c r="C45" s="350" t="str">
        <f t="shared" si="0"/>
        <v>NOBS</v>
      </c>
      <c r="D45" s="42" t="str">
        <f t="shared" si="0"/>
        <v>Tailing Pipeline Corridor</v>
      </c>
      <c r="E45" s="44"/>
      <c r="F45" s="45"/>
      <c r="G45" s="50" t="s">
        <v>33</v>
      </c>
    </row>
    <row r="46" spans="1:7" x14ac:dyDescent="0.2">
      <c r="A46" s="37">
        <v>1211</v>
      </c>
      <c r="B46" s="46" t="s">
        <v>32</v>
      </c>
      <c r="C46" s="349" t="str">
        <f t="shared" si="0"/>
        <v>NOBS</v>
      </c>
      <c r="D46" s="42" t="str">
        <f t="shared" si="0"/>
        <v>Grape Gulch Pond #3</v>
      </c>
      <c r="E46" s="44"/>
      <c r="F46" s="45"/>
      <c r="G46" s="50" t="s">
        <v>33</v>
      </c>
    </row>
    <row r="47" spans="1:7" x14ac:dyDescent="0.2">
      <c r="A47" s="37">
        <v>1212</v>
      </c>
      <c r="B47" s="46" t="s">
        <v>32</v>
      </c>
      <c r="C47" s="349" t="str">
        <f t="shared" ref="C47:C55" si="1">C26</f>
        <v>NOBS</v>
      </c>
      <c r="D47" s="42" t="str">
        <f t="shared" ref="D47:D55" si="2">D26</f>
        <v>Magnetite Seepage Pond</v>
      </c>
      <c r="E47" s="44"/>
      <c r="F47" s="45"/>
      <c r="G47" s="50" t="s">
        <v>33</v>
      </c>
    </row>
    <row r="48" spans="1:7" x14ac:dyDescent="0.2">
      <c r="A48" s="37">
        <v>1213</v>
      </c>
      <c r="B48" s="46" t="s">
        <v>32</v>
      </c>
      <c r="C48" s="349" t="str">
        <f t="shared" si="1"/>
        <v>OB Stockpile 1 through 3, Topsoil Stockpile, South OB Stockpile</v>
      </c>
      <c r="D48" s="42" t="str">
        <f t="shared" si="2"/>
        <v>SWRF Dam 1</v>
      </c>
      <c r="E48" s="44"/>
      <c r="F48" s="45"/>
      <c r="G48" s="50" t="s">
        <v>33</v>
      </c>
    </row>
    <row r="49" spans="1:7" x14ac:dyDescent="0.2">
      <c r="A49" s="37">
        <v>1214</v>
      </c>
      <c r="B49" s="46" t="s">
        <v>32</v>
      </c>
      <c r="C49" s="349" t="str">
        <f t="shared" si="1"/>
        <v>OB Stockpile 1 through 3, Topsoil Stockpile, South OB Stockpile</v>
      </c>
      <c r="D49" s="42" t="str">
        <f t="shared" si="2"/>
        <v>SWRF Dam 2</v>
      </c>
      <c r="E49" s="44"/>
      <c r="F49" s="45"/>
      <c r="G49" s="50" t="s">
        <v>33</v>
      </c>
    </row>
    <row r="50" spans="1:7" x14ac:dyDescent="0.2">
      <c r="A50" s="37">
        <v>1215</v>
      </c>
      <c r="B50" s="46" t="s">
        <v>32</v>
      </c>
      <c r="C50" s="349" t="str">
        <f t="shared" si="1"/>
        <v>OB Stockpile 1 through 3, Topsoil Stockpile, South OB Stockpile</v>
      </c>
      <c r="D50" s="42" t="str">
        <f t="shared" si="2"/>
        <v>SWRF Dam 3</v>
      </c>
      <c r="E50" s="44"/>
      <c r="F50" s="45"/>
      <c r="G50" s="50" t="s">
        <v>33</v>
      </c>
    </row>
    <row r="51" spans="1:7" x14ac:dyDescent="0.2">
      <c r="A51" s="37">
        <v>1216</v>
      </c>
      <c r="B51" s="46" t="s">
        <v>32</v>
      </c>
      <c r="C51" s="350" t="str">
        <f t="shared" si="1"/>
        <v>OB-4 Stockpile</v>
      </c>
      <c r="D51" s="42" t="str">
        <f t="shared" si="2"/>
        <v>North Tailings Decant Pond</v>
      </c>
      <c r="E51" s="44"/>
      <c r="F51" s="45"/>
      <c r="G51" s="50" t="s">
        <v>33</v>
      </c>
    </row>
    <row r="52" spans="1:7" x14ac:dyDescent="0.2">
      <c r="A52" s="37">
        <v>1217</v>
      </c>
      <c r="B52" s="46" t="s">
        <v>32</v>
      </c>
      <c r="C52" s="350" t="str">
        <f t="shared" si="1"/>
        <v>OB-4 Stockpile</v>
      </c>
      <c r="D52" s="42" t="str">
        <f t="shared" si="2"/>
        <v>East WRF Containment</v>
      </c>
      <c r="E52" s="44"/>
      <c r="F52" s="45"/>
      <c r="G52" s="50" t="s">
        <v>33</v>
      </c>
    </row>
    <row r="53" spans="1:7" x14ac:dyDescent="0.2">
      <c r="A53" s="37">
        <v>1218</v>
      </c>
      <c r="B53" s="46" t="s">
        <v>32</v>
      </c>
      <c r="C53" s="350" t="str">
        <f t="shared" si="1"/>
        <v>NOBS</v>
      </c>
      <c r="D53" s="42" t="str">
        <f t="shared" si="2"/>
        <v xml:space="preserve">Blackman's Seep (Pond #2) </v>
      </c>
      <c r="E53" s="44"/>
      <c r="F53" s="45"/>
      <c r="G53" s="50" t="s">
        <v>33</v>
      </c>
    </row>
    <row r="54" spans="1:7" x14ac:dyDescent="0.2">
      <c r="A54" s="37">
        <v>1219</v>
      </c>
      <c r="B54" s="46" t="s">
        <v>32</v>
      </c>
      <c r="C54" s="350" t="str">
        <f t="shared" si="1"/>
        <v>OB-4 Stockpile</v>
      </c>
      <c r="D54" s="42" t="str">
        <f t="shared" si="2"/>
        <v>Decant Pond #4</v>
      </c>
      <c r="E54" s="44"/>
      <c r="F54" s="45"/>
      <c r="G54" s="50" t="s">
        <v>33</v>
      </c>
    </row>
    <row r="55" spans="1:7" x14ac:dyDescent="0.2">
      <c r="A55" s="37">
        <v>1220</v>
      </c>
      <c r="B55" s="46" t="s">
        <v>32</v>
      </c>
      <c r="C55" s="350" t="str">
        <f t="shared" si="1"/>
        <v>NOBS</v>
      </c>
      <c r="D55" s="42" t="str">
        <f t="shared" si="2"/>
        <v xml:space="preserve">Upper Creek Containment Pond 1 </v>
      </c>
      <c r="E55" s="44"/>
      <c r="F55" s="45"/>
      <c r="G55" s="50" t="s">
        <v>33</v>
      </c>
    </row>
    <row r="56" spans="1:7" x14ac:dyDescent="0.2">
      <c r="A56" s="37">
        <v>1300</v>
      </c>
      <c r="B56" s="43" t="s">
        <v>34</v>
      </c>
      <c r="C56" s="350" t="str">
        <f t="shared" ref="C56:C61" si="3">C14</f>
        <v>OB Stockpile 1 through 4, Topsoil Stockpile, South OB Stockpile</v>
      </c>
      <c r="D56" s="47" t="str">
        <f t="shared" ref="D56:D64" si="4">D35</f>
        <v xml:space="preserve">SWRDF Top </v>
      </c>
      <c r="E56" s="48">
        <f>'9   Trucks'!M14</f>
        <v>3630</v>
      </c>
      <c r="F56" s="49" t="s">
        <v>35</v>
      </c>
      <c r="G56" s="50" t="s">
        <v>36</v>
      </c>
    </row>
    <row r="57" spans="1:7" x14ac:dyDescent="0.2">
      <c r="A57" s="37">
        <v>1301</v>
      </c>
      <c r="B57" s="43" t="s">
        <v>34</v>
      </c>
      <c r="C57" s="350" t="str">
        <f t="shared" si="3"/>
        <v>OB Stockpile 1 through 4, Topsoil Stockpile, South OB Stockpile</v>
      </c>
      <c r="D57" s="47" t="str">
        <f t="shared" si="4"/>
        <v>SWRDF Outslopes</v>
      </c>
      <c r="E57" s="48">
        <f>'9   Trucks'!M15</f>
        <v>3630</v>
      </c>
      <c r="F57" s="49" t="s">
        <v>35</v>
      </c>
      <c r="G57" s="50" t="s">
        <v>36</v>
      </c>
    </row>
    <row r="58" spans="1:7" x14ac:dyDescent="0.2">
      <c r="A58" s="37">
        <v>1302</v>
      </c>
      <c r="B58" s="43" t="s">
        <v>34</v>
      </c>
      <c r="C58" s="350" t="str">
        <f t="shared" si="3"/>
        <v>NOBS</v>
      </c>
      <c r="D58" s="47" t="str">
        <f t="shared" si="4"/>
        <v xml:space="preserve">SWRDF Top </v>
      </c>
      <c r="E58" s="48">
        <f>'9   Trucks'!M16</f>
        <v>12559</v>
      </c>
      <c r="F58" s="49" t="s">
        <v>35</v>
      </c>
      <c r="G58" s="50" t="s">
        <v>36</v>
      </c>
    </row>
    <row r="59" spans="1:7" x14ac:dyDescent="0.2">
      <c r="A59" s="37">
        <v>1303</v>
      </c>
      <c r="B59" s="43" t="s">
        <v>34</v>
      </c>
      <c r="C59" s="350" t="str">
        <f t="shared" si="3"/>
        <v>NOBS</v>
      </c>
      <c r="D59" s="47" t="str">
        <f t="shared" si="4"/>
        <v>Hanover Mountain Deposit</v>
      </c>
      <c r="E59" s="48">
        <f>'9   Trucks'!M17</f>
        <v>5707</v>
      </c>
      <c r="F59" s="49" t="s">
        <v>35</v>
      </c>
      <c r="G59" s="50" t="s">
        <v>36</v>
      </c>
    </row>
    <row r="60" spans="1:7" x14ac:dyDescent="0.2">
      <c r="A60" s="37">
        <v>1304</v>
      </c>
      <c r="B60" s="43" t="s">
        <v>34</v>
      </c>
      <c r="C60" s="350" t="str">
        <f t="shared" si="3"/>
        <v>OB Stockpile 1 through 3, Topsoil Stockpile, South OB Stockpile</v>
      </c>
      <c r="D60" s="47" t="str">
        <f t="shared" si="4"/>
        <v>Pearson-Barnes Mine Area</v>
      </c>
      <c r="E60" s="48">
        <f>'9   Trucks'!M18</f>
        <v>600</v>
      </c>
      <c r="F60" s="49" t="s">
        <v>35</v>
      </c>
      <c r="G60" s="50" t="s">
        <v>36</v>
      </c>
    </row>
    <row r="61" spans="1:7" x14ac:dyDescent="0.2">
      <c r="A61" s="37">
        <v>1305</v>
      </c>
      <c r="B61" s="43" t="s">
        <v>34</v>
      </c>
      <c r="C61" s="350" t="str">
        <f t="shared" si="3"/>
        <v>OB-4 Stockpile</v>
      </c>
      <c r="D61" s="47" t="str">
        <f t="shared" si="4"/>
        <v>Low Grade WRF</v>
      </c>
      <c r="E61" s="48">
        <f>'9   Trucks'!M19</f>
        <v>1000</v>
      </c>
      <c r="F61" s="49" t="s">
        <v>35</v>
      </c>
      <c r="G61" s="50" t="s">
        <v>36</v>
      </c>
    </row>
    <row r="62" spans="1:7" x14ac:dyDescent="0.2">
      <c r="A62" s="37">
        <v>1306</v>
      </c>
      <c r="B62" s="46" t="s">
        <v>34</v>
      </c>
      <c r="C62" s="350" t="str">
        <f>C41</f>
        <v>NOBS</v>
      </c>
      <c r="D62" s="47" t="str">
        <f t="shared" si="4"/>
        <v>MTI Reclaim Pond</v>
      </c>
      <c r="E62" s="48">
        <f>'9   Trucks'!M20</f>
        <v>7193</v>
      </c>
      <c r="F62" s="49" t="s">
        <v>35</v>
      </c>
      <c r="G62" s="50" t="s">
        <v>36</v>
      </c>
    </row>
    <row r="63" spans="1:7" x14ac:dyDescent="0.2">
      <c r="A63" s="37">
        <v>1307</v>
      </c>
      <c r="B63" s="46" t="s">
        <v>34</v>
      </c>
      <c r="C63" s="350" t="str">
        <f>C42</f>
        <v>NOBS</v>
      </c>
      <c r="D63" s="47" t="str">
        <f t="shared" si="4"/>
        <v>MTI  Top</v>
      </c>
      <c r="E63" s="48">
        <f>'9   Trucks'!M21</f>
        <v>7193</v>
      </c>
      <c r="F63" s="49" t="s">
        <v>35</v>
      </c>
      <c r="G63" s="50" t="s">
        <v>36</v>
      </c>
    </row>
    <row r="64" spans="1:7" x14ac:dyDescent="0.2">
      <c r="A64" s="37">
        <v>1308</v>
      </c>
      <c r="B64" s="46" t="s">
        <v>34</v>
      </c>
      <c r="C64" s="350" t="str">
        <f>C43</f>
        <v>NOBS</v>
      </c>
      <c r="D64" s="47" t="str">
        <f t="shared" si="4"/>
        <v>MTI  Outslope</v>
      </c>
      <c r="E64" s="48">
        <f>'9   Trucks'!M22</f>
        <v>7193</v>
      </c>
      <c r="F64" s="49" t="s">
        <v>35</v>
      </c>
      <c r="G64" s="50" t="s">
        <v>36</v>
      </c>
    </row>
    <row r="65" spans="1:7" x14ac:dyDescent="0.2">
      <c r="A65" s="37">
        <v>1309</v>
      </c>
      <c r="B65" s="46" t="s">
        <v>34</v>
      </c>
      <c r="C65" s="350" t="str">
        <f>C44</f>
        <v>Reclaim Pond Outlet Channel</v>
      </c>
      <c r="D65" s="47" t="str">
        <f t="shared" ref="D65:D71" si="5">D44</f>
        <v>MTI  Top</v>
      </c>
      <c r="E65" s="48">
        <f>'9   Trucks'!M23</f>
        <v>1172</v>
      </c>
      <c r="F65" s="49" t="s">
        <v>35</v>
      </c>
      <c r="G65" s="50" t="s">
        <v>36</v>
      </c>
    </row>
    <row r="66" spans="1:7" x14ac:dyDescent="0.2">
      <c r="A66" s="37">
        <v>1310</v>
      </c>
      <c r="B66" s="46" t="s">
        <v>34</v>
      </c>
      <c r="C66" s="350" t="str">
        <f>C45</f>
        <v>NOBS</v>
      </c>
      <c r="D66" s="47" t="str">
        <f t="shared" si="5"/>
        <v>Tailing Pipeline Corridor</v>
      </c>
      <c r="E66" s="48">
        <f>'9   Trucks'!M24</f>
        <v>7193</v>
      </c>
      <c r="F66" s="49" t="s">
        <v>35</v>
      </c>
      <c r="G66" s="50" t="s">
        <v>36</v>
      </c>
    </row>
    <row r="67" spans="1:7" x14ac:dyDescent="0.2">
      <c r="A67" s="37">
        <v>1311</v>
      </c>
      <c r="B67" s="46" t="s">
        <v>34</v>
      </c>
      <c r="C67" s="350" t="str">
        <f>C25</f>
        <v>NOBS</v>
      </c>
      <c r="D67" s="47" t="str">
        <f t="shared" si="5"/>
        <v>Grape Gulch Pond #3</v>
      </c>
      <c r="E67" s="48">
        <f>'9   Trucks'!M25</f>
        <v>3856</v>
      </c>
      <c r="F67" s="49" t="s">
        <v>35</v>
      </c>
      <c r="G67" s="50" t="s">
        <v>36</v>
      </c>
    </row>
    <row r="68" spans="1:7" x14ac:dyDescent="0.2">
      <c r="A68" s="37">
        <v>1312</v>
      </c>
      <c r="B68" s="46" t="s">
        <v>34</v>
      </c>
      <c r="C68" s="350" t="str">
        <f>C26</f>
        <v>NOBS</v>
      </c>
      <c r="D68" s="47" t="str">
        <f t="shared" si="5"/>
        <v>Magnetite Seepage Pond</v>
      </c>
      <c r="E68" s="48">
        <f>'9   Trucks'!M26</f>
        <v>6480</v>
      </c>
      <c r="F68" s="49" t="s">
        <v>35</v>
      </c>
      <c r="G68" s="50" t="s">
        <v>36</v>
      </c>
    </row>
    <row r="69" spans="1:7" x14ac:dyDescent="0.2">
      <c r="A69" s="37">
        <v>1313</v>
      </c>
      <c r="B69" s="46" t="s">
        <v>34</v>
      </c>
      <c r="C69" s="350" t="str">
        <f>C27</f>
        <v>OB Stockpile 1 through 3, Topsoil Stockpile, South OB Stockpile</v>
      </c>
      <c r="D69" s="47" t="str">
        <f t="shared" si="5"/>
        <v>SWRF Dam 1</v>
      </c>
      <c r="E69" s="48">
        <f>'9   Trucks'!M27</f>
        <v>3630</v>
      </c>
      <c r="F69" s="49" t="s">
        <v>35</v>
      </c>
      <c r="G69" s="50" t="s">
        <v>36</v>
      </c>
    </row>
    <row r="70" spans="1:7" x14ac:dyDescent="0.2">
      <c r="A70" s="37">
        <v>1314</v>
      </c>
      <c r="B70" s="46" t="s">
        <v>34</v>
      </c>
      <c r="C70" s="350" t="str">
        <f>C28</f>
        <v>OB Stockpile 1 through 3, Topsoil Stockpile, South OB Stockpile</v>
      </c>
      <c r="D70" s="47" t="str">
        <f t="shared" si="5"/>
        <v>SWRF Dam 2</v>
      </c>
      <c r="E70" s="48">
        <f>'9   Trucks'!M28</f>
        <v>3630</v>
      </c>
      <c r="F70" s="49" t="s">
        <v>35</v>
      </c>
      <c r="G70" s="50" t="s">
        <v>36</v>
      </c>
    </row>
    <row r="71" spans="1:7" x14ac:dyDescent="0.2">
      <c r="A71" s="37">
        <v>1315</v>
      </c>
      <c r="B71" s="46" t="s">
        <v>34</v>
      </c>
      <c r="C71" s="350" t="str">
        <f>C29</f>
        <v>OB Stockpile 1 through 3, Topsoil Stockpile, South OB Stockpile</v>
      </c>
      <c r="D71" s="47" t="str">
        <f t="shared" si="5"/>
        <v>SWRF Dam 3</v>
      </c>
      <c r="E71" s="48">
        <f>'9   Trucks'!M29</f>
        <v>3630</v>
      </c>
      <c r="F71" s="49" t="s">
        <v>35</v>
      </c>
      <c r="G71" s="50" t="s">
        <v>36</v>
      </c>
    </row>
    <row r="72" spans="1:7" x14ac:dyDescent="0.2">
      <c r="A72" s="37">
        <v>1316</v>
      </c>
      <c r="B72" s="46" t="s">
        <v>34</v>
      </c>
      <c r="C72" s="350" t="str">
        <f>C51</f>
        <v>OB-4 Stockpile</v>
      </c>
      <c r="D72" s="47" t="str">
        <f t="shared" ref="D72:D76" si="6">D51</f>
        <v>North Tailings Decant Pond</v>
      </c>
      <c r="E72" s="48">
        <f>'9   Trucks'!M30</f>
        <v>1000</v>
      </c>
      <c r="F72" s="51" t="s">
        <v>35</v>
      </c>
      <c r="G72" s="50" t="s">
        <v>36</v>
      </c>
    </row>
    <row r="73" spans="1:7" x14ac:dyDescent="0.2">
      <c r="A73" s="37">
        <v>1317</v>
      </c>
      <c r="B73" s="46" t="s">
        <v>34</v>
      </c>
      <c r="C73" s="350" t="str">
        <f>C52</f>
        <v>OB-4 Stockpile</v>
      </c>
      <c r="D73" s="47" t="str">
        <f t="shared" si="6"/>
        <v>East WRF Containment</v>
      </c>
      <c r="E73" s="48">
        <f>'9   Trucks'!M31</f>
        <v>1000</v>
      </c>
      <c r="F73" s="51" t="s">
        <v>35</v>
      </c>
      <c r="G73" s="50" t="s">
        <v>36</v>
      </c>
    </row>
    <row r="74" spans="1:7" x14ac:dyDescent="0.2">
      <c r="A74" s="37">
        <v>1318</v>
      </c>
      <c r="B74" s="46" t="s">
        <v>34</v>
      </c>
      <c r="C74" s="350" t="str">
        <f>C53</f>
        <v>NOBS</v>
      </c>
      <c r="D74" s="47" t="str">
        <f t="shared" si="6"/>
        <v xml:space="preserve">Blackman's Seep (Pond #2) </v>
      </c>
      <c r="E74" s="48">
        <f>'9   Trucks'!M32</f>
        <v>3856</v>
      </c>
      <c r="F74" s="51" t="s">
        <v>35</v>
      </c>
      <c r="G74" s="50" t="s">
        <v>36</v>
      </c>
    </row>
    <row r="75" spans="1:7" x14ac:dyDescent="0.2">
      <c r="A75" s="37">
        <v>1319</v>
      </c>
      <c r="B75" s="46" t="s">
        <v>34</v>
      </c>
      <c r="C75" s="350" t="str">
        <f>C54</f>
        <v>OB-4 Stockpile</v>
      </c>
      <c r="D75" s="47" t="str">
        <f t="shared" si="6"/>
        <v>Decant Pond #4</v>
      </c>
      <c r="E75" s="48">
        <f>'9   Trucks'!M33</f>
        <v>1000</v>
      </c>
      <c r="F75" s="51" t="s">
        <v>35</v>
      </c>
      <c r="G75" s="50" t="s">
        <v>36</v>
      </c>
    </row>
    <row r="76" spans="1:7" x14ac:dyDescent="0.2">
      <c r="A76" s="37">
        <v>1320</v>
      </c>
      <c r="B76" s="46" t="s">
        <v>34</v>
      </c>
      <c r="C76" s="350" t="str">
        <f>C55</f>
        <v>NOBS</v>
      </c>
      <c r="D76" s="47" t="str">
        <f t="shared" si="6"/>
        <v xml:space="preserve">Upper Creek Containment Pond 1 </v>
      </c>
      <c r="E76" s="48">
        <f>'9   Trucks'!M34</f>
        <v>3856</v>
      </c>
      <c r="F76" s="51" t="s">
        <v>35</v>
      </c>
      <c r="G76" s="50" t="s">
        <v>36</v>
      </c>
    </row>
    <row r="77" spans="1:7" x14ac:dyDescent="0.2">
      <c r="A77" s="37">
        <v>1400</v>
      </c>
      <c r="B77" s="322" t="s">
        <v>422</v>
      </c>
      <c r="C77" s="350" t="str">
        <f>D31</f>
        <v>East WRF Containment</v>
      </c>
      <c r="D77" s="52" t="s">
        <v>26</v>
      </c>
      <c r="E77" s="48">
        <v>1000</v>
      </c>
      <c r="F77" s="51"/>
      <c r="G77" s="50" t="s">
        <v>37</v>
      </c>
    </row>
    <row r="78" spans="1:7" x14ac:dyDescent="0.2">
      <c r="A78" s="37">
        <v>1401</v>
      </c>
      <c r="B78" s="322" t="s">
        <v>422</v>
      </c>
      <c r="C78" s="350" t="str">
        <f>D33</f>
        <v>Decant Pond #4</v>
      </c>
      <c r="D78" s="52" t="s">
        <v>26</v>
      </c>
      <c r="E78" s="48">
        <v>1000</v>
      </c>
      <c r="F78" s="51"/>
      <c r="G78" s="50" t="s">
        <v>37</v>
      </c>
    </row>
    <row r="79" spans="1:7" x14ac:dyDescent="0.2">
      <c r="A79" s="37">
        <v>1402</v>
      </c>
      <c r="B79" s="322" t="s">
        <v>422</v>
      </c>
      <c r="C79" s="350" t="str">
        <f>D74</f>
        <v xml:space="preserve">Blackman's Seep (Pond #2) </v>
      </c>
      <c r="D79" s="52" t="s">
        <v>26</v>
      </c>
      <c r="E79" s="48">
        <v>1000</v>
      </c>
      <c r="F79" s="51"/>
      <c r="G79" s="50" t="s">
        <v>37</v>
      </c>
    </row>
    <row r="80" spans="1:7" x14ac:dyDescent="0.2">
      <c r="A80" s="37">
        <v>1403</v>
      </c>
      <c r="B80" s="322" t="s">
        <v>422</v>
      </c>
      <c r="C80" s="350" t="str">
        <f>D67</f>
        <v>Grape Gulch Pond #3</v>
      </c>
      <c r="D80" s="52" t="s">
        <v>26</v>
      </c>
      <c r="E80" s="48">
        <v>1000</v>
      </c>
      <c r="F80" s="51"/>
      <c r="G80" s="50" t="s">
        <v>37</v>
      </c>
    </row>
    <row r="81" spans="1:7" x14ac:dyDescent="0.2">
      <c r="A81" s="37">
        <v>1404</v>
      </c>
      <c r="B81" s="322" t="s">
        <v>422</v>
      </c>
      <c r="C81" s="350" t="str">
        <f>D68</f>
        <v>Magnetite Seepage Pond</v>
      </c>
      <c r="D81" s="52" t="s">
        <v>26</v>
      </c>
      <c r="E81" s="48">
        <v>1000</v>
      </c>
      <c r="F81" s="51"/>
      <c r="G81" s="50" t="s">
        <v>37</v>
      </c>
    </row>
    <row r="82" spans="1:7" x14ac:dyDescent="0.2">
      <c r="A82" s="37">
        <v>1405</v>
      </c>
      <c r="B82" s="322" t="s">
        <v>423</v>
      </c>
      <c r="C82" s="350" t="str">
        <f>C23</f>
        <v>Reclaim Pond Outlet Channel</v>
      </c>
      <c r="D82" s="52" t="s">
        <v>26</v>
      </c>
      <c r="E82" s="48">
        <v>1000</v>
      </c>
      <c r="F82" s="51"/>
      <c r="G82" s="50" t="s">
        <v>37</v>
      </c>
    </row>
    <row r="83" spans="1:7" x14ac:dyDescent="0.2">
      <c r="A83" s="37">
        <v>1406</v>
      </c>
      <c r="B83" s="322" t="s">
        <v>422</v>
      </c>
      <c r="C83" s="350" t="str">
        <f>$D$34</f>
        <v xml:space="preserve">Upper Creek Containment Pond 1 </v>
      </c>
      <c r="D83" s="52" t="s">
        <v>26</v>
      </c>
      <c r="E83" s="48">
        <v>1000</v>
      </c>
      <c r="F83" s="51"/>
      <c r="G83" s="50" t="s">
        <v>37</v>
      </c>
    </row>
    <row r="84" spans="1:7" x14ac:dyDescent="0.2">
      <c r="A84" s="37">
        <v>1500</v>
      </c>
      <c r="B84" s="46" t="s">
        <v>38</v>
      </c>
      <c r="C84" s="351" t="s">
        <v>31</v>
      </c>
      <c r="D84" s="53" t="s">
        <v>26</v>
      </c>
      <c r="E84" s="44"/>
      <c r="F84" s="54"/>
      <c r="G84" s="29" t="s">
        <v>39</v>
      </c>
    </row>
    <row r="85" spans="1:7" x14ac:dyDescent="0.2">
      <c r="A85" s="37">
        <v>1501</v>
      </c>
      <c r="B85" s="46" t="s">
        <v>38</v>
      </c>
      <c r="C85" s="351" t="s">
        <v>398</v>
      </c>
      <c r="D85" s="53" t="s">
        <v>26</v>
      </c>
      <c r="E85" s="44"/>
      <c r="F85" s="54"/>
      <c r="G85" s="29" t="s">
        <v>39</v>
      </c>
    </row>
    <row r="86" spans="1:7" x14ac:dyDescent="0.2">
      <c r="A86" s="37">
        <v>1502</v>
      </c>
      <c r="B86" s="46" t="s">
        <v>38</v>
      </c>
      <c r="C86" s="351" t="str">
        <f>D19</f>
        <v>Low Grade WRF</v>
      </c>
      <c r="D86" s="439" t="s">
        <v>26</v>
      </c>
      <c r="E86" s="44"/>
      <c r="F86" s="54"/>
      <c r="G86" s="29" t="s">
        <v>39</v>
      </c>
    </row>
    <row r="87" spans="1:7" x14ac:dyDescent="0.2">
      <c r="A87" s="37">
        <v>1503</v>
      </c>
      <c r="B87" s="46" t="s">
        <v>38</v>
      </c>
      <c r="C87" s="352" t="str">
        <f t="shared" ref="C87:C96" si="7">D25</f>
        <v>Grape Gulch Pond #3</v>
      </c>
      <c r="D87" s="53" t="s">
        <v>26</v>
      </c>
      <c r="E87" s="44"/>
      <c r="F87" s="54"/>
      <c r="G87" s="29" t="s">
        <v>39</v>
      </c>
    </row>
    <row r="88" spans="1:7" x14ac:dyDescent="0.2">
      <c r="A88" s="37">
        <v>1504</v>
      </c>
      <c r="B88" s="46" t="s">
        <v>38</v>
      </c>
      <c r="C88" s="352" t="str">
        <f t="shared" si="7"/>
        <v>Magnetite Seepage Pond</v>
      </c>
      <c r="D88" s="53" t="s">
        <v>26</v>
      </c>
      <c r="E88" s="44"/>
      <c r="F88" s="54"/>
      <c r="G88" s="29" t="s">
        <v>39</v>
      </c>
    </row>
    <row r="89" spans="1:7" x14ac:dyDescent="0.2">
      <c r="A89" s="37">
        <v>1505</v>
      </c>
      <c r="B89" s="46" t="s">
        <v>38</v>
      </c>
      <c r="C89" s="352" t="str">
        <f t="shared" si="7"/>
        <v>SWRF Dam 1</v>
      </c>
      <c r="D89" s="53" t="s">
        <v>26</v>
      </c>
      <c r="E89" s="44"/>
      <c r="F89" s="54"/>
      <c r="G89" s="29" t="s">
        <v>39</v>
      </c>
    </row>
    <row r="90" spans="1:7" x14ac:dyDescent="0.2">
      <c r="A90" s="37">
        <v>1506</v>
      </c>
      <c r="B90" s="46" t="s">
        <v>38</v>
      </c>
      <c r="C90" s="352" t="str">
        <f t="shared" si="7"/>
        <v>SWRF Dam 2</v>
      </c>
      <c r="D90" s="53" t="s">
        <v>26</v>
      </c>
      <c r="E90" s="44"/>
      <c r="F90" s="54"/>
      <c r="G90" s="29" t="s">
        <v>39</v>
      </c>
    </row>
    <row r="91" spans="1:7" x14ac:dyDescent="0.2">
      <c r="A91" s="37">
        <v>1507</v>
      </c>
      <c r="B91" s="46" t="s">
        <v>38</v>
      </c>
      <c r="C91" s="352" t="str">
        <f t="shared" si="7"/>
        <v>SWRF Dam 3</v>
      </c>
      <c r="D91" s="53" t="s">
        <v>26</v>
      </c>
      <c r="E91" s="44"/>
      <c r="F91" s="54"/>
      <c r="G91" s="29" t="s">
        <v>39</v>
      </c>
    </row>
    <row r="92" spans="1:7" x14ac:dyDescent="0.2">
      <c r="A92" s="37">
        <v>1508</v>
      </c>
      <c r="B92" s="46" t="s">
        <v>38</v>
      </c>
      <c r="C92" s="352" t="str">
        <f t="shared" si="7"/>
        <v>North Tailings Decant Pond</v>
      </c>
      <c r="D92" s="53" t="s">
        <v>26</v>
      </c>
      <c r="E92" s="44"/>
      <c r="F92" s="54"/>
      <c r="G92" s="29" t="s">
        <v>39</v>
      </c>
    </row>
    <row r="93" spans="1:7" x14ac:dyDescent="0.2">
      <c r="A93" s="37">
        <v>1509</v>
      </c>
      <c r="B93" s="46" t="s">
        <v>38</v>
      </c>
      <c r="C93" s="352" t="str">
        <f t="shared" si="7"/>
        <v>East WRF Containment</v>
      </c>
      <c r="D93" s="53" t="s">
        <v>26</v>
      </c>
      <c r="E93" s="44"/>
      <c r="F93" s="54"/>
      <c r="G93" s="29" t="s">
        <v>39</v>
      </c>
    </row>
    <row r="94" spans="1:7" x14ac:dyDescent="0.2">
      <c r="A94" s="37">
        <v>1510</v>
      </c>
      <c r="B94" s="46" t="s">
        <v>38</v>
      </c>
      <c r="C94" s="352" t="str">
        <f t="shared" si="7"/>
        <v xml:space="preserve">Blackman's Seep (Pond #2) </v>
      </c>
      <c r="D94" s="53" t="s">
        <v>26</v>
      </c>
      <c r="E94" s="44"/>
      <c r="F94" s="54"/>
      <c r="G94" s="29" t="s">
        <v>39</v>
      </c>
    </row>
    <row r="95" spans="1:7" x14ac:dyDescent="0.2">
      <c r="A95" s="37">
        <v>1511</v>
      </c>
      <c r="B95" s="46" t="s">
        <v>38</v>
      </c>
      <c r="C95" s="352" t="str">
        <f t="shared" si="7"/>
        <v>Decant Pond #4</v>
      </c>
      <c r="D95" s="53" t="s">
        <v>26</v>
      </c>
      <c r="E95" s="44"/>
      <c r="F95" s="54"/>
      <c r="G95" s="29" t="s">
        <v>39</v>
      </c>
    </row>
    <row r="96" spans="1:7" x14ac:dyDescent="0.2">
      <c r="A96" s="37">
        <v>1512</v>
      </c>
      <c r="B96" s="46" t="s">
        <v>38</v>
      </c>
      <c r="C96" s="352" t="str">
        <f t="shared" si="7"/>
        <v xml:space="preserve">Upper Creek Containment Pond 1 </v>
      </c>
      <c r="D96" s="53" t="s">
        <v>26</v>
      </c>
      <c r="E96" s="44"/>
      <c r="F96" s="54"/>
      <c r="G96" s="29" t="s">
        <v>39</v>
      </c>
    </row>
    <row r="97" spans="1:7" x14ac:dyDescent="0.2">
      <c r="A97" s="37">
        <v>1513</v>
      </c>
      <c r="B97" s="43" t="s">
        <v>40</v>
      </c>
      <c r="C97" s="353" t="str">
        <f t="shared" ref="C97:C102" si="8">D14</f>
        <v xml:space="preserve">SWRDF Top </v>
      </c>
      <c r="D97" s="55" t="s">
        <v>26</v>
      </c>
      <c r="E97" s="44"/>
      <c r="F97" s="54"/>
      <c r="G97" s="29" t="s">
        <v>28</v>
      </c>
    </row>
    <row r="98" spans="1:7" x14ac:dyDescent="0.2">
      <c r="A98" s="37">
        <v>1514</v>
      </c>
      <c r="B98" s="43" t="s">
        <v>40</v>
      </c>
      <c r="C98" s="353" t="str">
        <f t="shared" si="8"/>
        <v>SWRDF Outslopes</v>
      </c>
      <c r="D98" s="55" t="s">
        <v>26</v>
      </c>
      <c r="E98" s="44"/>
      <c r="F98" s="54"/>
      <c r="G98" s="29" t="s">
        <v>28</v>
      </c>
    </row>
    <row r="99" spans="1:7" x14ac:dyDescent="0.2">
      <c r="A99" s="37">
        <v>1515</v>
      </c>
      <c r="B99" s="43" t="s">
        <v>40</v>
      </c>
      <c r="C99" s="353" t="str">
        <f t="shared" si="8"/>
        <v xml:space="preserve">SWRDF Top </v>
      </c>
      <c r="D99" s="55" t="s">
        <v>26</v>
      </c>
      <c r="E99" s="44"/>
      <c r="F99" s="54"/>
      <c r="G99" s="29" t="s">
        <v>28</v>
      </c>
    </row>
    <row r="100" spans="1:7" x14ac:dyDescent="0.2">
      <c r="A100" s="37">
        <v>1516</v>
      </c>
      <c r="B100" s="43" t="s">
        <v>40</v>
      </c>
      <c r="C100" s="353" t="str">
        <f t="shared" si="8"/>
        <v>Hanover Mountain Deposit</v>
      </c>
      <c r="D100" s="55" t="s">
        <v>26</v>
      </c>
      <c r="E100" s="44"/>
      <c r="F100" s="54"/>
      <c r="G100" s="29" t="s">
        <v>28</v>
      </c>
    </row>
    <row r="101" spans="1:7" x14ac:dyDescent="0.2">
      <c r="A101" s="37">
        <v>1517</v>
      </c>
      <c r="B101" s="43" t="s">
        <v>40</v>
      </c>
      <c r="C101" s="353" t="str">
        <f t="shared" si="8"/>
        <v>Pearson-Barnes Mine Area</v>
      </c>
      <c r="D101" s="55" t="s">
        <v>26</v>
      </c>
      <c r="E101" s="44"/>
      <c r="F101" s="54"/>
      <c r="G101" s="29" t="s">
        <v>28</v>
      </c>
    </row>
    <row r="102" spans="1:7" x14ac:dyDescent="0.2">
      <c r="A102" s="37">
        <v>1518</v>
      </c>
      <c r="B102" s="43" t="s">
        <v>40</v>
      </c>
      <c r="C102" s="353" t="str">
        <f t="shared" si="8"/>
        <v>Low Grade WRF</v>
      </c>
      <c r="D102" s="55" t="s">
        <v>26</v>
      </c>
      <c r="E102" s="44"/>
      <c r="F102" s="54"/>
      <c r="G102" s="29" t="s">
        <v>28</v>
      </c>
    </row>
    <row r="103" spans="1:7" x14ac:dyDescent="0.2">
      <c r="A103" s="37">
        <v>1519</v>
      </c>
      <c r="B103" s="43" t="s">
        <v>40</v>
      </c>
      <c r="C103" s="353" t="str">
        <f>D62</f>
        <v>MTI Reclaim Pond</v>
      </c>
      <c r="D103" s="53" t="s">
        <v>26</v>
      </c>
      <c r="E103" s="44"/>
      <c r="F103" s="54"/>
      <c r="G103" s="29" t="s">
        <v>28</v>
      </c>
    </row>
    <row r="104" spans="1:7" x14ac:dyDescent="0.2">
      <c r="A104" s="37">
        <v>1520</v>
      </c>
      <c r="B104" s="43" t="s">
        <v>40</v>
      </c>
      <c r="C104" s="353" t="str">
        <f>D63</f>
        <v>MTI  Top</v>
      </c>
      <c r="D104" s="53" t="s">
        <v>26</v>
      </c>
      <c r="E104" s="44"/>
      <c r="F104" s="54"/>
      <c r="G104" s="29" t="s">
        <v>28</v>
      </c>
    </row>
    <row r="105" spans="1:7" x14ac:dyDescent="0.2">
      <c r="A105" s="37">
        <v>1521</v>
      </c>
      <c r="B105" s="43" t="s">
        <v>40</v>
      </c>
      <c r="C105" s="353" t="str">
        <f>D64</f>
        <v>MTI  Outslope</v>
      </c>
      <c r="D105" s="53" t="s">
        <v>26</v>
      </c>
      <c r="E105" s="44"/>
      <c r="F105" s="54"/>
      <c r="G105" s="29" t="s">
        <v>28</v>
      </c>
    </row>
    <row r="106" spans="1:7" x14ac:dyDescent="0.2">
      <c r="A106" s="37">
        <v>1522</v>
      </c>
      <c r="B106" s="43" t="s">
        <v>40</v>
      </c>
      <c r="C106" s="353" t="str">
        <f>D65</f>
        <v>MTI  Top</v>
      </c>
      <c r="D106" s="53" t="s">
        <v>26</v>
      </c>
      <c r="E106" s="44"/>
      <c r="F106" s="54"/>
      <c r="G106" s="29" t="s">
        <v>28</v>
      </c>
    </row>
    <row r="107" spans="1:7" x14ac:dyDescent="0.2">
      <c r="A107" s="37">
        <v>1523</v>
      </c>
      <c r="B107" s="43" t="s">
        <v>40</v>
      </c>
      <c r="C107" s="353" t="str">
        <f>D66</f>
        <v>Tailing Pipeline Corridor</v>
      </c>
      <c r="D107" s="53" t="s">
        <v>26</v>
      </c>
      <c r="E107" s="44"/>
      <c r="F107" s="54"/>
      <c r="G107" s="29" t="s">
        <v>28</v>
      </c>
    </row>
    <row r="108" spans="1:7" x14ac:dyDescent="0.2">
      <c r="A108" s="37">
        <v>1524</v>
      </c>
      <c r="B108" s="43" t="s">
        <v>40</v>
      </c>
      <c r="C108" s="353" t="str">
        <f t="shared" ref="C108:C117" si="9">D25</f>
        <v>Grape Gulch Pond #3</v>
      </c>
      <c r="D108" s="53" t="s">
        <v>26</v>
      </c>
      <c r="E108" s="44"/>
      <c r="F108" s="54"/>
      <c r="G108" s="29" t="s">
        <v>28</v>
      </c>
    </row>
    <row r="109" spans="1:7" x14ac:dyDescent="0.2">
      <c r="A109" s="37">
        <v>1525</v>
      </c>
      <c r="B109" s="43" t="s">
        <v>40</v>
      </c>
      <c r="C109" s="353" t="str">
        <f t="shared" si="9"/>
        <v>Magnetite Seepage Pond</v>
      </c>
      <c r="D109" s="53" t="s">
        <v>26</v>
      </c>
      <c r="E109" s="44"/>
      <c r="F109" s="54"/>
      <c r="G109" s="29" t="s">
        <v>28</v>
      </c>
    </row>
    <row r="110" spans="1:7" x14ac:dyDescent="0.2">
      <c r="A110" s="37">
        <v>1526</v>
      </c>
      <c r="B110" s="43" t="s">
        <v>40</v>
      </c>
      <c r="C110" s="353" t="str">
        <f t="shared" si="9"/>
        <v>SWRF Dam 1</v>
      </c>
      <c r="D110" s="53" t="s">
        <v>26</v>
      </c>
      <c r="E110" s="44"/>
      <c r="F110" s="54"/>
      <c r="G110" s="29" t="s">
        <v>28</v>
      </c>
    </row>
    <row r="111" spans="1:7" x14ac:dyDescent="0.2">
      <c r="A111" s="37">
        <v>1527</v>
      </c>
      <c r="B111" s="43" t="s">
        <v>40</v>
      </c>
      <c r="C111" s="353" t="str">
        <f t="shared" si="9"/>
        <v>SWRF Dam 2</v>
      </c>
      <c r="D111" s="53" t="s">
        <v>26</v>
      </c>
      <c r="E111" s="44"/>
      <c r="F111" s="54"/>
      <c r="G111" s="29" t="s">
        <v>28</v>
      </c>
    </row>
    <row r="112" spans="1:7" x14ac:dyDescent="0.2">
      <c r="A112" s="37">
        <v>1528</v>
      </c>
      <c r="B112" s="43" t="s">
        <v>40</v>
      </c>
      <c r="C112" s="353" t="str">
        <f t="shared" si="9"/>
        <v>SWRF Dam 3</v>
      </c>
      <c r="D112" s="53" t="s">
        <v>26</v>
      </c>
      <c r="E112" s="44"/>
      <c r="F112" s="54"/>
      <c r="G112" s="29" t="s">
        <v>28</v>
      </c>
    </row>
    <row r="113" spans="1:7" x14ac:dyDescent="0.2">
      <c r="A113" s="37">
        <v>1529</v>
      </c>
      <c r="B113" s="43" t="s">
        <v>40</v>
      </c>
      <c r="C113" s="353" t="str">
        <f t="shared" si="9"/>
        <v>North Tailings Decant Pond</v>
      </c>
      <c r="D113" s="53" t="s">
        <v>26</v>
      </c>
      <c r="E113" s="44"/>
      <c r="F113" s="54"/>
      <c r="G113" s="29" t="s">
        <v>28</v>
      </c>
    </row>
    <row r="114" spans="1:7" x14ac:dyDescent="0.2">
      <c r="A114" s="37">
        <v>1530</v>
      </c>
      <c r="B114" s="43" t="s">
        <v>40</v>
      </c>
      <c r="C114" s="353" t="str">
        <f t="shared" si="9"/>
        <v>East WRF Containment</v>
      </c>
      <c r="D114" s="53" t="s">
        <v>26</v>
      </c>
      <c r="E114" s="44"/>
      <c r="F114" s="54"/>
      <c r="G114" s="29" t="s">
        <v>28</v>
      </c>
    </row>
    <row r="115" spans="1:7" x14ac:dyDescent="0.2">
      <c r="A115" s="37">
        <v>1531</v>
      </c>
      <c r="B115" s="43" t="s">
        <v>40</v>
      </c>
      <c r="C115" s="353" t="str">
        <f t="shared" si="9"/>
        <v xml:space="preserve">Blackman's Seep (Pond #2) </v>
      </c>
      <c r="D115" s="53" t="s">
        <v>26</v>
      </c>
      <c r="E115" s="44"/>
      <c r="F115" s="54"/>
      <c r="G115" s="29" t="s">
        <v>28</v>
      </c>
    </row>
    <row r="116" spans="1:7" x14ac:dyDescent="0.2">
      <c r="A116" s="37">
        <v>1532</v>
      </c>
      <c r="B116" s="43" t="s">
        <v>40</v>
      </c>
      <c r="C116" s="353" t="str">
        <f t="shared" si="9"/>
        <v>Decant Pond #4</v>
      </c>
      <c r="D116" s="53" t="s">
        <v>26</v>
      </c>
      <c r="E116" s="44"/>
      <c r="F116" s="54"/>
      <c r="G116" s="29" t="s">
        <v>28</v>
      </c>
    </row>
    <row r="117" spans="1:7" x14ac:dyDescent="0.2">
      <c r="A117" s="37">
        <v>1533</v>
      </c>
      <c r="B117" s="43" t="s">
        <v>40</v>
      </c>
      <c r="C117" s="353" t="str">
        <f t="shared" si="9"/>
        <v xml:space="preserve">Upper Creek Containment Pond 1 </v>
      </c>
      <c r="D117" s="53" t="s">
        <v>26</v>
      </c>
      <c r="E117" s="44"/>
      <c r="F117" s="54"/>
      <c r="G117" s="29" t="s">
        <v>28</v>
      </c>
    </row>
    <row r="118" spans="1:7" x14ac:dyDescent="0.2">
      <c r="A118" s="57">
        <v>1600</v>
      </c>
      <c r="B118" s="59" t="s">
        <v>42</v>
      </c>
      <c r="C118" s="323"/>
      <c r="E118" s="44"/>
      <c r="F118" s="54"/>
      <c r="G118" s="60" t="s">
        <v>43</v>
      </c>
    </row>
    <row r="119" spans="1:7" x14ac:dyDescent="0.2">
      <c r="A119" s="57">
        <v>1601</v>
      </c>
      <c r="B119" s="43" t="s">
        <v>44</v>
      </c>
      <c r="C119" s="323"/>
      <c r="E119" s="44"/>
      <c r="F119" s="54"/>
      <c r="G119" s="29" t="s">
        <v>39</v>
      </c>
    </row>
    <row r="120" spans="1:7" x14ac:dyDescent="0.2">
      <c r="A120" s="61"/>
      <c r="B120" s="3"/>
      <c r="C120" s="200"/>
      <c r="E120" s="44"/>
      <c r="F120" s="51"/>
      <c r="G120" s="29"/>
    </row>
    <row r="121" spans="1:7" x14ac:dyDescent="0.2">
      <c r="A121" s="61"/>
      <c r="B121" s="3" t="s">
        <v>401</v>
      </c>
      <c r="C121" s="200"/>
      <c r="E121" s="44"/>
      <c r="F121" s="51"/>
      <c r="G121" s="29"/>
    </row>
    <row r="122" spans="1:7" x14ac:dyDescent="0.2">
      <c r="A122" s="61"/>
      <c r="B122" s="43" t="s">
        <v>45</v>
      </c>
      <c r="C122" s="200"/>
      <c r="E122" s="44"/>
      <c r="F122" s="51"/>
      <c r="G122" s="29"/>
    </row>
    <row r="123" spans="1:7" x14ac:dyDescent="0.2">
      <c r="A123" s="61"/>
      <c r="B123" s="43"/>
      <c r="C123" s="200"/>
      <c r="E123" s="44"/>
      <c r="F123" s="51"/>
      <c r="G123" s="29"/>
    </row>
    <row r="124" spans="1:7" x14ac:dyDescent="0.2">
      <c r="A124" s="61"/>
      <c r="B124" s="43"/>
      <c r="C124" s="200"/>
      <c r="E124" s="44"/>
      <c r="F124" s="51"/>
      <c r="G124" s="29"/>
    </row>
    <row r="125" spans="1:7" x14ac:dyDescent="0.2">
      <c r="A125" s="61"/>
      <c r="B125" s="43"/>
      <c r="C125" s="324"/>
      <c r="D125" s="46"/>
      <c r="E125" s="44"/>
      <c r="F125" s="54"/>
      <c r="G125" s="29"/>
    </row>
    <row r="126" spans="1:7" x14ac:dyDescent="0.2">
      <c r="A126" s="61"/>
      <c r="B126" s="43"/>
      <c r="C126" s="324"/>
      <c r="D126" s="46"/>
      <c r="E126" s="44"/>
      <c r="F126" s="62"/>
      <c r="G126" s="29"/>
    </row>
    <row r="127" spans="1:7" x14ac:dyDescent="0.2">
      <c r="A127" s="61"/>
      <c r="B127" s="43"/>
      <c r="C127" s="324"/>
      <c r="D127" s="46"/>
      <c r="E127" s="44"/>
      <c r="F127" s="54"/>
      <c r="G127" s="29"/>
    </row>
    <row r="128" spans="1:7" x14ac:dyDescent="0.2">
      <c r="A128" s="61"/>
      <c r="B128" s="43"/>
      <c r="C128" s="324"/>
      <c r="D128" s="46"/>
      <c r="E128" s="44"/>
      <c r="F128" s="62"/>
      <c r="G128" s="29"/>
    </row>
    <row r="129" spans="1:7" x14ac:dyDescent="0.2">
      <c r="A129" s="61"/>
      <c r="B129" s="43"/>
      <c r="C129" s="324"/>
      <c r="D129" s="46"/>
      <c r="E129" s="44"/>
      <c r="F129" s="62"/>
      <c r="G129" s="29"/>
    </row>
    <row r="130" spans="1:7" x14ac:dyDescent="0.2">
      <c r="A130" s="61"/>
      <c r="B130" s="3"/>
      <c r="C130" s="200"/>
      <c r="E130" s="44"/>
      <c r="F130" s="54"/>
      <c r="G130" s="29"/>
    </row>
    <row r="131" spans="1:7" x14ac:dyDescent="0.2">
      <c r="A131" s="61"/>
      <c r="B131" s="3"/>
      <c r="C131" s="200"/>
      <c r="E131" s="44"/>
      <c r="F131" s="54"/>
      <c r="G131" s="29"/>
    </row>
    <row r="132" spans="1:7" x14ac:dyDescent="0.2">
      <c r="A132" s="61"/>
      <c r="B132" s="3"/>
      <c r="C132" s="200"/>
      <c r="E132" s="44"/>
      <c r="F132" s="54"/>
      <c r="G132" s="29"/>
    </row>
    <row r="133" spans="1:7" x14ac:dyDescent="0.2">
      <c r="A133" s="57"/>
      <c r="C133" s="451"/>
      <c r="E133" s="44"/>
      <c r="F133" s="54"/>
      <c r="G133" s="29"/>
    </row>
    <row r="134" spans="1:7" x14ac:dyDescent="0.2">
      <c r="A134" s="61"/>
      <c r="C134" s="451"/>
      <c r="E134" s="44"/>
      <c r="F134" s="62"/>
      <c r="G134" s="29"/>
    </row>
    <row r="135" spans="1:7" x14ac:dyDescent="0.2">
      <c r="A135" s="61"/>
      <c r="C135" s="451"/>
      <c r="E135" s="44"/>
      <c r="F135" s="45"/>
      <c r="G135" s="29"/>
    </row>
    <row r="136" spans="1:7" x14ac:dyDescent="0.2">
      <c r="A136" s="61"/>
      <c r="C136" s="451"/>
      <c r="E136" s="44"/>
      <c r="F136" s="62"/>
      <c r="G136" s="29"/>
    </row>
    <row r="137" spans="1:7" x14ac:dyDescent="0.2">
      <c r="A137" s="61"/>
      <c r="C137" s="451"/>
      <c r="E137" s="44"/>
      <c r="F137" s="54"/>
      <c r="G137" s="29"/>
    </row>
    <row r="138" spans="1:7" x14ac:dyDescent="0.2">
      <c r="A138" s="61"/>
      <c r="C138" s="451"/>
      <c r="E138" s="44"/>
      <c r="F138" s="45"/>
      <c r="G138" s="29"/>
    </row>
    <row r="139" spans="1:7" x14ac:dyDescent="0.2">
      <c r="A139" s="61"/>
      <c r="C139" s="451"/>
      <c r="E139" s="44"/>
      <c r="F139" s="45"/>
      <c r="G139" s="29"/>
    </row>
    <row r="140" spans="1:7" x14ac:dyDescent="0.2">
      <c r="A140" s="61"/>
      <c r="C140" s="451"/>
      <c r="E140" s="44"/>
      <c r="F140" s="54"/>
      <c r="G140" s="29"/>
    </row>
    <row r="141" spans="1:7" x14ac:dyDescent="0.2">
      <c r="A141" s="61"/>
      <c r="C141" s="451"/>
      <c r="E141" s="44"/>
      <c r="F141" s="62"/>
      <c r="G141" s="29"/>
    </row>
    <row r="142" spans="1:7" x14ac:dyDescent="0.2">
      <c r="A142" s="61"/>
      <c r="C142" s="451"/>
      <c r="E142" s="44"/>
      <c r="F142" s="45"/>
      <c r="G142" s="29"/>
    </row>
    <row r="143" spans="1:7" x14ac:dyDescent="0.2">
      <c r="A143" s="61"/>
      <c r="C143" s="451"/>
      <c r="E143" s="44"/>
      <c r="F143" s="62"/>
      <c r="G143" s="29"/>
    </row>
    <row r="144" spans="1:7" x14ac:dyDescent="0.2">
      <c r="A144" s="61"/>
      <c r="C144" s="451"/>
      <c r="E144" s="44"/>
      <c r="F144" s="45"/>
      <c r="G144" s="29"/>
    </row>
    <row r="145" spans="1:7" x14ac:dyDescent="0.2">
      <c r="A145" s="61"/>
      <c r="C145" s="451"/>
      <c r="E145" s="44"/>
      <c r="F145" s="45"/>
      <c r="G145" s="29"/>
    </row>
    <row r="146" spans="1:7" x14ac:dyDescent="0.2">
      <c r="A146" s="61"/>
      <c r="C146" s="451"/>
      <c r="E146" s="44"/>
      <c r="F146" s="45"/>
      <c r="G146" s="29"/>
    </row>
    <row r="147" spans="1:7" ht="18.75" x14ac:dyDescent="0.3">
      <c r="A147" s="56"/>
      <c r="C147" s="451"/>
    </row>
    <row r="148" spans="1:7" x14ac:dyDescent="0.2">
      <c r="A148" s="45"/>
      <c r="C148" s="451"/>
    </row>
    <row r="149" spans="1:7" ht="18.75" x14ac:dyDescent="0.3">
      <c r="A149" s="56"/>
      <c r="C149" s="451"/>
    </row>
    <row r="150" spans="1:7" x14ac:dyDescent="0.2">
      <c r="A150" s="45"/>
      <c r="C150" s="451"/>
    </row>
    <row r="151" spans="1:7" x14ac:dyDescent="0.2">
      <c r="A151" s="45"/>
      <c r="C151" s="451"/>
    </row>
    <row r="152" spans="1:7" x14ac:dyDescent="0.2">
      <c r="A152" s="63"/>
      <c r="C152" s="451"/>
    </row>
    <row r="153" spans="1:7" x14ac:dyDescent="0.2">
      <c r="A153" s="45"/>
      <c r="C153" s="451"/>
    </row>
    <row r="154" spans="1:7" x14ac:dyDescent="0.2">
      <c r="A154" s="45"/>
      <c r="C154" s="451"/>
    </row>
    <row r="155" spans="1:7" x14ac:dyDescent="0.2">
      <c r="A155" s="45"/>
      <c r="C155" s="451"/>
    </row>
    <row r="156" spans="1:7" x14ac:dyDescent="0.2">
      <c r="A156" s="45"/>
      <c r="C156" s="451"/>
    </row>
    <row r="157" spans="1:7" x14ac:dyDescent="0.2">
      <c r="A157" s="45"/>
      <c r="C157" s="451"/>
    </row>
    <row r="158" spans="1:7" x14ac:dyDescent="0.2">
      <c r="A158" s="45"/>
      <c r="C158" s="451"/>
    </row>
    <row r="159" spans="1:7" x14ac:dyDescent="0.2">
      <c r="A159" s="45"/>
      <c r="C159" s="451"/>
    </row>
    <row r="160" spans="1:7" x14ac:dyDescent="0.2">
      <c r="A160" s="45"/>
    </row>
    <row r="161" spans="1:1" x14ac:dyDescent="0.2">
      <c r="A161" s="45"/>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row r="172" spans="1:1" x14ac:dyDescent="0.2">
      <c r="A172" s="29"/>
    </row>
    <row r="173" spans="1:1" x14ac:dyDescent="0.2">
      <c r="A173" s="29"/>
    </row>
    <row r="174" spans="1:1" x14ac:dyDescent="0.2">
      <c r="A174" s="29"/>
    </row>
    <row r="175" spans="1:1" x14ac:dyDescent="0.2">
      <c r="A175" s="29"/>
    </row>
    <row r="176" spans="1:1" x14ac:dyDescent="0.2">
      <c r="A176" s="29"/>
    </row>
    <row r="177" spans="1:1" x14ac:dyDescent="0.2">
      <c r="A177" s="29"/>
    </row>
    <row r="178" spans="1:1" x14ac:dyDescent="0.2">
      <c r="A178" s="29"/>
    </row>
    <row r="179" spans="1:1" x14ac:dyDescent="0.2">
      <c r="A179" s="29"/>
    </row>
    <row r="180" spans="1:1" x14ac:dyDescent="0.2">
      <c r="A180" s="29"/>
    </row>
    <row r="181" spans="1:1" x14ac:dyDescent="0.2">
      <c r="A181" s="29"/>
    </row>
    <row r="182" spans="1:1" x14ac:dyDescent="0.2">
      <c r="A182" s="29"/>
    </row>
    <row r="183" spans="1:1" x14ac:dyDescent="0.2">
      <c r="A183" s="29"/>
    </row>
    <row r="184" spans="1:1" x14ac:dyDescent="0.2">
      <c r="A184" s="29"/>
    </row>
  </sheetData>
  <mergeCells count="1">
    <mergeCell ref="E5:E7"/>
  </mergeCells>
  <printOptions horizontalCentered="1"/>
  <pageMargins left="0.3" right="0.25" top="0.5" bottom="0.82" header="0.5" footer="0.5"/>
  <pageSetup paperSize="3" scale="58" orientation="portrait" r:id="rId1"/>
  <headerFooter alignWithMargins="0">
    <oddFooter>&amp;C&amp;F
&amp;   Stockpile Sheet 3 
&amp;
Page &amp;P of &amp;N</oddFooter>
  </headerFooter>
  <rowBreaks count="1" manualBreakCount="1">
    <brk id="14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3074" r:id="rId5" name="Button 2">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3075" r:id="rId6" name="Button 3">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3076" r:id="rId7" name="Button 4">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3077" r:id="rId8" name="Button 5">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3078" r:id="rId9" name="Button 6">
              <controlPr locked="0" defaultSize="0" autoFill="0" autoLine="0" autoPict="0">
                <anchor moveWithCells="1" sizeWithCells="1">
                  <from>
                    <xdr:col>0</xdr:col>
                    <xdr:colOff>0</xdr:colOff>
                    <xdr:row>113</xdr:row>
                    <xdr:rowOff>0</xdr:rowOff>
                  </from>
                  <to>
                    <xdr:col>0</xdr:col>
                    <xdr:colOff>0</xdr:colOff>
                    <xdr:row>113</xdr:row>
                    <xdr:rowOff>0</xdr:rowOff>
                  </to>
                </anchor>
              </controlPr>
            </control>
          </mc:Choice>
        </mc:AlternateContent>
        <mc:AlternateContent xmlns:mc="http://schemas.openxmlformats.org/markup-compatibility/2006">
          <mc:Choice Requires="x14">
            <control shapeId="3079" r:id="rId10" name="Button 7">
              <controlPr locked="0" defaultSize="0" autoFill="0" autoLine="0" autoPict="0">
                <anchor moveWithCells="1" sizeWithCells="1">
                  <from>
                    <xdr:col>0</xdr:col>
                    <xdr:colOff>0</xdr:colOff>
                    <xdr:row>113</xdr:row>
                    <xdr:rowOff>0</xdr:rowOff>
                  </from>
                  <to>
                    <xdr:col>0</xdr:col>
                    <xdr:colOff>0</xdr:colOff>
                    <xdr:row>113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U132"/>
  <sheetViews>
    <sheetView defaultGridColor="0" view="pageBreakPreview" colorId="22" zoomScale="55" zoomScaleNormal="70" zoomScaleSheetLayoutView="55" workbookViewId="0">
      <pane xSplit="4" ySplit="8" topLeftCell="E84" activePane="bottomRight" state="frozen"/>
      <selection activeCell="A16" sqref="A16"/>
      <selection pane="topRight" activeCell="A16" sqref="A16"/>
      <selection pane="bottomLeft" activeCell="A16" sqref="A16"/>
      <selection pane="bottomRight" activeCell="A16" sqref="A16"/>
    </sheetView>
  </sheetViews>
  <sheetFormatPr defaultColWidth="9.77734375" defaultRowHeight="15" x14ac:dyDescent="0.2"/>
  <cols>
    <col min="1" max="1" width="5.88671875" style="4" customWidth="1"/>
    <col min="2" max="2" width="20.21875" style="4" customWidth="1"/>
    <col min="3" max="3" width="59.21875" style="4" customWidth="1"/>
    <col min="4" max="4" width="41.21875" style="4" customWidth="1"/>
    <col min="5" max="5" width="7.44140625" style="4" bestFit="1" customWidth="1"/>
    <col min="6" max="6" width="6.5546875" style="4" bestFit="1" customWidth="1"/>
    <col min="7" max="7" width="14.21875" style="152" bestFit="1" customWidth="1"/>
    <col min="8" max="8" width="7" style="152" bestFit="1" customWidth="1"/>
    <col min="9" max="9" width="15.5546875" style="152" customWidth="1"/>
    <col min="10" max="10" width="10.77734375" style="4" customWidth="1"/>
    <col min="11" max="11" width="9.77734375" style="4"/>
    <col min="12" max="12" width="10.88671875" style="4" bestFit="1" customWidth="1"/>
    <col min="13" max="13" width="10.5546875" style="4" bestFit="1" customWidth="1"/>
    <col min="14" max="16384" width="9.77734375" style="4"/>
  </cols>
  <sheetData>
    <row r="1" spans="1:21" x14ac:dyDescent="0.2">
      <c r="I1" s="29" t="str">
        <f>'1 General'!C1</f>
        <v>Cobre</v>
      </c>
    </row>
    <row r="2" spans="1:21" ht="18" x14ac:dyDescent="0.25">
      <c r="A2" s="437"/>
      <c r="I2" s="29" t="s">
        <v>46</v>
      </c>
    </row>
    <row r="3" spans="1:21" x14ac:dyDescent="0.2">
      <c r="A3" s="6" t="s">
        <v>47</v>
      </c>
      <c r="B3" s="6"/>
      <c r="C3" s="1"/>
      <c r="D3" s="1"/>
      <c r="E3" s="1"/>
      <c r="I3" s="64">
        <f>'1 General'!$C$3</f>
        <v>41978</v>
      </c>
      <c r="J3" s="46"/>
      <c r="K3" s="46"/>
      <c r="L3" s="46"/>
      <c r="M3" s="46"/>
      <c r="N3" s="46"/>
      <c r="O3" s="46"/>
      <c r="P3" s="46"/>
      <c r="Q3" s="46"/>
      <c r="R3" s="46"/>
      <c r="S3" s="46"/>
      <c r="T3" s="46"/>
      <c r="U3" s="46"/>
    </row>
    <row r="4" spans="1:21" x14ac:dyDescent="0.2">
      <c r="J4" s="46"/>
      <c r="K4" s="46"/>
      <c r="L4" s="46"/>
      <c r="M4" s="46"/>
      <c r="N4" s="46"/>
      <c r="O4" s="46"/>
      <c r="P4" s="46"/>
      <c r="Q4" s="46"/>
      <c r="R4" s="46"/>
      <c r="S4" s="46"/>
      <c r="T4" s="46"/>
      <c r="U4" s="46"/>
    </row>
    <row r="5" spans="1:21" x14ac:dyDescent="0.2">
      <c r="B5" s="354"/>
      <c r="C5" s="354"/>
      <c r="D5" s="354"/>
      <c r="E5" s="354"/>
      <c r="F5" s="354" t="s">
        <v>48</v>
      </c>
      <c r="G5" s="354" t="s">
        <v>408</v>
      </c>
      <c r="H5" s="354" t="s">
        <v>49</v>
      </c>
      <c r="I5" s="354" t="s">
        <v>50</v>
      </c>
      <c r="J5" s="46"/>
      <c r="K5" s="46"/>
      <c r="L5" s="46"/>
      <c r="M5" s="46"/>
      <c r="N5" s="46"/>
      <c r="O5" s="46"/>
      <c r="P5" s="46"/>
      <c r="Q5" s="46"/>
      <c r="R5" s="46"/>
      <c r="S5" s="46"/>
      <c r="T5" s="46"/>
      <c r="U5" s="46"/>
    </row>
    <row r="6" spans="1:21" x14ac:dyDescent="0.2">
      <c r="A6" s="1"/>
      <c r="B6" s="355"/>
      <c r="C6" s="355" t="s">
        <v>20</v>
      </c>
      <c r="D6" s="355" t="s">
        <v>21</v>
      </c>
      <c r="E6" s="354" t="s">
        <v>51</v>
      </c>
      <c r="F6" s="354" t="s">
        <v>52</v>
      </c>
      <c r="G6" s="354" t="s">
        <v>53</v>
      </c>
      <c r="H6" s="354" t="s">
        <v>54</v>
      </c>
      <c r="I6" s="354" t="s">
        <v>53</v>
      </c>
      <c r="J6" s="46"/>
      <c r="K6" s="46"/>
      <c r="L6" s="46"/>
      <c r="M6" s="46"/>
      <c r="N6" s="46"/>
      <c r="O6" s="46"/>
      <c r="P6" s="46"/>
      <c r="Q6" s="46"/>
      <c r="R6" s="46"/>
      <c r="S6" s="46"/>
      <c r="T6" s="46"/>
      <c r="U6" s="46"/>
    </row>
    <row r="7" spans="1:21" x14ac:dyDescent="0.2">
      <c r="A7" s="14" t="s">
        <v>18</v>
      </c>
      <c r="B7" s="356" t="s">
        <v>19</v>
      </c>
      <c r="C7" s="356"/>
      <c r="D7" s="354"/>
      <c r="E7" s="357" t="s">
        <v>55</v>
      </c>
      <c r="F7" s="357" t="s">
        <v>56</v>
      </c>
      <c r="G7" s="357" t="s">
        <v>57</v>
      </c>
      <c r="H7" s="357" t="s">
        <v>25</v>
      </c>
      <c r="I7" s="357" t="s">
        <v>58</v>
      </c>
      <c r="J7" s="46"/>
      <c r="K7" s="46"/>
      <c r="L7" s="46"/>
      <c r="M7" s="46"/>
      <c r="N7" s="46"/>
      <c r="O7" s="46"/>
      <c r="P7" s="46"/>
      <c r="Q7" s="46"/>
      <c r="R7" s="46"/>
      <c r="S7" s="46"/>
      <c r="T7" s="46"/>
      <c r="U7" s="46"/>
    </row>
    <row r="8" spans="1:21" x14ac:dyDescent="0.2">
      <c r="A8" s="34"/>
      <c r="B8" s="34"/>
      <c r="C8" s="35"/>
      <c r="D8" s="35"/>
      <c r="E8" s="67"/>
      <c r="F8" s="67"/>
      <c r="G8" s="155"/>
      <c r="H8" s="155"/>
      <c r="I8" s="155"/>
      <c r="J8" s="46"/>
      <c r="K8" s="46"/>
      <c r="L8" s="46"/>
      <c r="M8" s="46"/>
      <c r="N8" s="46"/>
      <c r="O8" s="46"/>
      <c r="P8" s="46"/>
      <c r="Q8" s="46"/>
      <c r="R8" s="46"/>
      <c r="S8" s="46"/>
      <c r="T8" s="46"/>
      <c r="U8" s="46"/>
    </row>
    <row r="9" spans="1:21" ht="18.75" x14ac:dyDescent="0.3">
      <c r="A9" s="36"/>
      <c r="J9" s="46"/>
      <c r="K9" s="46"/>
      <c r="L9" s="46"/>
      <c r="M9" s="46"/>
      <c r="N9" s="46"/>
      <c r="O9" s="46"/>
      <c r="P9" s="46"/>
      <c r="Q9" s="46"/>
      <c r="R9" s="46"/>
      <c r="S9" s="46"/>
      <c r="T9" s="46"/>
      <c r="U9" s="46"/>
    </row>
    <row r="10" spans="1:21" x14ac:dyDescent="0.2">
      <c r="A10" s="37">
        <f>'3   Material'!A10</f>
        <v>1100</v>
      </c>
      <c r="B10" s="4" t="str">
        <f>'3   Material'!B10</f>
        <v>Regrade Top</v>
      </c>
      <c r="C10" s="38" t="str">
        <f>'3   Material'!C10</f>
        <v>SWRDF</v>
      </c>
      <c r="D10" s="4" t="s">
        <v>59</v>
      </c>
      <c r="E10" s="68"/>
      <c r="F10" s="44"/>
      <c r="G10" s="442">
        <f>Earthwork.xls!E13</f>
        <v>666680</v>
      </c>
      <c r="H10" s="438">
        <v>0</v>
      </c>
      <c r="I10" s="442">
        <f t="shared" ref="I10:I30" si="0">G10*(1+H10)</f>
        <v>666680</v>
      </c>
      <c r="J10" s="46"/>
      <c r="K10" s="46"/>
      <c r="L10" s="46"/>
      <c r="M10" s="46"/>
      <c r="N10" s="46"/>
      <c r="O10" s="46"/>
      <c r="P10" s="46"/>
      <c r="Q10" s="46"/>
      <c r="R10" s="46"/>
      <c r="S10" s="46"/>
      <c r="T10" s="46"/>
      <c r="U10" s="46"/>
    </row>
    <row r="11" spans="1:21" x14ac:dyDescent="0.2">
      <c r="A11" s="37">
        <f>'3   Material'!A11</f>
        <v>1101</v>
      </c>
      <c r="B11" s="4" t="str">
        <f>'3   Material'!B11</f>
        <v>Regrade Top</v>
      </c>
      <c r="C11" s="38" t="str">
        <f>'3   Material'!C11</f>
        <v xml:space="preserve">MTI </v>
      </c>
      <c r="D11" s="4" t="s">
        <v>59</v>
      </c>
      <c r="E11" s="68"/>
      <c r="F11" s="44"/>
      <c r="G11" s="442">
        <f>Earthwork.xls!E14</f>
        <v>50794.5</v>
      </c>
      <c r="H11" s="438">
        <v>0</v>
      </c>
      <c r="I11" s="442">
        <f>G11*(1+H11)</f>
        <v>50794.5</v>
      </c>
      <c r="J11" s="46"/>
      <c r="K11" s="46"/>
      <c r="L11" s="46"/>
      <c r="M11" s="46"/>
      <c r="N11" s="46"/>
      <c r="O11" s="46"/>
      <c r="P11" s="46"/>
      <c r="Q11" s="46"/>
      <c r="R11" s="46"/>
      <c r="S11" s="46"/>
      <c r="T11" s="46"/>
      <c r="U11" s="46"/>
    </row>
    <row r="12" spans="1:21" x14ac:dyDescent="0.2">
      <c r="A12" s="37">
        <f>'3   Material'!A12</f>
        <v>1102</v>
      </c>
      <c r="B12" s="4" t="str">
        <f>'3   Material'!B12</f>
        <v>Regrade Outslope</v>
      </c>
      <c r="C12" s="38" t="str">
        <f>'3   Material'!C12</f>
        <v xml:space="preserve">MTI Reclaim Pond </v>
      </c>
      <c r="D12" s="4" t="s">
        <v>446</v>
      </c>
      <c r="E12" s="68"/>
      <c r="F12" s="44"/>
      <c r="G12" s="442">
        <f>Earthwork.xls!E15</f>
        <v>67765</v>
      </c>
      <c r="H12" s="438">
        <v>0</v>
      </c>
      <c r="I12" s="442">
        <f t="shared" si="0"/>
        <v>67765</v>
      </c>
      <c r="J12" s="46"/>
      <c r="K12" s="46"/>
      <c r="L12" s="46"/>
      <c r="M12" s="46"/>
      <c r="N12" s="46"/>
      <c r="O12" s="46"/>
      <c r="P12" s="46"/>
      <c r="Q12" s="46"/>
      <c r="R12" s="46"/>
      <c r="S12" s="46"/>
      <c r="T12" s="46"/>
      <c r="U12" s="46"/>
    </row>
    <row r="13" spans="1:21" x14ac:dyDescent="0.2">
      <c r="A13" s="37">
        <f>'3   Material'!A13</f>
        <v>1103</v>
      </c>
      <c r="B13" s="4" t="str">
        <f>'3   Material'!B13</f>
        <v>Regrade Outslope</v>
      </c>
      <c r="C13" s="38" t="str">
        <f>'3   Material'!C13</f>
        <v xml:space="preserve">MTI </v>
      </c>
      <c r="D13" s="4" t="s">
        <v>445</v>
      </c>
      <c r="E13" s="68"/>
      <c r="F13" s="44"/>
      <c r="G13" s="442">
        <f>Earthwork.xls!E16</f>
        <v>170294</v>
      </c>
      <c r="H13" s="438">
        <v>0</v>
      </c>
      <c r="I13" s="442">
        <f>G13*(1+H13)</f>
        <v>170294</v>
      </c>
      <c r="J13" s="46"/>
      <c r="K13" s="46"/>
      <c r="L13" s="46"/>
      <c r="M13" s="46"/>
      <c r="N13" s="46"/>
      <c r="O13" s="46"/>
      <c r="P13" s="46"/>
      <c r="Q13" s="46"/>
      <c r="R13" s="46"/>
      <c r="S13" s="46"/>
      <c r="T13" s="46"/>
      <c r="U13" s="46"/>
    </row>
    <row r="14" spans="1:21" x14ac:dyDescent="0.2">
      <c r="A14" s="37">
        <f>'3   Material'!A14</f>
        <v>1104</v>
      </c>
      <c r="B14" s="4" t="str">
        <f>'3   Material'!B14</f>
        <v>Dozer Assist</v>
      </c>
      <c r="C14" s="38" t="str">
        <f>'3   Material'!C14</f>
        <v>OB Stockpile 1 through 4, Topsoil Stockpile, South OB Stockpile</v>
      </c>
      <c r="D14" s="38" t="str">
        <f>'3   Material'!D14</f>
        <v xml:space="preserve">SWRDF Top </v>
      </c>
      <c r="E14" s="68"/>
      <c r="F14" s="44"/>
      <c r="G14" s="442">
        <f t="shared" ref="G14:G20" si="1">G35</f>
        <v>412368.00000000006</v>
      </c>
      <c r="H14" s="438">
        <v>0</v>
      </c>
      <c r="I14" s="442">
        <f t="shared" si="0"/>
        <v>412368.00000000006</v>
      </c>
      <c r="J14" s="46"/>
      <c r="K14" s="46"/>
      <c r="L14" s="46"/>
      <c r="M14" s="46"/>
      <c r="N14" s="46"/>
      <c r="O14" s="46"/>
      <c r="P14" s="46"/>
      <c r="Q14" s="46"/>
      <c r="R14" s="46"/>
      <c r="S14" s="46"/>
      <c r="T14" s="46"/>
      <c r="U14" s="46"/>
    </row>
    <row r="15" spans="1:21" x14ac:dyDescent="0.2">
      <c r="A15" s="37">
        <f>'3   Material'!A15</f>
        <v>1105</v>
      </c>
      <c r="B15" s="4" t="str">
        <f>'3   Material'!B15</f>
        <v>Dozer Assist</v>
      </c>
      <c r="C15" s="38" t="str">
        <f>'3   Material'!C15</f>
        <v>OB Stockpile 1 through 4, Topsoil Stockpile, South OB Stockpile</v>
      </c>
      <c r="D15" s="38" t="str">
        <f>'3   Material'!D15</f>
        <v>SWRDF Outslopes</v>
      </c>
      <c r="E15" s="68"/>
      <c r="F15" s="44"/>
      <c r="G15" s="442">
        <f t="shared" si="1"/>
        <v>1237104.0000000002</v>
      </c>
      <c r="H15" s="438">
        <v>0</v>
      </c>
      <c r="I15" s="442">
        <f t="shared" si="0"/>
        <v>1237104.0000000002</v>
      </c>
      <c r="J15" s="46"/>
      <c r="K15" s="46"/>
      <c r="L15" s="46"/>
      <c r="M15" s="46"/>
      <c r="N15" s="46"/>
      <c r="O15" s="46"/>
      <c r="P15" s="46"/>
      <c r="Q15" s="46"/>
      <c r="R15" s="46"/>
      <c r="S15" s="46"/>
      <c r="T15" s="46"/>
      <c r="U15" s="46"/>
    </row>
    <row r="16" spans="1:21" x14ac:dyDescent="0.2">
      <c r="A16" s="37">
        <f>'3   Material'!A16</f>
        <v>1106</v>
      </c>
      <c r="B16" s="4" t="str">
        <f>'3   Material'!B16</f>
        <v>Dozer Assist</v>
      </c>
      <c r="C16" s="38" t="str">
        <f>'3   Material'!C16</f>
        <v>NOBS</v>
      </c>
      <c r="D16" s="38" t="str">
        <f>'3   Material'!D16</f>
        <v xml:space="preserve">SWRDF Top </v>
      </c>
      <c r="E16" s="68"/>
      <c r="F16" s="44"/>
      <c r="G16" s="442">
        <f t="shared" si="1"/>
        <v>119547.99999999999</v>
      </c>
      <c r="H16" s="438">
        <v>0</v>
      </c>
      <c r="I16" s="442">
        <f>G16*(1+H16)</f>
        <v>119547.99999999999</v>
      </c>
      <c r="J16" s="46"/>
      <c r="K16" s="46"/>
      <c r="L16" s="46"/>
      <c r="M16" s="46"/>
      <c r="N16" s="46"/>
      <c r="O16" s="46"/>
      <c r="P16" s="46"/>
      <c r="Q16" s="46"/>
      <c r="R16" s="46"/>
      <c r="S16" s="46"/>
      <c r="T16" s="46"/>
      <c r="U16" s="46"/>
    </row>
    <row r="17" spans="1:21" x14ac:dyDescent="0.2">
      <c r="A17" s="37">
        <f>'3   Material'!A17</f>
        <v>1107</v>
      </c>
      <c r="B17" s="4" t="str">
        <f>'3   Material'!B17</f>
        <v>Dozer Assist</v>
      </c>
      <c r="C17" s="38" t="str">
        <f>'3   Material'!C17</f>
        <v>NOBS</v>
      </c>
      <c r="D17" s="38" t="str">
        <f>'3   Material'!D17</f>
        <v>Hanover Mountain Deposit</v>
      </c>
      <c r="E17" s="68"/>
      <c r="F17" s="44"/>
      <c r="G17" s="442">
        <f t="shared" si="1"/>
        <v>451571.99999999994</v>
      </c>
      <c r="H17" s="438">
        <v>0</v>
      </c>
      <c r="I17" s="442">
        <f>G17*(1+H17)</f>
        <v>451571.99999999994</v>
      </c>
      <c r="J17" s="46"/>
      <c r="K17" s="46"/>
      <c r="L17" s="46"/>
      <c r="M17" s="46"/>
      <c r="N17" s="46"/>
      <c r="O17" s="46"/>
      <c r="P17" s="46"/>
      <c r="Q17" s="46"/>
      <c r="R17" s="46"/>
      <c r="S17" s="46"/>
      <c r="T17" s="46"/>
      <c r="U17" s="46"/>
    </row>
    <row r="18" spans="1:21" x14ac:dyDescent="0.2">
      <c r="A18" s="37">
        <f>'3   Material'!A18</f>
        <v>1108</v>
      </c>
      <c r="B18" s="4" t="str">
        <f>'3   Material'!B18</f>
        <v>Dozer Assist</v>
      </c>
      <c r="C18" s="38" t="str">
        <f>'3   Material'!C18</f>
        <v>OB Stockpile 1 through 3, Topsoil Stockpile, South OB Stockpile</v>
      </c>
      <c r="D18" s="38" t="str">
        <f>'3   Material'!D18</f>
        <v>Pearson-Barnes Mine Area</v>
      </c>
      <c r="E18" s="68"/>
      <c r="F18" s="44"/>
      <c r="G18" s="442">
        <f t="shared" si="1"/>
        <v>57596.000000000007</v>
      </c>
      <c r="H18" s="438">
        <v>0</v>
      </c>
      <c r="I18" s="442">
        <f>G18*(1+H18)</f>
        <v>57596.000000000007</v>
      </c>
      <c r="J18" s="46"/>
      <c r="K18" s="46"/>
      <c r="L18" s="46"/>
      <c r="M18" s="46"/>
      <c r="N18" s="46"/>
      <c r="O18" s="46"/>
      <c r="P18" s="46"/>
      <c r="Q18" s="46"/>
      <c r="R18" s="46"/>
      <c r="S18" s="46"/>
      <c r="T18" s="46"/>
      <c r="U18" s="46"/>
    </row>
    <row r="19" spans="1:21" x14ac:dyDescent="0.2">
      <c r="A19" s="37">
        <f>'3   Material'!A19</f>
        <v>1109</v>
      </c>
      <c r="B19" s="4" t="str">
        <f>'3   Material'!B19</f>
        <v>Dozer Assist</v>
      </c>
      <c r="C19" s="38" t="str">
        <f>'3   Material'!C19</f>
        <v>OB-4 Stockpile</v>
      </c>
      <c r="D19" s="38" t="str">
        <f>'3   Material'!D19</f>
        <v>Low Grade WRF</v>
      </c>
      <c r="E19" s="68"/>
      <c r="F19" s="44"/>
      <c r="G19" s="442">
        <f t="shared" si="1"/>
        <v>44899.066666666658</v>
      </c>
      <c r="H19" s="438">
        <v>0</v>
      </c>
      <c r="I19" s="442">
        <f t="shared" si="0"/>
        <v>44899.066666666658</v>
      </c>
      <c r="J19" s="46"/>
      <c r="K19" s="46"/>
      <c r="L19" s="46"/>
      <c r="M19" s="46"/>
      <c r="N19" s="46"/>
      <c r="O19" s="46"/>
      <c r="P19" s="46"/>
      <c r="Q19" s="46"/>
      <c r="R19" s="46"/>
      <c r="S19" s="46"/>
      <c r="T19" s="46"/>
      <c r="U19" s="46"/>
    </row>
    <row r="20" spans="1:21" x14ac:dyDescent="0.2">
      <c r="A20" s="37">
        <f>'3   Material'!A20</f>
        <v>1110</v>
      </c>
      <c r="B20" s="4" t="str">
        <f>'3   Material'!B20</f>
        <v>Dozer Assist</v>
      </c>
      <c r="C20" s="38" t="str">
        <f>'3   Material'!C20</f>
        <v>NOBS</v>
      </c>
      <c r="D20" s="38" t="str">
        <f>'3   Material'!D20</f>
        <v>MTI Reclaim Pond</v>
      </c>
      <c r="E20" s="68"/>
      <c r="F20" s="44"/>
      <c r="G20" s="442">
        <f t="shared" si="1"/>
        <v>159720</v>
      </c>
      <c r="H20" s="438">
        <v>0</v>
      </c>
      <c r="I20" s="442">
        <f t="shared" si="0"/>
        <v>159720</v>
      </c>
      <c r="J20" s="46"/>
      <c r="K20" s="46"/>
      <c r="L20" s="46"/>
      <c r="M20" s="46"/>
      <c r="N20" s="46"/>
      <c r="O20" s="46"/>
      <c r="P20" s="46"/>
      <c r="Q20" s="46"/>
      <c r="R20" s="46"/>
      <c r="S20" s="46"/>
      <c r="T20" s="46"/>
      <c r="U20" s="46"/>
    </row>
    <row r="21" spans="1:21" x14ac:dyDescent="0.2">
      <c r="A21" s="37">
        <f>'3   Material'!A21</f>
        <v>1111</v>
      </c>
      <c r="B21" s="4" t="str">
        <f>'3   Material'!B21</f>
        <v>Dozer Assist</v>
      </c>
      <c r="C21" s="38" t="str">
        <f>'3   Material'!C21</f>
        <v>NOBS</v>
      </c>
      <c r="D21" s="38" t="str">
        <f>'3   Material'!D21</f>
        <v>MTI  Top</v>
      </c>
      <c r="E21" s="68"/>
      <c r="F21" s="44"/>
      <c r="G21" s="442">
        <f>G42</f>
        <v>190284.10000000003</v>
      </c>
      <c r="H21" s="438">
        <v>0</v>
      </c>
      <c r="I21" s="442">
        <f t="shared" si="0"/>
        <v>190284.10000000003</v>
      </c>
      <c r="J21" s="46"/>
      <c r="K21" s="46"/>
      <c r="L21" s="46"/>
      <c r="M21" s="46"/>
      <c r="N21" s="46"/>
      <c r="O21" s="46"/>
      <c r="P21" s="46"/>
      <c r="Q21" s="46"/>
      <c r="R21" s="46"/>
      <c r="S21" s="46"/>
      <c r="T21" s="46"/>
      <c r="U21" s="46"/>
    </row>
    <row r="22" spans="1:21" x14ac:dyDescent="0.2">
      <c r="A22" s="37">
        <f>'3   Material'!A22</f>
        <v>1112</v>
      </c>
      <c r="B22" s="4" t="str">
        <f>'3   Material'!B22</f>
        <v>Dozer Assist</v>
      </c>
      <c r="C22" s="38" t="str">
        <f>'3   Material'!C22</f>
        <v>NOBS</v>
      </c>
      <c r="D22" s="38" t="str">
        <f>'3   Material'!D22</f>
        <v>MTI  Outslope</v>
      </c>
      <c r="E22" s="68"/>
      <c r="F22" s="44"/>
      <c r="G22" s="442">
        <f>G43</f>
        <v>175837.19999999998</v>
      </c>
      <c r="H22" s="438">
        <v>0</v>
      </c>
      <c r="I22" s="442">
        <f>G22*(1+H22)</f>
        <v>175837.19999999998</v>
      </c>
      <c r="J22" s="46"/>
      <c r="K22" s="46"/>
      <c r="L22" s="46"/>
      <c r="M22" s="46"/>
      <c r="N22" s="46"/>
      <c r="O22" s="46"/>
      <c r="P22" s="46"/>
      <c r="Q22" s="46"/>
      <c r="R22" s="46"/>
      <c r="S22" s="46"/>
      <c r="T22" s="46"/>
      <c r="U22" s="46"/>
    </row>
    <row r="23" spans="1:21" x14ac:dyDescent="0.2">
      <c r="A23" s="37">
        <f>'3   Material'!A23</f>
        <v>1113</v>
      </c>
      <c r="B23" s="4" t="str">
        <f>'3   Material'!B23</f>
        <v>Dozer Assist</v>
      </c>
      <c r="C23" s="38" t="str">
        <f>'3   Material'!C23</f>
        <v>Reclaim Pond Outlet Channel</v>
      </c>
      <c r="D23" s="38" t="str">
        <f>'3   Material'!D23</f>
        <v>MTI  Top</v>
      </c>
      <c r="E23" s="68"/>
      <c r="F23" s="44"/>
      <c r="G23" s="442">
        <f>Earthwork.xls!E17</f>
        <v>62226</v>
      </c>
      <c r="H23" s="438">
        <v>0.15</v>
      </c>
      <c r="I23" s="442">
        <f t="shared" si="0"/>
        <v>71559.899999999994</v>
      </c>
      <c r="J23" s="46"/>
      <c r="K23" s="46"/>
      <c r="L23" s="46"/>
      <c r="M23" s="46"/>
      <c r="N23" s="46"/>
      <c r="O23" s="46"/>
      <c r="P23" s="46"/>
      <c r="Q23" s="46"/>
      <c r="R23" s="46"/>
      <c r="S23" s="46"/>
      <c r="T23" s="46"/>
      <c r="U23" s="46"/>
    </row>
    <row r="24" spans="1:21" x14ac:dyDescent="0.2">
      <c r="A24" s="37">
        <f>'3   Material'!A24</f>
        <v>1114</v>
      </c>
      <c r="B24" s="4" t="str">
        <f>'3   Material'!B24</f>
        <v>Dozer Assist</v>
      </c>
      <c r="C24" s="38" t="str">
        <f>'3   Material'!C24</f>
        <v>NOBS</v>
      </c>
      <c r="D24" s="38" t="str">
        <f>'3   Material'!D24</f>
        <v>Tailing Pipeline Corridor</v>
      </c>
      <c r="E24" s="68"/>
      <c r="F24" s="44"/>
      <c r="G24" s="442">
        <f t="shared" ref="G24:G34" si="2">G45</f>
        <v>6998.64</v>
      </c>
      <c r="H24" s="438">
        <v>0</v>
      </c>
      <c r="I24" s="442">
        <f>G24*(1+H24)</f>
        <v>6998.64</v>
      </c>
      <c r="J24" s="46"/>
      <c r="K24" s="46"/>
      <c r="L24" s="46"/>
      <c r="M24" s="46"/>
      <c r="N24" s="46"/>
      <c r="O24" s="46"/>
      <c r="P24" s="46"/>
      <c r="Q24" s="46"/>
      <c r="R24" s="46"/>
      <c r="S24" s="46"/>
      <c r="T24" s="46"/>
      <c r="U24" s="46"/>
    </row>
    <row r="25" spans="1:21" x14ac:dyDescent="0.2">
      <c r="A25" s="37">
        <f>'3   Material'!A25</f>
        <v>1115</v>
      </c>
      <c r="B25" s="4" t="str">
        <f>'3   Material'!B25</f>
        <v>Dozer Assist</v>
      </c>
      <c r="C25" s="38" t="str">
        <f>'3   Material'!C25</f>
        <v>NOBS</v>
      </c>
      <c r="D25" s="38" t="str">
        <f>'3   Material'!D25</f>
        <v>Grape Gulch Pond #3</v>
      </c>
      <c r="E25" s="68"/>
      <c r="F25" s="44"/>
      <c r="G25" s="442">
        <f t="shared" si="2"/>
        <v>1839.1999999999998</v>
      </c>
      <c r="H25" s="438">
        <v>0</v>
      </c>
      <c r="I25" s="442">
        <f t="shared" si="0"/>
        <v>1839.1999999999998</v>
      </c>
      <c r="J25" s="46"/>
      <c r="K25" s="46"/>
      <c r="L25" s="46"/>
      <c r="M25" s="46"/>
      <c r="N25" s="46"/>
      <c r="O25" s="46"/>
      <c r="P25" s="46"/>
      <c r="Q25" s="46"/>
      <c r="R25" s="46"/>
      <c r="S25" s="46"/>
      <c r="T25" s="46"/>
      <c r="U25" s="46"/>
    </row>
    <row r="26" spans="1:21" x14ac:dyDescent="0.2">
      <c r="A26" s="37">
        <f>'3   Material'!A26</f>
        <v>1116</v>
      </c>
      <c r="B26" s="4" t="str">
        <f>'3   Material'!B26</f>
        <v>Dozer Assist</v>
      </c>
      <c r="C26" s="38" t="str">
        <f>'3   Material'!C26</f>
        <v>NOBS</v>
      </c>
      <c r="D26" s="38" t="str">
        <f>'3   Material'!D26</f>
        <v>Magnetite Seepage Pond</v>
      </c>
      <c r="E26" s="68"/>
      <c r="F26" s="44"/>
      <c r="G26" s="442">
        <f t="shared" si="2"/>
        <v>968</v>
      </c>
      <c r="H26" s="438">
        <v>0</v>
      </c>
      <c r="I26" s="442">
        <f t="shared" si="0"/>
        <v>968</v>
      </c>
      <c r="J26" s="46"/>
      <c r="K26" s="46"/>
      <c r="L26" s="46"/>
      <c r="M26" s="46"/>
      <c r="N26" s="46"/>
      <c r="O26" s="46"/>
      <c r="P26" s="46"/>
      <c r="Q26" s="46"/>
      <c r="R26" s="46"/>
      <c r="S26" s="46"/>
      <c r="T26" s="46"/>
      <c r="U26" s="46"/>
    </row>
    <row r="27" spans="1:21" x14ac:dyDescent="0.2">
      <c r="A27" s="37">
        <f>'3   Material'!A27</f>
        <v>1117</v>
      </c>
      <c r="B27" s="4" t="str">
        <f>'3   Material'!B27</f>
        <v>Dozer Assist</v>
      </c>
      <c r="C27" s="38" t="str">
        <f>'3   Material'!C27</f>
        <v>OB Stockpile 1 through 3, Topsoil Stockpile, South OB Stockpile</v>
      </c>
      <c r="D27" s="38" t="str">
        <f>'3   Material'!D27</f>
        <v>SWRF Dam 1</v>
      </c>
      <c r="E27" s="358"/>
      <c r="F27" s="358"/>
      <c r="G27" s="358">
        <f t="shared" si="2"/>
        <v>2516.7999999999997</v>
      </c>
      <c r="H27" s="359">
        <v>0</v>
      </c>
      <c r="I27" s="358">
        <f t="shared" si="0"/>
        <v>2516.7999999999997</v>
      </c>
      <c r="J27" s="46"/>
      <c r="K27" s="46"/>
      <c r="L27" s="46"/>
      <c r="M27" s="46"/>
      <c r="N27" s="46"/>
      <c r="O27" s="46"/>
      <c r="P27" s="46"/>
      <c r="Q27" s="46"/>
      <c r="R27" s="46"/>
      <c r="S27" s="46"/>
      <c r="T27" s="46"/>
      <c r="U27" s="46"/>
    </row>
    <row r="28" spans="1:21" x14ac:dyDescent="0.2">
      <c r="A28" s="37">
        <f>'3   Material'!A28</f>
        <v>1118</v>
      </c>
      <c r="B28" s="4" t="str">
        <f>'3   Material'!B28</f>
        <v>Dozer Assist</v>
      </c>
      <c r="C28" s="38" t="str">
        <f>'3   Material'!C28</f>
        <v>OB Stockpile 1 through 3, Topsoil Stockpile, South OB Stockpile</v>
      </c>
      <c r="D28" s="38" t="str">
        <f>'3   Material'!D28</f>
        <v>SWRF Dam 2</v>
      </c>
      <c r="E28" s="358"/>
      <c r="F28" s="358"/>
      <c r="G28" s="358">
        <f t="shared" si="2"/>
        <v>1645.6000000000001</v>
      </c>
      <c r="H28" s="359">
        <v>0</v>
      </c>
      <c r="I28" s="358">
        <f t="shared" si="0"/>
        <v>1645.6000000000001</v>
      </c>
      <c r="J28" s="46"/>
      <c r="K28" s="46"/>
      <c r="L28" s="46"/>
      <c r="M28" s="46"/>
      <c r="N28" s="46"/>
      <c r="O28" s="46"/>
      <c r="P28" s="46"/>
      <c r="Q28" s="46"/>
      <c r="R28" s="46"/>
      <c r="S28" s="46"/>
      <c r="T28" s="46"/>
      <c r="U28" s="46"/>
    </row>
    <row r="29" spans="1:21" x14ac:dyDescent="0.2">
      <c r="A29" s="37">
        <f>'3   Material'!A29</f>
        <v>1119</v>
      </c>
      <c r="B29" s="4" t="str">
        <f>'3   Material'!B29</f>
        <v>Dozer Assist</v>
      </c>
      <c r="C29" s="38" t="str">
        <f>'3   Material'!C29</f>
        <v>OB Stockpile 1 through 3, Topsoil Stockpile, South OB Stockpile</v>
      </c>
      <c r="D29" s="38" t="str">
        <f>'3   Material'!D29</f>
        <v>SWRF Dam 3</v>
      </c>
      <c r="E29" s="358"/>
      <c r="F29" s="358"/>
      <c r="G29" s="358">
        <f t="shared" si="2"/>
        <v>4065.6</v>
      </c>
      <c r="H29" s="359">
        <v>0</v>
      </c>
      <c r="I29" s="358">
        <f t="shared" si="0"/>
        <v>4065.6</v>
      </c>
      <c r="J29" s="46"/>
      <c r="K29" s="46"/>
      <c r="L29" s="46"/>
      <c r="M29" s="46"/>
      <c r="N29" s="46"/>
      <c r="O29" s="46"/>
      <c r="P29" s="46"/>
      <c r="Q29" s="46"/>
      <c r="R29" s="46"/>
      <c r="S29" s="46"/>
      <c r="T29" s="46"/>
      <c r="U29" s="46"/>
    </row>
    <row r="30" spans="1:21" x14ac:dyDescent="0.2">
      <c r="A30" s="37">
        <f>'3   Material'!A30</f>
        <v>1120</v>
      </c>
      <c r="B30" s="4" t="str">
        <f>'3   Material'!B30</f>
        <v>Dozer Assist</v>
      </c>
      <c r="C30" s="38" t="str">
        <f>'3   Material'!C30</f>
        <v>OB-4 Stockpile</v>
      </c>
      <c r="D30" s="38" t="str">
        <f>'3   Material'!D30</f>
        <v>North Tailings Decant Pond</v>
      </c>
      <c r="E30" s="358"/>
      <c r="F30" s="358"/>
      <c r="G30" s="358">
        <f t="shared" si="2"/>
        <v>2226.4</v>
      </c>
      <c r="H30" s="359">
        <v>0</v>
      </c>
      <c r="I30" s="358">
        <f t="shared" si="0"/>
        <v>2226.4</v>
      </c>
      <c r="J30" s="46"/>
      <c r="K30" s="46"/>
      <c r="L30" s="46"/>
      <c r="M30" s="46"/>
      <c r="N30" s="46"/>
      <c r="O30" s="46"/>
      <c r="P30" s="46"/>
      <c r="Q30" s="46"/>
      <c r="R30" s="46"/>
      <c r="S30" s="46"/>
      <c r="T30" s="46"/>
      <c r="U30" s="46"/>
    </row>
    <row r="31" spans="1:21" x14ac:dyDescent="0.2">
      <c r="A31" s="37">
        <f>'3   Material'!A31</f>
        <v>1121</v>
      </c>
      <c r="B31" s="4" t="str">
        <f>'3   Material'!B31</f>
        <v>Dozer Assist</v>
      </c>
      <c r="C31" s="38" t="str">
        <f>'3   Material'!C31</f>
        <v>OB-4 Stockpile</v>
      </c>
      <c r="D31" s="38" t="str">
        <f>'3   Material'!D31</f>
        <v>East WRF Containment</v>
      </c>
      <c r="E31" s="358"/>
      <c r="F31" s="358"/>
      <c r="G31" s="358">
        <f t="shared" si="2"/>
        <v>2420</v>
      </c>
      <c r="H31" s="359">
        <v>0</v>
      </c>
      <c r="I31" s="358">
        <f>G31*(1+H31)</f>
        <v>2420</v>
      </c>
      <c r="J31" s="46"/>
      <c r="K31" s="46"/>
      <c r="L31" s="46"/>
      <c r="M31" s="46"/>
      <c r="N31" s="46"/>
      <c r="O31" s="46"/>
      <c r="P31" s="46"/>
      <c r="Q31" s="46"/>
      <c r="R31" s="46"/>
      <c r="S31" s="46"/>
      <c r="T31" s="46"/>
      <c r="U31" s="46"/>
    </row>
    <row r="32" spans="1:21" x14ac:dyDescent="0.2">
      <c r="A32" s="37">
        <f>'3   Material'!A32</f>
        <v>1122</v>
      </c>
      <c r="B32" s="4" t="str">
        <f>'3   Material'!B32</f>
        <v>Dozer Assist</v>
      </c>
      <c r="C32" s="38" t="str">
        <f>'3   Material'!C32</f>
        <v>NOBS</v>
      </c>
      <c r="D32" s="38" t="str">
        <f>'3   Material'!D32</f>
        <v xml:space="preserve">Blackman's Seep (Pond #2) </v>
      </c>
      <c r="E32" s="358"/>
      <c r="F32" s="358"/>
      <c r="G32" s="358">
        <f t="shared" si="2"/>
        <v>48.4</v>
      </c>
      <c r="H32" s="359">
        <v>0</v>
      </c>
      <c r="I32" s="358">
        <f>G32*(1+H32)</f>
        <v>48.4</v>
      </c>
      <c r="J32" s="46"/>
      <c r="K32" s="46"/>
      <c r="L32" s="46"/>
      <c r="M32" s="46"/>
      <c r="N32" s="46"/>
      <c r="O32" s="46"/>
      <c r="P32" s="46"/>
      <c r="Q32" s="46"/>
      <c r="R32" s="46"/>
      <c r="S32" s="46"/>
      <c r="T32" s="46"/>
      <c r="U32" s="46"/>
    </row>
    <row r="33" spans="1:21" x14ac:dyDescent="0.2">
      <c r="A33" s="37">
        <f>'3   Material'!A33</f>
        <v>1123</v>
      </c>
      <c r="B33" s="4" t="str">
        <f>'3   Material'!B33</f>
        <v>Dozer Assist</v>
      </c>
      <c r="C33" s="38" t="str">
        <f>'3   Material'!C33</f>
        <v>OB-4 Stockpile</v>
      </c>
      <c r="D33" s="38" t="str">
        <f>'3   Material'!D33</f>
        <v>Decant Pond #4</v>
      </c>
      <c r="E33" s="358"/>
      <c r="F33" s="358"/>
      <c r="G33" s="358">
        <f t="shared" si="2"/>
        <v>3000.8</v>
      </c>
      <c r="H33" s="359">
        <v>0</v>
      </c>
      <c r="I33" s="358">
        <f>G33*(1+H33)</f>
        <v>3000.8</v>
      </c>
      <c r="J33" s="46"/>
      <c r="K33" s="46"/>
      <c r="L33" s="46"/>
      <c r="M33" s="46"/>
      <c r="N33" s="46"/>
      <c r="O33" s="46"/>
      <c r="P33" s="46"/>
      <c r="Q33" s="46"/>
      <c r="R33" s="46"/>
      <c r="S33" s="46"/>
      <c r="T33" s="46"/>
      <c r="U33" s="46"/>
    </row>
    <row r="34" spans="1:21" x14ac:dyDescent="0.2">
      <c r="A34" s="37">
        <f>'3   Material'!A34</f>
        <v>1124</v>
      </c>
      <c r="B34" s="4" t="str">
        <f>'3   Material'!B34</f>
        <v>Dozer Assist</v>
      </c>
      <c r="C34" s="38" t="str">
        <f>'3   Material'!C34</f>
        <v>NOBS</v>
      </c>
      <c r="D34" s="38" t="str">
        <f>'3   Material'!D34</f>
        <v xml:space="preserve">Upper Creek Containment Pond 1 </v>
      </c>
      <c r="E34" s="358"/>
      <c r="F34" s="358"/>
      <c r="G34" s="358">
        <f t="shared" si="2"/>
        <v>5469.1999999999989</v>
      </c>
      <c r="H34" s="359">
        <v>0</v>
      </c>
      <c r="I34" s="358">
        <f>G34*(1+H34)</f>
        <v>5469.1999999999989</v>
      </c>
      <c r="J34" s="46"/>
      <c r="K34" s="46"/>
      <c r="L34" s="46"/>
      <c r="M34" s="46"/>
      <c r="N34" s="46"/>
      <c r="O34" s="46"/>
      <c r="P34" s="46"/>
      <c r="Q34" s="46"/>
      <c r="R34" s="46"/>
      <c r="S34" s="46"/>
      <c r="T34" s="46"/>
      <c r="U34" s="46"/>
    </row>
    <row r="35" spans="1:21" x14ac:dyDescent="0.2">
      <c r="A35" s="37">
        <f>'3   Material'!A35</f>
        <v>1200</v>
      </c>
      <c r="B35" s="3" t="str">
        <f>'3   Material'!B35</f>
        <v>Load cover soil</v>
      </c>
      <c r="C35" s="3" t="str">
        <f>'3   Material'!C35</f>
        <v>OB Stockpile 1 through 4, Topsoil Stockpile, South OB Stockpile</v>
      </c>
      <c r="D35" s="3" t="str">
        <f>'3   Material'!D35</f>
        <v xml:space="preserve">SWRDF Top </v>
      </c>
      <c r="E35" s="361">
        <f>'14   Reveg'!C11</f>
        <v>85.2</v>
      </c>
      <c r="F35" s="361">
        <v>36</v>
      </c>
      <c r="G35" s="362">
        <f t="shared" ref="G35:G40" si="3">E35*F35/12*43560/27</f>
        <v>412368.00000000006</v>
      </c>
      <c r="H35" s="359">
        <v>0</v>
      </c>
      <c r="I35" s="362">
        <f t="shared" ref="I35:I50" si="4">G35*(1+H35)</f>
        <v>412368.00000000006</v>
      </c>
      <c r="J35" s="39"/>
      <c r="K35" s="39"/>
      <c r="L35" s="46"/>
      <c r="M35" s="46"/>
      <c r="N35" s="46"/>
      <c r="O35" s="46"/>
      <c r="P35" s="46"/>
      <c r="Q35" s="46"/>
      <c r="R35" s="39"/>
      <c r="S35" s="46"/>
      <c r="T35" s="46"/>
      <c r="U35" s="46"/>
    </row>
    <row r="36" spans="1:21" x14ac:dyDescent="0.2">
      <c r="A36" s="37">
        <f>'3   Material'!A36</f>
        <v>1201</v>
      </c>
      <c r="B36" s="3" t="str">
        <f>'3   Material'!B36</f>
        <v>Load cover soil</v>
      </c>
      <c r="C36" s="3" t="str">
        <f>'3   Material'!C36</f>
        <v>OB Stockpile 1 through 4, Topsoil Stockpile, South OB Stockpile</v>
      </c>
      <c r="D36" s="3" t="str">
        <f>'3   Material'!D36</f>
        <v>SWRDF Outslopes</v>
      </c>
      <c r="E36" s="361">
        <f>'14   Reveg'!C12</f>
        <v>255.6</v>
      </c>
      <c r="F36" s="361">
        <v>36</v>
      </c>
      <c r="G36" s="362">
        <f t="shared" si="3"/>
        <v>1237104.0000000002</v>
      </c>
      <c r="H36" s="359">
        <v>0</v>
      </c>
      <c r="I36" s="362">
        <f t="shared" si="4"/>
        <v>1237104.0000000002</v>
      </c>
      <c r="J36" s="39"/>
      <c r="K36" s="39"/>
      <c r="L36" s="46"/>
      <c r="M36" s="46"/>
      <c r="N36" s="39"/>
      <c r="O36" s="46"/>
      <c r="P36" s="46"/>
      <c r="Q36" s="46"/>
      <c r="R36" s="46"/>
      <c r="S36" s="46"/>
      <c r="T36" s="46"/>
      <c r="U36" s="46"/>
    </row>
    <row r="37" spans="1:21" x14ac:dyDescent="0.2">
      <c r="A37" s="37">
        <f>'3   Material'!A37</f>
        <v>1202</v>
      </c>
      <c r="B37" s="3" t="str">
        <f>'3   Material'!B37</f>
        <v>Load cover soil</v>
      </c>
      <c r="C37" s="3" t="str">
        <f>'3   Material'!C37</f>
        <v>NOBS</v>
      </c>
      <c r="D37" s="3" t="str">
        <f>'3   Material'!D37</f>
        <v xml:space="preserve">SWRDF Top </v>
      </c>
      <c r="E37" s="361">
        <f>'14   Reveg'!C13</f>
        <v>24.7</v>
      </c>
      <c r="F37" s="361">
        <v>36</v>
      </c>
      <c r="G37" s="362">
        <f>E37*F37/12*43560/27</f>
        <v>119547.99999999999</v>
      </c>
      <c r="H37" s="359">
        <v>0</v>
      </c>
      <c r="I37" s="362">
        <f t="shared" si="4"/>
        <v>119547.99999999999</v>
      </c>
      <c r="J37" s="39"/>
      <c r="K37" s="39"/>
      <c r="L37" s="46"/>
      <c r="M37" s="46"/>
      <c r="N37" s="46"/>
      <c r="O37" s="46"/>
      <c r="P37" s="46"/>
      <c r="Q37" s="46"/>
      <c r="R37" s="39"/>
      <c r="S37" s="46"/>
      <c r="T37" s="46"/>
      <c r="U37" s="46"/>
    </row>
    <row r="38" spans="1:21" x14ac:dyDescent="0.2">
      <c r="A38" s="37">
        <f>'3   Material'!A38</f>
        <v>1203</v>
      </c>
      <c r="B38" s="3" t="str">
        <f>'3   Material'!B38</f>
        <v>Load cover soil</v>
      </c>
      <c r="C38" s="3" t="str">
        <f>'3   Material'!C38</f>
        <v>NOBS</v>
      </c>
      <c r="D38" s="3" t="str">
        <f>'3   Material'!D38</f>
        <v>Hanover Mountain Deposit</v>
      </c>
      <c r="E38" s="361">
        <f>'14   Reveg'!C14</f>
        <v>93.3</v>
      </c>
      <c r="F38" s="361">
        <v>36</v>
      </c>
      <c r="G38" s="362">
        <f t="shared" si="3"/>
        <v>451571.99999999994</v>
      </c>
      <c r="H38" s="359">
        <v>0</v>
      </c>
      <c r="I38" s="362">
        <f t="shared" si="4"/>
        <v>451571.99999999994</v>
      </c>
      <c r="J38" s="39"/>
      <c r="K38" s="39"/>
      <c r="L38" s="46"/>
      <c r="M38" s="46"/>
      <c r="N38" s="39"/>
      <c r="O38" s="46"/>
      <c r="P38" s="46"/>
      <c r="Q38" s="46"/>
      <c r="R38" s="46"/>
      <c r="S38" s="46"/>
      <c r="T38" s="46"/>
      <c r="U38" s="46"/>
    </row>
    <row r="39" spans="1:21" x14ac:dyDescent="0.2">
      <c r="A39" s="37">
        <f>'3   Material'!A39</f>
        <v>1204</v>
      </c>
      <c r="B39" s="3" t="str">
        <f>'3   Material'!B39</f>
        <v>Load cover soil</v>
      </c>
      <c r="C39" s="3" t="str">
        <f>'3   Material'!C39</f>
        <v>OB Stockpile 1 through 3, Topsoil Stockpile, South OB Stockpile</v>
      </c>
      <c r="D39" s="3" t="str">
        <f>'3   Material'!D39</f>
        <v>Pearson-Barnes Mine Area</v>
      </c>
      <c r="E39" s="361">
        <f>'14   Reveg'!C15</f>
        <v>11.9</v>
      </c>
      <c r="F39" s="361">
        <v>36</v>
      </c>
      <c r="G39" s="362">
        <f>E39*F39/12*43560/27</f>
        <v>57596.000000000007</v>
      </c>
      <c r="H39" s="359">
        <v>0</v>
      </c>
      <c r="I39" s="362">
        <f>G39*(1+H39)</f>
        <v>57596.000000000007</v>
      </c>
      <c r="J39" s="39"/>
      <c r="K39" s="39"/>
      <c r="L39" s="46"/>
      <c r="M39" s="46"/>
      <c r="N39" s="39"/>
      <c r="O39" s="46"/>
      <c r="P39" s="46"/>
      <c r="Q39" s="46"/>
      <c r="R39" s="46"/>
      <c r="S39" s="46"/>
      <c r="T39" s="46"/>
      <c r="U39" s="46"/>
    </row>
    <row r="40" spans="1:21" x14ac:dyDescent="0.2">
      <c r="A40" s="37">
        <f>'3   Material'!A40</f>
        <v>1205</v>
      </c>
      <c r="B40" s="3" t="str">
        <f>'3   Material'!B40</f>
        <v>Load cover soil</v>
      </c>
      <c r="C40" s="3" t="str">
        <f>'3   Material'!C40</f>
        <v>OB-4 Stockpile</v>
      </c>
      <c r="D40" s="3" t="str">
        <f>'3   Material'!D40</f>
        <v>Low Grade WRF</v>
      </c>
      <c r="E40" s="361">
        <f>'14   Reveg'!C16</f>
        <v>27.83</v>
      </c>
      <c r="F40" s="361">
        <v>12</v>
      </c>
      <c r="G40" s="362">
        <f t="shared" si="3"/>
        <v>44899.066666666658</v>
      </c>
      <c r="H40" s="359">
        <v>0</v>
      </c>
      <c r="I40" s="362">
        <f t="shared" si="4"/>
        <v>44899.066666666658</v>
      </c>
      <c r="J40" s="39"/>
      <c r="K40" s="39"/>
      <c r="L40" s="46"/>
      <c r="M40" s="46"/>
      <c r="N40" s="39"/>
      <c r="O40" s="46"/>
      <c r="P40" s="46"/>
      <c r="Q40" s="46"/>
      <c r="R40" s="46"/>
      <c r="S40" s="46"/>
      <c r="T40" s="46"/>
      <c r="U40" s="46"/>
    </row>
    <row r="41" spans="1:21" x14ac:dyDescent="0.2">
      <c r="A41" s="37">
        <f>'3   Material'!A41</f>
        <v>1206</v>
      </c>
      <c r="B41" s="4" t="str">
        <f>'3   Material'!B41</f>
        <v>Load cover soil</v>
      </c>
      <c r="C41" s="4" t="str">
        <f>'3   Material'!C41</f>
        <v>NOBS</v>
      </c>
      <c r="D41" s="3" t="str">
        <f>'3   Material'!D41</f>
        <v>MTI Reclaim Pond</v>
      </c>
      <c r="E41" s="361">
        <f>'14   Reveg'!C17</f>
        <v>33</v>
      </c>
      <c r="F41" s="363">
        <v>36</v>
      </c>
      <c r="G41" s="358">
        <f t="shared" ref="G41:G50" si="5">E41*F41/12*43560/27</f>
        <v>159720</v>
      </c>
      <c r="H41" s="359">
        <v>0</v>
      </c>
      <c r="I41" s="358">
        <f t="shared" si="4"/>
        <v>159720</v>
      </c>
      <c r="J41" s="39"/>
      <c r="K41" s="39"/>
      <c r="L41" s="46"/>
      <c r="M41" s="46"/>
      <c r="N41" s="39"/>
      <c r="O41" s="46"/>
      <c r="P41" s="46"/>
      <c r="Q41" s="46"/>
      <c r="R41" s="46"/>
      <c r="S41" s="46"/>
      <c r="T41" s="46"/>
      <c r="U41" s="46"/>
    </row>
    <row r="42" spans="1:21" x14ac:dyDescent="0.2">
      <c r="A42" s="37">
        <f>'3   Material'!A42</f>
        <v>1207</v>
      </c>
      <c r="B42" s="4" t="str">
        <f>'3   Material'!B42</f>
        <v>Load cover soil</v>
      </c>
      <c r="C42" s="4" t="str">
        <f>'3   Material'!C42</f>
        <v>NOBS</v>
      </c>
      <c r="D42" s="42" t="str">
        <f>'3   Material'!D42</f>
        <v>MTI  Top</v>
      </c>
      <c r="E42" s="361">
        <f>'14   Reveg'!C19</f>
        <v>108.2</v>
      </c>
      <c r="F42" s="448">
        <v>18</v>
      </c>
      <c r="G42" s="358">
        <f>E42*F42/12*43560/27-I44</f>
        <v>190284.10000000003</v>
      </c>
      <c r="H42" s="359">
        <v>0</v>
      </c>
      <c r="I42" s="358">
        <f t="shared" si="4"/>
        <v>190284.10000000003</v>
      </c>
      <c r="J42" s="458" t="s">
        <v>455</v>
      </c>
      <c r="K42" s="39"/>
      <c r="L42" s="46"/>
      <c r="M42" s="46"/>
      <c r="N42" s="39"/>
      <c r="O42" s="46"/>
      <c r="P42" s="46"/>
      <c r="Q42" s="46"/>
      <c r="R42" s="46"/>
      <c r="S42" s="46"/>
      <c r="T42" s="46"/>
      <c r="U42" s="46"/>
    </row>
    <row r="43" spans="1:21" x14ac:dyDescent="0.2">
      <c r="A43" s="37">
        <f>'3   Material'!A43</f>
        <v>1208</v>
      </c>
      <c r="B43" s="4" t="str">
        <f>'3   Material'!B43</f>
        <v>Load cover soil</v>
      </c>
      <c r="C43" s="4" t="str">
        <f>'3   Material'!C43</f>
        <v>NOBS</v>
      </c>
      <c r="D43" s="3" t="str">
        <f>'3   Material'!D43</f>
        <v>MTI  Outslope</v>
      </c>
      <c r="E43" s="361">
        <f>'14   Reveg'!C18</f>
        <v>36.33</v>
      </c>
      <c r="F43" s="363">
        <v>36</v>
      </c>
      <c r="G43" s="358">
        <f>E43*F43/12*43560/27</f>
        <v>175837.19999999998</v>
      </c>
      <c r="H43" s="359">
        <v>0</v>
      </c>
      <c r="I43" s="358">
        <f>G43*(1+H43)</f>
        <v>175837.19999999998</v>
      </c>
      <c r="J43" s="39"/>
      <c r="K43" s="39"/>
      <c r="L43" s="46"/>
      <c r="M43" s="46"/>
      <c r="N43" s="39"/>
      <c r="O43" s="46"/>
      <c r="P43" s="46"/>
      <c r="Q43" s="46"/>
      <c r="R43" s="46"/>
      <c r="S43" s="46"/>
      <c r="T43" s="46"/>
      <c r="U43" s="46"/>
    </row>
    <row r="44" spans="1:21" x14ac:dyDescent="0.2">
      <c r="A44" s="37">
        <f>'3   Material'!A44</f>
        <v>1209</v>
      </c>
      <c r="B44" s="4" t="str">
        <f>'3   Material'!B44</f>
        <v>Load cover soil</v>
      </c>
      <c r="C44" s="4" t="str">
        <f>'3   Material'!C44</f>
        <v>Reclaim Pond Outlet Channel</v>
      </c>
      <c r="D44" s="3" t="str">
        <f>'3   Material'!D44</f>
        <v>MTI  Top</v>
      </c>
      <c r="E44" s="447" t="s">
        <v>26</v>
      </c>
      <c r="F44" s="448" t="s">
        <v>26</v>
      </c>
      <c r="G44" s="358">
        <f>G23</f>
        <v>62226</v>
      </c>
      <c r="H44" s="359">
        <v>0.15</v>
      </c>
      <c r="I44" s="358">
        <f t="shared" si="4"/>
        <v>71559.899999999994</v>
      </c>
      <c r="J44" s="39"/>
      <c r="K44" s="39"/>
      <c r="L44" s="46"/>
      <c r="M44" s="46"/>
      <c r="N44" s="39"/>
      <c r="O44" s="46"/>
      <c r="P44" s="46"/>
      <c r="Q44" s="46"/>
      <c r="R44" s="46"/>
      <c r="S44" s="46"/>
      <c r="T44" s="46"/>
      <c r="U44" s="46"/>
    </row>
    <row r="45" spans="1:21" x14ac:dyDescent="0.2">
      <c r="A45" s="37">
        <f>'3   Material'!A45</f>
        <v>1210</v>
      </c>
      <c r="B45" s="4" t="str">
        <f>'3   Material'!B45</f>
        <v>Load cover soil</v>
      </c>
      <c r="C45" s="4" t="str">
        <f>'3   Material'!C45</f>
        <v>NOBS</v>
      </c>
      <c r="D45" s="3" t="str">
        <f>'3   Material'!D45</f>
        <v>Tailing Pipeline Corridor</v>
      </c>
      <c r="E45" s="360">
        <f>'14   Reveg'!C20</f>
        <v>1.446</v>
      </c>
      <c r="F45" s="363">
        <v>36</v>
      </c>
      <c r="G45" s="358">
        <f>E45*F45/12*43560/27</f>
        <v>6998.64</v>
      </c>
      <c r="H45" s="359">
        <v>0</v>
      </c>
      <c r="I45" s="358">
        <f>G45*(1+H45)</f>
        <v>6998.64</v>
      </c>
      <c r="J45" s="39"/>
      <c r="K45" s="39"/>
      <c r="L45" s="46"/>
      <c r="M45" s="46"/>
      <c r="N45" s="39"/>
      <c r="O45" s="46"/>
      <c r="P45" s="46"/>
      <c r="Q45" s="46"/>
      <c r="R45" s="46"/>
      <c r="S45" s="46"/>
      <c r="T45" s="46"/>
      <c r="U45" s="46"/>
    </row>
    <row r="46" spans="1:21" x14ac:dyDescent="0.2">
      <c r="A46" s="37">
        <f>'3   Material'!A46</f>
        <v>1211</v>
      </c>
      <c r="B46" s="4" t="str">
        <f>'3   Material'!B46</f>
        <v>Load cover soil</v>
      </c>
      <c r="C46" s="4" t="str">
        <f>'3   Material'!C46</f>
        <v>NOBS</v>
      </c>
      <c r="D46" s="3" t="str">
        <f>'3   Material'!D46</f>
        <v>Grape Gulch Pond #3</v>
      </c>
      <c r="E46" s="360">
        <f>'14   Reveg'!C27</f>
        <v>0.38</v>
      </c>
      <c r="F46" s="363">
        <v>36</v>
      </c>
      <c r="G46" s="358">
        <f t="shared" si="5"/>
        <v>1839.1999999999998</v>
      </c>
      <c r="H46" s="359">
        <v>0</v>
      </c>
      <c r="I46" s="358">
        <f t="shared" si="4"/>
        <v>1839.1999999999998</v>
      </c>
      <c r="J46" s="39"/>
      <c r="K46" s="39"/>
      <c r="L46" s="46"/>
      <c r="M46" s="46"/>
      <c r="N46" s="39"/>
      <c r="O46" s="46"/>
      <c r="P46" s="46"/>
      <c r="Q46" s="46"/>
      <c r="R46" s="46"/>
      <c r="S46" s="46"/>
      <c r="T46" s="46"/>
      <c r="U46" s="46"/>
    </row>
    <row r="47" spans="1:21" x14ac:dyDescent="0.2">
      <c r="A47" s="37">
        <f>'3   Material'!A47</f>
        <v>1212</v>
      </c>
      <c r="B47" s="4" t="str">
        <f>'3   Material'!B47</f>
        <v>Load cover soil</v>
      </c>
      <c r="C47" s="4" t="str">
        <f>'3   Material'!C47</f>
        <v>NOBS</v>
      </c>
      <c r="D47" s="3" t="str">
        <f>'3   Material'!D47</f>
        <v>Magnetite Seepage Pond</v>
      </c>
      <c r="E47" s="360">
        <f>'14   Reveg'!C28</f>
        <v>0.2</v>
      </c>
      <c r="F47" s="363">
        <v>36</v>
      </c>
      <c r="G47" s="358">
        <f t="shared" si="5"/>
        <v>968</v>
      </c>
      <c r="H47" s="359">
        <v>0</v>
      </c>
      <c r="I47" s="358">
        <f t="shared" si="4"/>
        <v>968</v>
      </c>
      <c r="J47" s="39"/>
      <c r="K47" s="39"/>
      <c r="L47" s="46"/>
      <c r="M47" s="46"/>
      <c r="N47" s="39"/>
      <c r="O47" s="46"/>
      <c r="P47" s="46"/>
      <c r="Q47" s="46"/>
      <c r="R47" s="46"/>
      <c r="S47" s="46"/>
      <c r="T47" s="46"/>
      <c r="U47" s="46"/>
    </row>
    <row r="48" spans="1:21" x14ac:dyDescent="0.2">
      <c r="A48" s="37">
        <f>'3   Material'!A48</f>
        <v>1213</v>
      </c>
      <c r="B48" s="4" t="str">
        <f>'3   Material'!B48</f>
        <v>Load cover soil</v>
      </c>
      <c r="C48" s="4" t="str">
        <f>'3   Material'!C48</f>
        <v>OB Stockpile 1 through 3, Topsoil Stockpile, South OB Stockpile</v>
      </c>
      <c r="D48" s="3" t="str">
        <f>'3   Material'!D48</f>
        <v>SWRF Dam 1</v>
      </c>
      <c r="E48" s="360">
        <f>'14   Reveg'!C29</f>
        <v>0.52</v>
      </c>
      <c r="F48" s="363">
        <v>36</v>
      </c>
      <c r="G48" s="358">
        <f t="shared" si="5"/>
        <v>2516.7999999999997</v>
      </c>
      <c r="H48" s="359">
        <v>0</v>
      </c>
      <c r="I48" s="358">
        <f t="shared" si="4"/>
        <v>2516.7999999999997</v>
      </c>
      <c r="J48" s="39"/>
      <c r="K48" s="39"/>
      <c r="L48" s="46"/>
      <c r="M48" s="46"/>
      <c r="N48" s="39"/>
      <c r="O48" s="46"/>
      <c r="P48" s="46"/>
      <c r="Q48" s="46"/>
      <c r="R48" s="46"/>
      <c r="S48" s="46"/>
      <c r="T48" s="46"/>
      <c r="U48" s="46"/>
    </row>
    <row r="49" spans="1:21" x14ac:dyDescent="0.2">
      <c r="A49" s="37">
        <f>'3   Material'!A49</f>
        <v>1214</v>
      </c>
      <c r="B49" s="4" t="str">
        <f>'3   Material'!B49</f>
        <v>Load cover soil</v>
      </c>
      <c r="C49" s="4" t="str">
        <f>'3   Material'!C49</f>
        <v>OB Stockpile 1 through 3, Topsoil Stockpile, South OB Stockpile</v>
      </c>
      <c r="D49" s="3" t="str">
        <f>'3   Material'!D49</f>
        <v>SWRF Dam 2</v>
      </c>
      <c r="E49" s="360">
        <f>'14   Reveg'!C30</f>
        <v>0.34</v>
      </c>
      <c r="F49" s="363">
        <v>36</v>
      </c>
      <c r="G49" s="358">
        <f t="shared" si="5"/>
        <v>1645.6000000000001</v>
      </c>
      <c r="H49" s="359">
        <v>0</v>
      </c>
      <c r="I49" s="358">
        <f t="shared" si="4"/>
        <v>1645.6000000000001</v>
      </c>
      <c r="J49" s="39"/>
      <c r="K49" s="39"/>
      <c r="L49" s="46"/>
      <c r="M49" s="46"/>
      <c r="N49" s="39"/>
      <c r="O49" s="46"/>
      <c r="P49" s="46"/>
      <c r="Q49" s="46"/>
      <c r="R49" s="46"/>
      <c r="S49" s="46"/>
      <c r="T49" s="46"/>
      <c r="U49" s="46"/>
    </row>
    <row r="50" spans="1:21" x14ac:dyDescent="0.2">
      <c r="A50" s="37">
        <f>'3   Material'!A50</f>
        <v>1215</v>
      </c>
      <c r="B50" s="4" t="str">
        <f>'3   Material'!B50</f>
        <v>Load cover soil</v>
      </c>
      <c r="C50" s="4" t="str">
        <f>'3   Material'!C50</f>
        <v>OB Stockpile 1 through 3, Topsoil Stockpile, South OB Stockpile</v>
      </c>
      <c r="D50" s="3" t="str">
        <f>'3   Material'!D50</f>
        <v>SWRF Dam 3</v>
      </c>
      <c r="E50" s="360">
        <f>'14   Reveg'!C31</f>
        <v>0.84</v>
      </c>
      <c r="F50" s="363">
        <v>36</v>
      </c>
      <c r="G50" s="358">
        <f t="shared" si="5"/>
        <v>4065.6</v>
      </c>
      <c r="H50" s="359">
        <v>0</v>
      </c>
      <c r="I50" s="358">
        <f t="shared" si="4"/>
        <v>4065.6</v>
      </c>
      <c r="J50" s="39"/>
      <c r="K50" s="39"/>
      <c r="L50" s="46"/>
      <c r="M50" s="46"/>
      <c r="N50" s="39"/>
      <c r="O50" s="46"/>
      <c r="P50" s="46"/>
      <c r="Q50" s="46"/>
      <c r="R50" s="46"/>
      <c r="S50" s="46"/>
      <c r="T50" s="46"/>
      <c r="U50" s="46"/>
    </row>
    <row r="51" spans="1:21" s="3" customFormat="1" x14ac:dyDescent="0.2">
      <c r="A51" s="37">
        <f>'3   Material'!A51</f>
        <v>1216</v>
      </c>
      <c r="B51" s="4" t="str">
        <f>'3   Material'!B51</f>
        <v>Load cover soil</v>
      </c>
      <c r="C51" s="4" t="str">
        <f>'3   Material'!C51</f>
        <v>OB-4 Stockpile</v>
      </c>
      <c r="D51" s="4" t="str">
        <f>'3   Material'!D51</f>
        <v>North Tailings Decant Pond</v>
      </c>
      <c r="E51" s="364">
        <f>'14   Reveg'!C32</f>
        <v>0.46</v>
      </c>
      <c r="F51" s="363">
        <v>36</v>
      </c>
      <c r="G51" s="358">
        <f>E51*F51/12*43560/27</f>
        <v>2226.4</v>
      </c>
      <c r="H51" s="359">
        <v>0</v>
      </c>
      <c r="I51" s="358">
        <f>G51*(1+H51)</f>
        <v>2226.4</v>
      </c>
      <c r="J51" s="70"/>
      <c r="K51" s="70"/>
      <c r="L51" s="43"/>
      <c r="M51" s="43"/>
      <c r="N51" s="43"/>
      <c r="O51" s="43"/>
      <c r="P51" s="43"/>
      <c r="Q51" s="43"/>
      <c r="R51" s="43"/>
      <c r="S51" s="43"/>
      <c r="T51" s="43"/>
      <c r="U51" s="43"/>
    </row>
    <row r="52" spans="1:21" s="3" customFormat="1" x14ac:dyDescent="0.2">
      <c r="A52" s="37">
        <f>'3   Material'!A52</f>
        <v>1217</v>
      </c>
      <c r="B52" s="4" t="str">
        <f>'3   Material'!B52</f>
        <v>Load cover soil</v>
      </c>
      <c r="C52" s="4" t="str">
        <f>'3   Material'!C52</f>
        <v>OB-4 Stockpile</v>
      </c>
      <c r="D52" s="4" t="str">
        <f>'3   Material'!D52</f>
        <v>East WRF Containment</v>
      </c>
      <c r="E52" s="364">
        <f>'14   Reveg'!C33</f>
        <v>0.5</v>
      </c>
      <c r="F52" s="363">
        <v>36</v>
      </c>
      <c r="G52" s="358">
        <f>E52*F52/12*43560/27</f>
        <v>2420</v>
      </c>
      <c r="H52" s="359">
        <v>0</v>
      </c>
      <c r="I52" s="358">
        <f>G52*(1+H52)</f>
        <v>2420</v>
      </c>
      <c r="J52" s="70"/>
      <c r="K52" s="70"/>
      <c r="L52" s="43"/>
      <c r="M52" s="43"/>
      <c r="N52" s="43"/>
      <c r="O52" s="43"/>
      <c r="P52" s="43"/>
      <c r="Q52" s="43"/>
      <c r="R52" s="43"/>
      <c r="S52" s="43"/>
      <c r="T52" s="43"/>
      <c r="U52" s="43"/>
    </row>
    <row r="53" spans="1:21" s="3" customFormat="1" x14ac:dyDescent="0.2">
      <c r="A53" s="37">
        <f>'3   Material'!A53</f>
        <v>1218</v>
      </c>
      <c r="B53" s="4" t="str">
        <f>'3   Material'!B53</f>
        <v>Load cover soil</v>
      </c>
      <c r="C53" s="4" t="str">
        <f>'3   Material'!C53</f>
        <v>NOBS</v>
      </c>
      <c r="D53" s="4" t="str">
        <f>'3   Material'!D53</f>
        <v xml:space="preserve">Blackman's Seep (Pond #2) </v>
      </c>
      <c r="E53" s="364">
        <f>'14   Reveg'!C34</f>
        <v>0.01</v>
      </c>
      <c r="F53" s="363">
        <v>36</v>
      </c>
      <c r="G53" s="358">
        <f>E53*F53/12*43560/27</f>
        <v>48.4</v>
      </c>
      <c r="H53" s="359">
        <v>0</v>
      </c>
      <c r="I53" s="358">
        <f>G53*(1+H53)</f>
        <v>48.4</v>
      </c>
      <c r="J53" s="70"/>
      <c r="K53" s="70"/>
      <c r="L53" s="43"/>
      <c r="M53" s="43"/>
      <c r="N53" s="43"/>
      <c r="O53" s="43"/>
      <c r="P53" s="43"/>
      <c r="Q53" s="43"/>
      <c r="R53" s="43"/>
      <c r="S53" s="43"/>
      <c r="T53" s="43"/>
      <c r="U53" s="43"/>
    </row>
    <row r="54" spans="1:21" s="3" customFormat="1" x14ac:dyDescent="0.2">
      <c r="A54" s="37">
        <f>'3   Material'!A54</f>
        <v>1219</v>
      </c>
      <c r="B54" s="4" t="str">
        <f>'3   Material'!B54</f>
        <v>Load cover soil</v>
      </c>
      <c r="C54" s="4" t="str">
        <f>'3   Material'!C54</f>
        <v>OB-4 Stockpile</v>
      </c>
      <c r="D54" s="4" t="str">
        <f>'3   Material'!D54</f>
        <v>Decant Pond #4</v>
      </c>
      <c r="E54" s="364">
        <f>'14   Reveg'!C35</f>
        <v>0.62</v>
      </c>
      <c r="F54" s="363">
        <v>36</v>
      </c>
      <c r="G54" s="358">
        <f>E54*F54/12*43560/27</f>
        <v>3000.8</v>
      </c>
      <c r="H54" s="359">
        <v>0</v>
      </c>
      <c r="I54" s="358">
        <f>G54*(1+H54)</f>
        <v>3000.8</v>
      </c>
      <c r="J54" s="70"/>
      <c r="K54" s="70"/>
      <c r="L54" s="43"/>
      <c r="M54" s="43"/>
      <c r="N54" s="43"/>
      <c r="O54" s="43"/>
      <c r="P54" s="43"/>
      <c r="Q54" s="43"/>
      <c r="R54" s="43"/>
      <c r="S54" s="43"/>
      <c r="T54" s="43"/>
      <c r="U54" s="43"/>
    </row>
    <row r="55" spans="1:21" s="3" customFormat="1" x14ac:dyDescent="0.2">
      <c r="A55" s="37">
        <f>'3   Material'!A55</f>
        <v>1220</v>
      </c>
      <c r="B55" s="4" t="str">
        <f>'3   Material'!B55</f>
        <v>Load cover soil</v>
      </c>
      <c r="C55" s="4" t="str">
        <f>'3   Material'!C55</f>
        <v>NOBS</v>
      </c>
      <c r="D55" s="4" t="str">
        <f>'3   Material'!D55</f>
        <v xml:space="preserve">Upper Creek Containment Pond 1 </v>
      </c>
      <c r="E55" s="364">
        <f>'14   Reveg'!C36</f>
        <v>1.1299999999999999</v>
      </c>
      <c r="F55" s="363">
        <v>36</v>
      </c>
      <c r="G55" s="358">
        <f>E55*F55/12*43560/27</f>
        <v>5469.1999999999989</v>
      </c>
      <c r="H55" s="359">
        <v>0</v>
      </c>
      <c r="I55" s="358">
        <f>G55*(1+H55)</f>
        <v>5469.1999999999989</v>
      </c>
      <c r="J55" s="39"/>
      <c r="K55" s="70"/>
      <c r="L55" s="43"/>
      <c r="M55" s="43"/>
      <c r="N55" s="43"/>
      <c r="O55" s="43"/>
      <c r="P55" s="43"/>
      <c r="Q55" s="43"/>
      <c r="R55" s="43"/>
      <c r="S55" s="43"/>
      <c r="T55" s="43"/>
      <c r="U55" s="43"/>
    </row>
    <row r="56" spans="1:21" x14ac:dyDescent="0.2">
      <c r="A56" s="37">
        <f>'3   Material'!A56</f>
        <v>1300</v>
      </c>
      <c r="B56" s="4" t="str">
        <f>'3   Material'!B56</f>
        <v>Haul cover soil</v>
      </c>
      <c r="C56" s="3" t="str">
        <f t="shared" ref="C56:D61" si="6">C35</f>
        <v>OB Stockpile 1 through 4, Topsoil Stockpile, South OB Stockpile</v>
      </c>
      <c r="D56" s="3" t="str">
        <f t="shared" si="6"/>
        <v xml:space="preserve">SWRDF Top </v>
      </c>
      <c r="E56" s="365"/>
      <c r="F56" s="358"/>
      <c r="G56" s="362">
        <f t="shared" ref="G56:G76" si="7">G35</f>
        <v>412368.00000000006</v>
      </c>
      <c r="H56" s="359">
        <v>0</v>
      </c>
      <c r="I56" s="362">
        <f t="shared" ref="I56:I71" si="8">G56*(1+H56)</f>
        <v>412368.00000000006</v>
      </c>
      <c r="J56" s="39"/>
      <c r="K56" s="39"/>
      <c r="L56" s="46"/>
      <c r="M56" s="46"/>
      <c r="N56" s="46"/>
      <c r="O56" s="46"/>
      <c r="P56" s="46"/>
      <c r="Q56" s="46"/>
      <c r="R56" s="46"/>
      <c r="S56" s="46"/>
      <c r="T56" s="46"/>
      <c r="U56" s="46"/>
    </row>
    <row r="57" spans="1:21" x14ac:dyDescent="0.2">
      <c r="A57" s="37">
        <f>'3   Material'!A57</f>
        <v>1301</v>
      </c>
      <c r="B57" s="4" t="str">
        <f>'3   Material'!B57</f>
        <v>Haul cover soil</v>
      </c>
      <c r="C57" s="3" t="str">
        <f t="shared" si="6"/>
        <v>OB Stockpile 1 through 4, Topsoil Stockpile, South OB Stockpile</v>
      </c>
      <c r="D57" s="3" t="str">
        <f t="shared" si="6"/>
        <v>SWRDF Outslopes</v>
      </c>
      <c r="E57" s="365"/>
      <c r="F57" s="358"/>
      <c r="G57" s="362">
        <f t="shared" si="7"/>
        <v>1237104.0000000002</v>
      </c>
      <c r="H57" s="359">
        <v>0</v>
      </c>
      <c r="I57" s="362">
        <f t="shared" si="8"/>
        <v>1237104.0000000002</v>
      </c>
      <c r="J57" s="39"/>
      <c r="K57" s="39"/>
      <c r="L57" s="46"/>
      <c r="M57" s="46"/>
      <c r="N57" s="46"/>
      <c r="O57" s="46"/>
      <c r="P57" s="46"/>
      <c r="Q57" s="46"/>
      <c r="R57" s="46"/>
      <c r="S57" s="46"/>
      <c r="T57" s="46"/>
      <c r="U57" s="46"/>
    </row>
    <row r="58" spans="1:21" x14ac:dyDescent="0.2">
      <c r="A58" s="37">
        <f>'3   Material'!A58</f>
        <v>1302</v>
      </c>
      <c r="B58" s="4" t="str">
        <f>'3   Material'!B58</f>
        <v>Haul cover soil</v>
      </c>
      <c r="C58" s="3" t="str">
        <f t="shared" si="6"/>
        <v>NOBS</v>
      </c>
      <c r="D58" s="3" t="str">
        <f t="shared" si="6"/>
        <v xml:space="preserve">SWRDF Top </v>
      </c>
      <c r="E58" s="365"/>
      <c r="F58" s="358"/>
      <c r="G58" s="362">
        <f t="shared" si="7"/>
        <v>119547.99999999999</v>
      </c>
      <c r="H58" s="359">
        <v>0</v>
      </c>
      <c r="I58" s="362">
        <f t="shared" si="8"/>
        <v>119547.99999999999</v>
      </c>
      <c r="J58" s="39"/>
      <c r="K58" s="39"/>
      <c r="L58" s="46"/>
      <c r="M58" s="46"/>
      <c r="N58" s="46"/>
      <c r="O58" s="46"/>
      <c r="P58" s="46"/>
      <c r="Q58" s="46"/>
      <c r="R58" s="46"/>
      <c r="S58" s="46"/>
      <c r="T58" s="46"/>
      <c r="U58" s="46"/>
    </row>
    <row r="59" spans="1:21" x14ac:dyDescent="0.2">
      <c r="A59" s="37">
        <f>'3   Material'!A59</f>
        <v>1303</v>
      </c>
      <c r="B59" s="4" t="str">
        <f>'3   Material'!B59</f>
        <v>Haul cover soil</v>
      </c>
      <c r="C59" s="3" t="str">
        <f t="shared" si="6"/>
        <v>NOBS</v>
      </c>
      <c r="D59" s="3" t="str">
        <f t="shared" si="6"/>
        <v>Hanover Mountain Deposit</v>
      </c>
      <c r="E59" s="365"/>
      <c r="F59" s="358"/>
      <c r="G59" s="362">
        <f t="shared" si="7"/>
        <v>451571.99999999994</v>
      </c>
      <c r="H59" s="359">
        <v>0</v>
      </c>
      <c r="I59" s="362">
        <f t="shared" si="8"/>
        <v>451571.99999999994</v>
      </c>
      <c r="J59" s="72"/>
      <c r="K59" s="72"/>
    </row>
    <row r="60" spans="1:21" x14ac:dyDescent="0.2">
      <c r="A60" s="37">
        <f>'3   Material'!A60</f>
        <v>1304</v>
      </c>
      <c r="B60" s="4" t="str">
        <f>'3   Material'!B60</f>
        <v>Haul cover soil</v>
      </c>
      <c r="C60" s="3" t="str">
        <f t="shared" si="6"/>
        <v>OB Stockpile 1 through 3, Topsoil Stockpile, South OB Stockpile</v>
      </c>
      <c r="D60" s="3" t="str">
        <f t="shared" si="6"/>
        <v>Pearson-Barnes Mine Area</v>
      </c>
      <c r="E60" s="365"/>
      <c r="F60" s="358"/>
      <c r="G60" s="362">
        <f t="shared" si="7"/>
        <v>57596.000000000007</v>
      </c>
      <c r="H60" s="359">
        <v>0</v>
      </c>
      <c r="I60" s="362">
        <f>G60*(1+H60)</f>
        <v>57596.000000000007</v>
      </c>
      <c r="J60" s="72"/>
      <c r="K60" s="72"/>
    </row>
    <row r="61" spans="1:21" x14ac:dyDescent="0.2">
      <c r="A61" s="37">
        <f>'3   Material'!A61</f>
        <v>1305</v>
      </c>
      <c r="B61" s="4" t="str">
        <f>'3   Material'!B61</f>
        <v>Haul cover soil</v>
      </c>
      <c r="C61" s="3" t="str">
        <f t="shared" si="6"/>
        <v>OB-4 Stockpile</v>
      </c>
      <c r="D61" s="3" t="str">
        <f t="shared" si="6"/>
        <v>Low Grade WRF</v>
      </c>
      <c r="E61" s="365"/>
      <c r="F61" s="358"/>
      <c r="G61" s="362">
        <f t="shared" si="7"/>
        <v>44899.066666666658</v>
      </c>
      <c r="H61" s="359">
        <v>0</v>
      </c>
      <c r="I61" s="362">
        <f t="shared" si="8"/>
        <v>44899.066666666658</v>
      </c>
      <c r="J61" s="72"/>
      <c r="K61" s="72"/>
    </row>
    <row r="62" spans="1:21" x14ac:dyDescent="0.2">
      <c r="A62" s="37">
        <f>'3   Material'!A62</f>
        <v>1306</v>
      </c>
      <c r="B62" s="4" t="str">
        <f>'3   Material'!B62</f>
        <v>Haul cover soil</v>
      </c>
      <c r="C62" s="4" t="str">
        <f>'3   Material'!C62</f>
        <v>NOBS</v>
      </c>
      <c r="D62" s="3" t="str">
        <f t="shared" ref="D62:D76" si="9">D41</f>
        <v>MTI Reclaim Pond</v>
      </c>
      <c r="E62" s="365"/>
      <c r="F62" s="358"/>
      <c r="G62" s="362">
        <f t="shared" si="7"/>
        <v>159720</v>
      </c>
      <c r="H62" s="359">
        <v>0</v>
      </c>
      <c r="I62" s="362">
        <f t="shared" si="8"/>
        <v>159720</v>
      </c>
      <c r="J62" s="72"/>
      <c r="K62" s="72"/>
    </row>
    <row r="63" spans="1:21" x14ac:dyDescent="0.2">
      <c r="A63" s="37">
        <f>'3   Material'!A63</f>
        <v>1307</v>
      </c>
      <c r="B63" s="4" t="str">
        <f>'3   Material'!B63</f>
        <v>Haul cover soil</v>
      </c>
      <c r="C63" s="4" t="str">
        <f>'3   Material'!C63</f>
        <v>NOBS</v>
      </c>
      <c r="D63" s="3" t="str">
        <f t="shared" si="9"/>
        <v>MTI  Top</v>
      </c>
      <c r="E63" s="365"/>
      <c r="F63" s="358"/>
      <c r="G63" s="362">
        <f>G42</f>
        <v>190284.10000000003</v>
      </c>
      <c r="H63" s="359">
        <v>0</v>
      </c>
      <c r="I63" s="362">
        <f t="shared" si="8"/>
        <v>190284.10000000003</v>
      </c>
      <c r="J63" s="72"/>
      <c r="K63" s="72"/>
    </row>
    <row r="64" spans="1:21" x14ac:dyDescent="0.2">
      <c r="A64" s="37">
        <f>'3   Material'!A64</f>
        <v>1308</v>
      </c>
      <c r="B64" s="4" t="str">
        <f>'3   Material'!B64</f>
        <v>Haul cover soil</v>
      </c>
      <c r="C64" s="4" t="str">
        <f>'3   Material'!C64</f>
        <v>NOBS</v>
      </c>
      <c r="D64" s="3" t="str">
        <f t="shared" si="9"/>
        <v>MTI  Outslope</v>
      </c>
      <c r="E64" s="365"/>
      <c r="F64" s="358"/>
      <c r="G64" s="362">
        <f>G43</f>
        <v>175837.19999999998</v>
      </c>
      <c r="H64" s="359">
        <v>0</v>
      </c>
      <c r="I64" s="362">
        <f>G64*(1+H64)</f>
        <v>175837.19999999998</v>
      </c>
      <c r="J64" s="72"/>
      <c r="K64" s="72"/>
    </row>
    <row r="65" spans="1:21" x14ac:dyDescent="0.2">
      <c r="A65" s="37">
        <f>'3   Material'!A65</f>
        <v>1309</v>
      </c>
      <c r="B65" s="4" t="str">
        <f>'3   Material'!B65</f>
        <v>Haul cover soil</v>
      </c>
      <c r="C65" s="4" t="str">
        <f>'3   Material'!C65</f>
        <v>Reclaim Pond Outlet Channel</v>
      </c>
      <c r="D65" s="3" t="str">
        <f t="shared" si="9"/>
        <v>MTI  Top</v>
      </c>
      <c r="E65" s="365"/>
      <c r="F65" s="358"/>
      <c r="G65" s="362">
        <f>G44</f>
        <v>62226</v>
      </c>
      <c r="H65" s="359">
        <v>0.15</v>
      </c>
      <c r="I65" s="362">
        <f>G65*(1+H65)</f>
        <v>71559.899999999994</v>
      </c>
      <c r="J65" s="72"/>
      <c r="K65" s="72"/>
    </row>
    <row r="66" spans="1:21" x14ac:dyDescent="0.2">
      <c r="A66" s="37">
        <f>'3   Material'!A66</f>
        <v>1310</v>
      </c>
      <c r="B66" s="4" t="str">
        <f>'3   Material'!B66</f>
        <v>Haul cover soil</v>
      </c>
      <c r="C66" s="4" t="str">
        <f>'3   Material'!C66</f>
        <v>NOBS</v>
      </c>
      <c r="D66" s="3" t="str">
        <f t="shared" si="9"/>
        <v>Tailing Pipeline Corridor</v>
      </c>
      <c r="E66" s="365"/>
      <c r="F66" s="358"/>
      <c r="G66" s="362">
        <f t="shared" si="7"/>
        <v>6998.64</v>
      </c>
      <c r="H66" s="359">
        <v>0</v>
      </c>
      <c r="I66" s="362">
        <f>G66*(1+H66)</f>
        <v>6998.64</v>
      </c>
      <c r="J66" s="72"/>
      <c r="K66" s="72"/>
    </row>
    <row r="67" spans="1:21" x14ac:dyDescent="0.2">
      <c r="A67" s="37">
        <f>'3   Material'!A67</f>
        <v>1311</v>
      </c>
      <c r="B67" s="4" t="str">
        <f>'3   Material'!B67</f>
        <v>Haul cover soil</v>
      </c>
      <c r="C67" s="4" t="str">
        <f>'3   Material'!C67</f>
        <v>NOBS</v>
      </c>
      <c r="D67" s="3" t="str">
        <f t="shared" si="9"/>
        <v>Grape Gulch Pond #3</v>
      </c>
      <c r="E67" s="365"/>
      <c r="F67" s="358"/>
      <c r="G67" s="362">
        <f t="shared" si="7"/>
        <v>1839.1999999999998</v>
      </c>
      <c r="H67" s="359">
        <v>0</v>
      </c>
      <c r="I67" s="362">
        <f t="shared" si="8"/>
        <v>1839.1999999999998</v>
      </c>
      <c r="J67" s="72"/>
      <c r="K67" s="72"/>
    </row>
    <row r="68" spans="1:21" x14ac:dyDescent="0.2">
      <c r="A68" s="37">
        <f>'3   Material'!A68</f>
        <v>1312</v>
      </c>
      <c r="B68" s="4" t="str">
        <f>'3   Material'!B68</f>
        <v>Haul cover soil</v>
      </c>
      <c r="C68" s="4" t="str">
        <f>'3   Material'!C68</f>
        <v>NOBS</v>
      </c>
      <c r="D68" s="3" t="str">
        <f t="shared" si="9"/>
        <v>Magnetite Seepage Pond</v>
      </c>
      <c r="E68" s="365"/>
      <c r="F68" s="358"/>
      <c r="G68" s="362">
        <f t="shared" si="7"/>
        <v>968</v>
      </c>
      <c r="H68" s="359">
        <v>0</v>
      </c>
      <c r="I68" s="362">
        <f t="shared" si="8"/>
        <v>968</v>
      </c>
      <c r="J68" s="72"/>
      <c r="K68" s="72"/>
    </row>
    <row r="69" spans="1:21" x14ac:dyDescent="0.2">
      <c r="A69" s="37">
        <f>'3   Material'!A69</f>
        <v>1313</v>
      </c>
      <c r="B69" s="4" t="str">
        <f>'3   Material'!B69</f>
        <v>Haul cover soil</v>
      </c>
      <c r="C69" s="4" t="str">
        <f>'3   Material'!C69</f>
        <v>OB Stockpile 1 through 3, Topsoil Stockpile, South OB Stockpile</v>
      </c>
      <c r="D69" s="3" t="str">
        <f t="shared" si="9"/>
        <v>SWRF Dam 1</v>
      </c>
      <c r="E69" s="365"/>
      <c r="F69" s="358"/>
      <c r="G69" s="362">
        <f t="shared" si="7"/>
        <v>2516.7999999999997</v>
      </c>
      <c r="H69" s="359">
        <v>0</v>
      </c>
      <c r="I69" s="362">
        <f t="shared" si="8"/>
        <v>2516.7999999999997</v>
      </c>
      <c r="J69" s="72"/>
      <c r="K69" s="72"/>
    </row>
    <row r="70" spans="1:21" x14ac:dyDescent="0.2">
      <c r="A70" s="37">
        <f>'3   Material'!A70</f>
        <v>1314</v>
      </c>
      <c r="B70" s="4" t="str">
        <f>'3   Material'!B70</f>
        <v>Haul cover soil</v>
      </c>
      <c r="C70" s="4" t="str">
        <f>'3   Material'!C70</f>
        <v>OB Stockpile 1 through 3, Topsoil Stockpile, South OB Stockpile</v>
      </c>
      <c r="D70" s="3" t="str">
        <f t="shared" si="9"/>
        <v>SWRF Dam 2</v>
      </c>
      <c r="E70" s="365"/>
      <c r="F70" s="358"/>
      <c r="G70" s="362">
        <f t="shared" si="7"/>
        <v>1645.6000000000001</v>
      </c>
      <c r="H70" s="359">
        <v>0</v>
      </c>
      <c r="I70" s="362">
        <f t="shared" si="8"/>
        <v>1645.6000000000001</v>
      </c>
      <c r="J70" s="72"/>
      <c r="K70" s="72"/>
    </row>
    <row r="71" spans="1:21" x14ac:dyDescent="0.2">
      <c r="A71" s="37">
        <f>'3   Material'!A71</f>
        <v>1315</v>
      </c>
      <c r="B71" s="4" t="str">
        <f>'3   Material'!B71</f>
        <v>Haul cover soil</v>
      </c>
      <c r="C71" s="4" t="str">
        <f>'3   Material'!C71</f>
        <v>OB Stockpile 1 through 3, Topsoil Stockpile, South OB Stockpile</v>
      </c>
      <c r="D71" s="3" t="str">
        <f t="shared" si="9"/>
        <v>SWRF Dam 3</v>
      </c>
      <c r="E71" s="365"/>
      <c r="F71" s="358"/>
      <c r="G71" s="362">
        <f t="shared" si="7"/>
        <v>4065.6</v>
      </c>
      <c r="H71" s="359">
        <v>0</v>
      </c>
      <c r="I71" s="362">
        <f t="shared" si="8"/>
        <v>4065.6</v>
      </c>
      <c r="J71" s="72"/>
      <c r="K71" s="72"/>
    </row>
    <row r="72" spans="1:21" x14ac:dyDescent="0.2">
      <c r="A72" s="37">
        <f>'3   Material'!A72</f>
        <v>1316</v>
      </c>
      <c r="B72" s="4" t="str">
        <f>'3   Material'!B72</f>
        <v>Haul cover soil</v>
      </c>
      <c r="C72" s="4" t="str">
        <f>'3   Material'!C72</f>
        <v>OB-4 Stockpile</v>
      </c>
      <c r="D72" s="3" t="str">
        <f t="shared" si="9"/>
        <v>North Tailings Decant Pond</v>
      </c>
      <c r="E72" s="365"/>
      <c r="F72" s="358"/>
      <c r="G72" s="362">
        <f t="shared" si="7"/>
        <v>2226.4</v>
      </c>
      <c r="H72" s="359">
        <v>0</v>
      </c>
      <c r="I72" s="358">
        <f>G72*(1+H72)</f>
        <v>2226.4</v>
      </c>
      <c r="J72" s="72"/>
      <c r="K72" s="72"/>
    </row>
    <row r="73" spans="1:21" x14ac:dyDescent="0.2">
      <c r="A73" s="37">
        <f>'3   Material'!A73</f>
        <v>1317</v>
      </c>
      <c r="B73" s="4" t="str">
        <f>'3   Material'!B73</f>
        <v>Haul cover soil</v>
      </c>
      <c r="C73" s="4" t="str">
        <f>'3   Material'!C73</f>
        <v>OB-4 Stockpile</v>
      </c>
      <c r="D73" s="3" t="str">
        <f t="shared" si="9"/>
        <v>East WRF Containment</v>
      </c>
      <c r="E73" s="365"/>
      <c r="F73" s="358"/>
      <c r="G73" s="362">
        <f t="shared" si="7"/>
        <v>2420</v>
      </c>
      <c r="H73" s="359">
        <v>0</v>
      </c>
      <c r="I73" s="358">
        <f>G73*(1+H73)</f>
        <v>2420</v>
      </c>
      <c r="J73" s="72"/>
      <c r="K73" s="72"/>
    </row>
    <row r="74" spans="1:21" x14ac:dyDescent="0.2">
      <c r="A74" s="37">
        <f>'3   Material'!A74</f>
        <v>1318</v>
      </c>
      <c r="B74" s="4" t="str">
        <f>'3   Material'!B74</f>
        <v>Haul cover soil</v>
      </c>
      <c r="C74" s="4" t="str">
        <f>'3   Material'!C74</f>
        <v>NOBS</v>
      </c>
      <c r="D74" s="3" t="str">
        <f t="shared" si="9"/>
        <v xml:space="preserve">Blackman's Seep (Pond #2) </v>
      </c>
      <c r="E74" s="365"/>
      <c r="F74" s="358"/>
      <c r="G74" s="362">
        <f t="shared" si="7"/>
        <v>48.4</v>
      </c>
      <c r="H74" s="359">
        <v>0</v>
      </c>
      <c r="I74" s="358">
        <f>G74*(1+H74)</f>
        <v>48.4</v>
      </c>
      <c r="J74" s="46"/>
      <c r="K74" s="46"/>
      <c r="L74" s="46"/>
      <c r="M74" s="46"/>
      <c r="N74" s="46"/>
      <c r="O74" s="46"/>
      <c r="P74" s="46"/>
      <c r="Q74" s="46"/>
      <c r="R74" s="46"/>
      <c r="S74" s="46"/>
      <c r="T74" s="46"/>
      <c r="U74" s="46"/>
    </row>
    <row r="75" spans="1:21" x14ac:dyDescent="0.2">
      <c r="A75" s="37">
        <f>'3   Material'!A75</f>
        <v>1319</v>
      </c>
      <c r="B75" s="4" t="str">
        <f>'3   Material'!B75</f>
        <v>Haul cover soil</v>
      </c>
      <c r="C75" s="4" t="str">
        <f>'3   Material'!C75</f>
        <v>OB-4 Stockpile</v>
      </c>
      <c r="D75" s="3" t="str">
        <f t="shared" si="9"/>
        <v>Decant Pond #4</v>
      </c>
      <c r="E75" s="365"/>
      <c r="F75" s="358"/>
      <c r="G75" s="362">
        <f t="shared" si="7"/>
        <v>3000.8</v>
      </c>
      <c r="H75" s="359">
        <v>0</v>
      </c>
      <c r="I75" s="358">
        <f>G75*(1+H75)</f>
        <v>3000.8</v>
      </c>
      <c r="J75" s="46"/>
      <c r="K75" s="46"/>
      <c r="L75" s="46"/>
      <c r="M75" s="46"/>
      <c r="N75" s="46"/>
      <c r="O75" s="46"/>
      <c r="P75" s="46"/>
      <c r="Q75" s="46"/>
      <c r="R75" s="46"/>
      <c r="S75" s="46"/>
      <c r="T75" s="46"/>
      <c r="U75" s="46"/>
    </row>
    <row r="76" spans="1:21" x14ac:dyDescent="0.2">
      <c r="A76" s="37">
        <f>'3   Material'!A76</f>
        <v>1320</v>
      </c>
      <c r="B76" s="4" t="str">
        <f>'3   Material'!B76</f>
        <v>Haul cover soil</v>
      </c>
      <c r="C76" s="4" t="str">
        <f>'3   Material'!C76</f>
        <v>NOBS</v>
      </c>
      <c r="D76" s="3" t="str">
        <f t="shared" si="9"/>
        <v xml:space="preserve">Upper Creek Containment Pond 1 </v>
      </c>
      <c r="E76" s="365"/>
      <c r="F76" s="358"/>
      <c r="G76" s="362">
        <f t="shared" si="7"/>
        <v>5469.1999999999989</v>
      </c>
      <c r="H76" s="359">
        <v>0</v>
      </c>
      <c r="I76" s="358">
        <f>G76*(1+H76)</f>
        <v>5469.1999999999989</v>
      </c>
      <c r="J76" s="46"/>
      <c r="K76" s="46"/>
      <c r="L76" s="46"/>
      <c r="M76" s="46"/>
      <c r="N76" s="46"/>
      <c r="O76" s="46"/>
      <c r="P76" s="46"/>
      <c r="Q76" s="46"/>
      <c r="R76" s="46"/>
      <c r="S76" s="46"/>
      <c r="T76" s="46"/>
      <c r="U76" s="46"/>
    </row>
    <row r="77" spans="1:21" x14ac:dyDescent="0.2">
      <c r="A77" s="37">
        <f>'3   Material'!A77</f>
        <v>1400</v>
      </c>
      <c r="B77" s="4" t="str">
        <f>'3   Material'!B77</f>
        <v>Rip liners</v>
      </c>
      <c r="C77" s="4" t="str">
        <f>'3   Material'!C77</f>
        <v>East WRF Containment</v>
      </c>
      <c r="D77" s="42" t="str">
        <f>'3   Material'!D77</f>
        <v>-</v>
      </c>
      <c r="E77" s="365">
        <f>'14   Reveg'!$C$33</f>
        <v>0.5</v>
      </c>
      <c r="F77" s="358"/>
      <c r="G77" s="362"/>
      <c r="H77" s="359"/>
      <c r="I77" s="358"/>
      <c r="J77" s="72"/>
      <c r="K77" s="72"/>
    </row>
    <row r="78" spans="1:21" x14ac:dyDescent="0.2">
      <c r="A78" s="37">
        <f>'3   Material'!A78</f>
        <v>1401</v>
      </c>
      <c r="B78" s="4" t="str">
        <f>'3   Material'!B78</f>
        <v>Rip liners</v>
      </c>
      <c r="C78" s="4" t="str">
        <f>'3   Material'!C78</f>
        <v>Decant Pond #4</v>
      </c>
      <c r="D78" s="42" t="str">
        <f>'3   Material'!D78</f>
        <v>-</v>
      </c>
      <c r="E78" s="365">
        <f>'14   Reveg'!$C$35</f>
        <v>0.62</v>
      </c>
      <c r="F78" s="358"/>
      <c r="G78" s="362"/>
      <c r="H78" s="359"/>
      <c r="I78" s="358"/>
      <c r="J78" s="72"/>
      <c r="K78" s="72"/>
    </row>
    <row r="79" spans="1:21" x14ac:dyDescent="0.2">
      <c r="A79" s="37">
        <f>'3   Material'!A79</f>
        <v>1402</v>
      </c>
      <c r="B79" s="4" t="str">
        <f>'3   Material'!B79</f>
        <v>Rip liners</v>
      </c>
      <c r="C79" s="4" t="str">
        <f>'3   Material'!C79</f>
        <v xml:space="preserve">Blackman's Seep (Pond #2) </v>
      </c>
      <c r="D79" s="42" t="str">
        <f>'3   Material'!D79</f>
        <v>-</v>
      </c>
      <c r="E79" s="365">
        <f>'14   Reveg'!$C$34</f>
        <v>0.01</v>
      </c>
      <c r="F79" s="358"/>
      <c r="G79" s="362"/>
      <c r="H79" s="359"/>
      <c r="I79" s="358"/>
      <c r="J79" s="72"/>
      <c r="K79" s="72"/>
    </row>
    <row r="80" spans="1:21" x14ac:dyDescent="0.2">
      <c r="A80" s="37">
        <f>'3   Material'!A80</f>
        <v>1403</v>
      </c>
      <c r="B80" s="4" t="str">
        <f>'3   Material'!B80</f>
        <v>Rip liners</v>
      </c>
      <c r="C80" s="4" t="str">
        <f>'3   Material'!C80</f>
        <v>Grape Gulch Pond #3</v>
      </c>
      <c r="D80" s="42" t="str">
        <f>'3   Material'!D80</f>
        <v>-</v>
      </c>
      <c r="E80" s="365">
        <f>'14   Reveg'!$C$27</f>
        <v>0.38</v>
      </c>
      <c r="F80" s="358"/>
      <c r="G80" s="362"/>
      <c r="H80" s="359"/>
      <c r="I80" s="358"/>
      <c r="J80" s="72"/>
      <c r="K80" s="72"/>
    </row>
    <row r="81" spans="1:11" x14ac:dyDescent="0.2">
      <c r="A81" s="37">
        <f>'3   Material'!A81</f>
        <v>1404</v>
      </c>
      <c r="B81" s="4" t="str">
        <f>'3   Material'!B81</f>
        <v>Rip liners</v>
      </c>
      <c r="C81" s="4" t="str">
        <f>'3   Material'!C81</f>
        <v>Magnetite Seepage Pond</v>
      </c>
      <c r="D81" s="42" t="str">
        <f>'3   Material'!D81</f>
        <v>-</v>
      </c>
      <c r="E81" s="365">
        <f>'14   Reveg'!$C$28</f>
        <v>0.2</v>
      </c>
      <c r="F81" s="358"/>
      <c r="G81" s="362"/>
      <c r="H81" s="359"/>
      <c r="I81" s="358"/>
      <c r="J81" s="72"/>
      <c r="K81" s="72"/>
    </row>
    <row r="82" spans="1:11" x14ac:dyDescent="0.2">
      <c r="A82" s="37">
        <f>'3   Material'!A82</f>
        <v>1405</v>
      </c>
      <c r="B82" s="4" t="str">
        <f>'3   Material'!B82</f>
        <v>Rip surface</v>
      </c>
      <c r="C82" s="4" t="str">
        <f>'3   Material'!C82</f>
        <v>Reclaim Pond Outlet Channel</v>
      </c>
      <c r="D82" s="42" t="str">
        <f>'3   Material'!D82</f>
        <v>-</v>
      </c>
      <c r="E82" s="365">
        <f>'14   Reveg'!C42</f>
        <v>1.7</v>
      </c>
      <c r="F82" s="358"/>
      <c r="G82" s="362"/>
      <c r="H82" s="359"/>
      <c r="I82" s="358"/>
      <c r="J82" s="72"/>
      <c r="K82" s="72"/>
    </row>
    <row r="83" spans="1:11" x14ac:dyDescent="0.2">
      <c r="A83" s="37">
        <f>'3   Material'!A83</f>
        <v>1406</v>
      </c>
      <c r="B83" s="4" t="str">
        <f>'3   Material'!B83</f>
        <v>Rip liners</v>
      </c>
      <c r="C83" s="4" t="str">
        <f>'3   Material'!C83</f>
        <v xml:space="preserve">Upper Creek Containment Pond 1 </v>
      </c>
      <c r="D83" s="42" t="str">
        <f>'3   Material'!D83</f>
        <v>-</v>
      </c>
      <c r="E83" s="365">
        <f>'14   Reveg'!C36</f>
        <v>1.1299999999999999</v>
      </c>
      <c r="F83" s="358"/>
      <c r="G83" s="362"/>
      <c r="H83" s="359"/>
      <c r="I83" s="358"/>
      <c r="J83" s="72"/>
      <c r="K83" s="72"/>
    </row>
    <row r="84" spans="1:11" x14ac:dyDescent="0.2">
      <c r="A84" s="37">
        <f>'3   Material'!A84</f>
        <v>1500</v>
      </c>
      <c r="B84" s="4" t="str">
        <f>'3   Material'!B84</f>
        <v>Grade surface</v>
      </c>
      <c r="C84" s="4" t="str">
        <f>'3   Material'!C84</f>
        <v>Haul Roads</v>
      </c>
      <c r="D84" s="4" t="str">
        <f>'3   Material'!D84</f>
        <v>-</v>
      </c>
      <c r="E84" s="363">
        <f>'14   Reveg'!C21</f>
        <v>45</v>
      </c>
      <c r="F84" s="358"/>
      <c r="G84" s="362"/>
      <c r="H84" s="359"/>
      <c r="I84" s="358"/>
      <c r="J84" s="72"/>
      <c r="K84" s="72"/>
    </row>
    <row r="85" spans="1:11" x14ac:dyDescent="0.2">
      <c r="A85" s="37">
        <f>'3   Material'!A85</f>
        <v>1501</v>
      </c>
      <c r="B85" s="4" t="str">
        <f>'3   Material'!B85</f>
        <v>Grade surface</v>
      </c>
      <c r="C85" s="4" t="str">
        <f>'3   Material'!C85</f>
        <v>Exploration Roads</v>
      </c>
      <c r="D85" s="4" t="str">
        <f>'3   Material'!D85</f>
        <v>-</v>
      </c>
      <c r="E85" s="363">
        <f>'14   Reveg'!C22</f>
        <v>37</v>
      </c>
      <c r="F85" s="358"/>
      <c r="G85" s="362"/>
      <c r="H85" s="359"/>
      <c r="I85" s="358"/>
      <c r="J85" s="72"/>
      <c r="K85" s="72"/>
    </row>
    <row r="86" spans="1:11" x14ac:dyDescent="0.2">
      <c r="A86" s="37">
        <f>'3   Material'!A86</f>
        <v>1502</v>
      </c>
      <c r="B86" s="4" t="str">
        <f>'3   Material'!B86</f>
        <v>Grade surface</v>
      </c>
      <c r="C86" s="4" t="str">
        <f>'3   Material'!C86</f>
        <v>Low Grade WRF</v>
      </c>
      <c r="D86" s="4" t="str">
        <f>'3   Material'!D86</f>
        <v>-</v>
      </c>
      <c r="E86" s="363">
        <f>'14   Reveg'!C16</f>
        <v>27.83</v>
      </c>
      <c r="F86" s="358"/>
      <c r="G86" s="362"/>
      <c r="H86" s="359"/>
      <c r="I86" s="358"/>
      <c r="J86" s="72"/>
      <c r="K86" s="72"/>
    </row>
    <row r="87" spans="1:11" x14ac:dyDescent="0.2">
      <c r="A87" s="37">
        <f>'3   Material'!A87</f>
        <v>1503</v>
      </c>
      <c r="B87" s="4" t="str">
        <f>'3   Material'!B87</f>
        <v>Grade surface</v>
      </c>
      <c r="C87" s="4" t="str">
        <f>'3   Material'!C87</f>
        <v>Grape Gulch Pond #3</v>
      </c>
      <c r="D87" s="4" t="str">
        <f>'3   Material'!D87</f>
        <v>-</v>
      </c>
      <c r="E87" s="364">
        <f>'14   Reveg'!C27</f>
        <v>0.38</v>
      </c>
      <c r="F87" s="358"/>
      <c r="G87" s="362"/>
      <c r="H87" s="359"/>
      <c r="I87" s="358"/>
      <c r="J87" s="72"/>
      <c r="K87" s="72"/>
    </row>
    <row r="88" spans="1:11" s="3" customFormat="1" x14ac:dyDescent="0.2">
      <c r="A88" s="37">
        <f>'3   Material'!A88</f>
        <v>1504</v>
      </c>
      <c r="B88" s="4" t="str">
        <f>'3   Material'!B88</f>
        <v>Grade surface</v>
      </c>
      <c r="C88" s="4" t="str">
        <f>'3   Material'!C88</f>
        <v>Magnetite Seepage Pond</v>
      </c>
      <c r="D88" s="4" t="str">
        <f>'3   Material'!D88</f>
        <v>-</v>
      </c>
      <c r="E88" s="364">
        <f>'14   Reveg'!C28</f>
        <v>0.2</v>
      </c>
      <c r="F88" s="363"/>
      <c r="G88" s="358"/>
      <c r="H88" s="359"/>
      <c r="I88" s="358"/>
      <c r="J88" s="73"/>
      <c r="K88" s="73"/>
    </row>
    <row r="89" spans="1:11" s="3" customFormat="1" x14ac:dyDescent="0.2">
      <c r="A89" s="37">
        <f>'3   Material'!A89</f>
        <v>1505</v>
      </c>
      <c r="B89" s="4" t="str">
        <f>'3   Material'!B89</f>
        <v>Grade surface</v>
      </c>
      <c r="C89" s="4" t="str">
        <f>'3   Material'!C89</f>
        <v>SWRF Dam 1</v>
      </c>
      <c r="D89" s="4" t="str">
        <f>'3   Material'!D89</f>
        <v>-</v>
      </c>
      <c r="E89" s="364">
        <f>'14   Reveg'!C29</f>
        <v>0.52</v>
      </c>
      <c r="F89" s="363"/>
      <c r="G89" s="358"/>
      <c r="H89" s="359"/>
      <c r="I89" s="358"/>
      <c r="J89" s="73"/>
      <c r="K89" s="73"/>
    </row>
    <row r="90" spans="1:11" s="3" customFormat="1" x14ac:dyDescent="0.2">
      <c r="A90" s="37">
        <f>'3   Material'!A90</f>
        <v>1506</v>
      </c>
      <c r="B90" s="4" t="str">
        <f>'3   Material'!B90</f>
        <v>Grade surface</v>
      </c>
      <c r="C90" s="4" t="str">
        <f>'3   Material'!C90</f>
        <v>SWRF Dam 2</v>
      </c>
      <c r="D90" s="4" t="str">
        <f>'3   Material'!D90</f>
        <v>-</v>
      </c>
      <c r="E90" s="364">
        <f>'14   Reveg'!C30</f>
        <v>0.34</v>
      </c>
      <c r="F90" s="363"/>
      <c r="G90" s="358"/>
      <c r="H90" s="359"/>
      <c r="I90" s="358"/>
      <c r="J90" s="73"/>
      <c r="K90" s="73"/>
    </row>
    <row r="91" spans="1:11" s="3" customFormat="1" x14ac:dyDescent="0.2">
      <c r="A91" s="37">
        <f>'3   Material'!A91</f>
        <v>1507</v>
      </c>
      <c r="B91" s="4" t="str">
        <f>'3   Material'!B91</f>
        <v>Grade surface</v>
      </c>
      <c r="C91" s="4" t="str">
        <f>'3   Material'!C91</f>
        <v>SWRF Dam 3</v>
      </c>
      <c r="D91" s="4" t="str">
        <f>'3   Material'!D91</f>
        <v>-</v>
      </c>
      <c r="E91" s="364">
        <f>'14   Reveg'!C31</f>
        <v>0.84</v>
      </c>
      <c r="F91" s="363"/>
      <c r="G91" s="358"/>
      <c r="H91" s="359"/>
      <c r="I91" s="358"/>
      <c r="J91" s="73"/>
      <c r="K91" s="73"/>
    </row>
    <row r="92" spans="1:11" s="3" customFormat="1" x14ac:dyDescent="0.2">
      <c r="A92" s="37">
        <f>'3   Material'!A92</f>
        <v>1508</v>
      </c>
      <c r="B92" s="4" t="str">
        <f>'3   Material'!B92</f>
        <v>Grade surface</v>
      </c>
      <c r="C92" s="4" t="str">
        <f>'3   Material'!C92</f>
        <v>North Tailings Decant Pond</v>
      </c>
      <c r="D92" s="4" t="str">
        <f>'3   Material'!D92</f>
        <v>-</v>
      </c>
      <c r="E92" s="364">
        <f>'14   Reveg'!C32</f>
        <v>0.46</v>
      </c>
      <c r="F92" s="363"/>
      <c r="G92" s="358"/>
      <c r="H92" s="359"/>
      <c r="I92" s="358"/>
      <c r="J92" s="73"/>
      <c r="K92" s="73"/>
    </row>
    <row r="93" spans="1:11" s="3" customFormat="1" x14ac:dyDescent="0.2">
      <c r="A93" s="37">
        <f>'3   Material'!A93</f>
        <v>1509</v>
      </c>
      <c r="B93" s="4" t="str">
        <f>'3   Material'!B93</f>
        <v>Grade surface</v>
      </c>
      <c r="C93" s="4" t="str">
        <f>'3   Material'!C93</f>
        <v>East WRF Containment</v>
      </c>
      <c r="D93" s="4" t="str">
        <f>'3   Material'!D93</f>
        <v>-</v>
      </c>
      <c r="E93" s="364">
        <f>'14   Reveg'!C33</f>
        <v>0.5</v>
      </c>
      <c r="F93" s="363"/>
      <c r="G93" s="358"/>
      <c r="H93" s="359"/>
      <c r="I93" s="358"/>
      <c r="J93" s="73"/>
      <c r="K93" s="73"/>
    </row>
    <row r="94" spans="1:11" s="3" customFormat="1" x14ac:dyDescent="0.2">
      <c r="A94" s="37">
        <f>'3   Material'!A94</f>
        <v>1510</v>
      </c>
      <c r="B94" s="4" t="str">
        <f>'3   Material'!B94</f>
        <v>Grade surface</v>
      </c>
      <c r="C94" s="4" t="str">
        <f>'3   Material'!C94</f>
        <v xml:space="preserve">Blackman's Seep (Pond #2) </v>
      </c>
      <c r="D94" s="4" t="str">
        <f>'3   Material'!D94</f>
        <v>-</v>
      </c>
      <c r="E94" s="364">
        <f>'14   Reveg'!C34</f>
        <v>0.01</v>
      </c>
      <c r="F94" s="363"/>
      <c r="G94" s="358"/>
      <c r="H94" s="359"/>
      <c r="I94" s="358"/>
      <c r="J94" s="73"/>
      <c r="K94" s="73"/>
    </row>
    <row r="95" spans="1:11" s="3" customFormat="1" x14ac:dyDescent="0.2">
      <c r="A95" s="37">
        <f>'3   Material'!A95</f>
        <v>1511</v>
      </c>
      <c r="B95" s="4" t="str">
        <f>'3   Material'!B95</f>
        <v>Grade surface</v>
      </c>
      <c r="C95" s="4" t="str">
        <f>'3   Material'!C95</f>
        <v>Decant Pond #4</v>
      </c>
      <c r="D95" s="4" t="str">
        <f>'3   Material'!D95</f>
        <v>-</v>
      </c>
      <c r="E95" s="364">
        <f>'14   Reveg'!C35</f>
        <v>0.62</v>
      </c>
      <c r="F95" s="363"/>
      <c r="G95" s="358"/>
      <c r="H95" s="359"/>
      <c r="I95" s="358"/>
      <c r="J95" s="73"/>
      <c r="K95" s="73"/>
    </row>
    <row r="96" spans="1:11" s="3" customFormat="1" x14ac:dyDescent="0.2">
      <c r="A96" s="37">
        <f>'3   Material'!A96</f>
        <v>1512</v>
      </c>
      <c r="B96" s="4" t="str">
        <f>'3   Material'!B96</f>
        <v>Grade surface</v>
      </c>
      <c r="C96" s="4" t="str">
        <f>'3   Material'!C96</f>
        <v xml:space="preserve">Upper Creek Containment Pond 1 </v>
      </c>
      <c r="D96" s="4" t="str">
        <f>'3   Material'!D96</f>
        <v>-</v>
      </c>
      <c r="E96" s="364">
        <f>'14   Reveg'!C36</f>
        <v>1.1299999999999999</v>
      </c>
      <c r="F96" s="363"/>
      <c r="G96" s="358"/>
      <c r="H96" s="359"/>
      <c r="I96" s="358"/>
      <c r="J96" s="73"/>
      <c r="K96" s="73"/>
    </row>
    <row r="97" spans="1:11" x14ac:dyDescent="0.2">
      <c r="A97" s="37">
        <f>'3   Material'!A97</f>
        <v>1513</v>
      </c>
      <c r="B97" s="4" t="str">
        <f>'3   Material'!B97</f>
        <v>Grade cover soil</v>
      </c>
      <c r="C97" s="3" t="str">
        <f>'3   Material'!C97</f>
        <v xml:space="preserve">SWRDF Top </v>
      </c>
      <c r="D97" s="4" t="str">
        <f>'3   Material'!D97</f>
        <v>-</v>
      </c>
      <c r="E97" s="366"/>
      <c r="F97" s="362"/>
      <c r="G97" s="362">
        <f t="shared" ref="G97:G117" si="10">G35</f>
        <v>412368.00000000006</v>
      </c>
      <c r="H97" s="359">
        <v>0</v>
      </c>
      <c r="I97" s="358">
        <f t="shared" ref="I97:I102" si="11">G97*(1+H97)</f>
        <v>412368.00000000006</v>
      </c>
      <c r="J97" s="72"/>
      <c r="K97" s="72"/>
    </row>
    <row r="98" spans="1:11" x14ac:dyDescent="0.2">
      <c r="A98" s="37">
        <f>'3   Material'!A98</f>
        <v>1514</v>
      </c>
      <c r="B98" s="4" t="str">
        <f>'3   Material'!B98</f>
        <v>Grade cover soil</v>
      </c>
      <c r="C98" s="3" t="str">
        <f>'3   Material'!C98</f>
        <v>SWRDF Outslopes</v>
      </c>
      <c r="D98" s="4" t="str">
        <f>'3   Material'!D98</f>
        <v>-</v>
      </c>
      <c r="E98" s="366"/>
      <c r="F98" s="362"/>
      <c r="G98" s="362">
        <f t="shared" si="10"/>
        <v>1237104.0000000002</v>
      </c>
      <c r="H98" s="359">
        <v>0</v>
      </c>
      <c r="I98" s="358">
        <f t="shared" si="11"/>
        <v>1237104.0000000002</v>
      </c>
      <c r="K98" s="72"/>
    </row>
    <row r="99" spans="1:11" x14ac:dyDescent="0.2">
      <c r="A99" s="37">
        <f>'3   Material'!A99</f>
        <v>1515</v>
      </c>
      <c r="B99" s="4" t="str">
        <f>'3   Material'!B99</f>
        <v>Grade cover soil</v>
      </c>
      <c r="C99" s="3" t="str">
        <f>'3   Material'!C99</f>
        <v xml:space="preserve">SWRDF Top </v>
      </c>
      <c r="D99" s="4" t="str">
        <f>'3   Material'!D99</f>
        <v>-</v>
      </c>
      <c r="E99" s="366"/>
      <c r="F99" s="362"/>
      <c r="G99" s="362">
        <f t="shared" si="10"/>
        <v>119547.99999999999</v>
      </c>
      <c r="H99" s="359">
        <v>0</v>
      </c>
      <c r="I99" s="358">
        <f t="shared" si="11"/>
        <v>119547.99999999999</v>
      </c>
      <c r="J99" s="72"/>
      <c r="K99" s="72"/>
    </row>
    <row r="100" spans="1:11" x14ac:dyDescent="0.2">
      <c r="A100" s="37">
        <f>'3   Material'!A100</f>
        <v>1516</v>
      </c>
      <c r="B100" s="4" t="str">
        <f>'3   Material'!B100</f>
        <v>Grade cover soil</v>
      </c>
      <c r="C100" s="3" t="str">
        <f>'3   Material'!C100</f>
        <v>Hanover Mountain Deposit</v>
      </c>
      <c r="D100" s="4" t="str">
        <f>'3   Material'!D100</f>
        <v>-</v>
      </c>
      <c r="E100" s="366"/>
      <c r="F100" s="362"/>
      <c r="G100" s="362">
        <f t="shared" si="10"/>
        <v>451571.99999999994</v>
      </c>
      <c r="H100" s="359">
        <v>0</v>
      </c>
      <c r="I100" s="358">
        <f t="shared" si="11"/>
        <v>451571.99999999994</v>
      </c>
      <c r="J100" s="72"/>
      <c r="K100" s="72"/>
    </row>
    <row r="101" spans="1:11" x14ac:dyDescent="0.2">
      <c r="A101" s="37">
        <f>'3   Material'!A101</f>
        <v>1517</v>
      </c>
      <c r="B101" s="4" t="str">
        <f>'3   Material'!B101</f>
        <v>Grade cover soil</v>
      </c>
      <c r="C101" s="3" t="str">
        <f>'3   Material'!C101</f>
        <v>Pearson-Barnes Mine Area</v>
      </c>
      <c r="D101" s="4" t="str">
        <f>'3   Material'!D101</f>
        <v>-</v>
      </c>
      <c r="E101" s="366"/>
      <c r="F101" s="362"/>
      <c r="G101" s="362">
        <f t="shared" si="10"/>
        <v>57596.000000000007</v>
      </c>
      <c r="H101" s="359">
        <v>0</v>
      </c>
      <c r="I101" s="358">
        <f>G101*(1+H101)</f>
        <v>57596.000000000007</v>
      </c>
      <c r="J101" s="72"/>
      <c r="K101" s="72"/>
    </row>
    <row r="102" spans="1:11" x14ac:dyDescent="0.2">
      <c r="A102" s="37">
        <f>'3   Material'!A102</f>
        <v>1518</v>
      </c>
      <c r="B102" s="4" t="str">
        <f>'3   Material'!B102</f>
        <v>Grade cover soil</v>
      </c>
      <c r="C102" s="3" t="str">
        <f>'3   Material'!C102</f>
        <v>Low Grade WRF</v>
      </c>
      <c r="D102" s="4" t="str">
        <f>'3   Material'!D102</f>
        <v>-</v>
      </c>
      <c r="E102" s="366"/>
      <c r="F102" s="362"/>
      <c r="G102" s="362">
        <f t="shared" si="10"/>
        <v>44899.066666666658</v>
      </c>
      <c r="H102" s="359">
        <v>0</v>
      </c>
      <c r="I102" s="358">
        <f t="shared" si="11"/>
        <v>44899.066666666658</v>
      </c>
      <c r="J102" s="72"/>
      <c r="K102" s="72"/>
    </row>
    <row r="103" spans="1:11" x14ac:dyDescent="0.2">
      <c r="A103" s="37">
        <f>'3   Material'!A103</f>
        <v>1519</v>
      </c>
      <c r="B103" s="4" t="str">
        <f>'3   Material'!B103</f>
        <v>Grade cover soil</v>
      </c>
      <c r="C103" s="3" t="str">
        <f>'3   Material'!C103</f>
        <v>MTI Reclaim Pond</v>
      </c>
      <c r="D103" s="4" t="str">
        <f>'3   Material'!D103</f>
        <v>-</v>
      </c>
      <c r="E103" s="366"/>
      <c r="F103" s="362"/>
      <c r="G103" s="362">
        <f t="shared" si="10"/>
        <v>159720</v>
      </c>
      <c r="H103" s="359">
        <v>0</v>
      </c>
      <c r="I103" s="358">
        <f t="shared" ref="I103:I113" si="12">G103*(1+H103)</f>
        <v>159720</v>
      </c>
    </row>
    <row r="104" spans="1:11" x14ac:dyDescent="0.2">
      <c r="A104" s="37">
        <f>'3   Material'!A104</f>
        <v>1520</v>
      </c>
      <c r="B104" s="4" t="str">
        <f>'3   Material'!B104</f>
        <v>Grade cover soil</v>
      </c>
      <c r="C104" s="3" t="str">
        <f>'3   Material'!C104</f>
        <v>MTI  Top</v>
      </c>
      <c r="D104" s="4" t="str">
        <f>'3   Material'!D104</f>
        <v>-</v>
      </c>
      <c r="E104" s="366"/>
      <c r="F104" s="362"/>
      <c r="G104" s="362">
        <f>G42</f>
        <v>190284.10000000003</v>
      </c>
      <c r="H104" s="359">
        <v>0</v>
      </c>
      <c r="I104" s="358">
        <f t="shared" si="12"/>
        <v>190284.10000000003</v>
      </c>
    </row>
    <row r="105" spans="1:11" x14ac:dyDescent="0.2">
      <c r="A105" s="37">
        <f>'3   Material'!A105</f>
        <v>1521</v>
      </c>
      <c r="B105" s="4" t="str">
        <f>'3   Material'!B105</f>
        <v>Grade cover soil</v>
      </c>
      <c r="C105" s="3" t="str">
        <f>'3   Material'!C105</f>
        <v>MTI  Outslope</v>
      </c>
      <c r="D105" s="4" t="str">
        <f>'3   Material'!D105</f>
        <v>-</v>
      </c>
      <c r="E105" s="366"/>
      <c r="F105" s="362"/>
      <c r="G105" s="362">
        <f>G43</f>
        <v>175837.19999999998</v>
      </c>
      <c r="H105" s="359">
        <v>0</v>
      </c>
      <c r="I105" s="358">
        <f>G105*(1+H105)</f>
        <v>175837.19999999998</v>
      </c>
    </row>
    <row r="106" spans="1:11" x14ac:dyDescent="0.2">
      <c r="A106" s="37">
        <f>'3   Material'!A106</f>
        <v>1522</v>
      </c>
      <c r="B106" s="4" t="str">
        <f>'3   Material'!B106</f>
        <v>Grade cover soil</v>
      </c>
      <c r="C106" s="3" t="str">
        <f>'3   Material'!C106</f>
        <v>MTI  Top</v>
      </c>
      <c r="D106" s="4" t="str">
        <f>'3   Material'!D106</f>
        <v>-</v>
      </c>
      <c r="E106" s="366"/>
      <c r="F106" s="362"/>
      <c r="G106" s="362">
        <f t="shared" si="10"/>
        <v>62226</v>
      </c>
      <c r="H106" s="359">
        <v>0.15</v>
      </c>
      <c r="I106" s="358">
        <f>G106*(1+H106)</f>
        <v>71559.899999999994</v>
      </c>
    </row>
    <row r="107" spans="1:11" x14ac:dyDescent="0.2">
      <c r="A107" s="37">
        <f>'3   Material'!A107</f>
        <v>1523</v>
      </c>
      <c r="B107" s="4" t="str">
        <f>'3   Material'!B107</f>
        <v>Grade cover soil</v>
      </c>
      <c r="C107" s="3" t="str">
        <f>'3   Material'!C107</f>
        <v>Tailing Pipeline Corridor</v>
      </c>
      <c r="D107" s="4" t="str">
        <f>'3   Material'!D107</f>
        <v>-</v>
      </c>
      <c r="E107" s="366"/>
      <c r="F107" s="362"/>
      <c r="G107" s="362">
        <f t="shared" si="10"/>
        <v>6998.64</v>
      </c>
      <c r="H107" s="359">
        <v>0</v>
      </c>
      <c r="I107" s="358">
        <f>G107*(1+H107)</f>
        <v>6998.64</v>
      </c>
    </row>
    <row r="108" spans="1:11" ht="15.75" customHeight="1" x14ac:dyDescent="0.2">
      <c r="A108" s="37">
        <f>'3   Material'!A108</f>
        <v>1524</v>
      </c>
      <c r="B108" s="4" t="str">
        <f>'3   Material'!B108</f>
        <v>Grade cover soil</v>
      </c>
      <c r="C108" s="4" t="str">
        <f>'3   Material'!C108</f>
        <v>Grape Gulch Pond #3</v>
      </c>
      <c r="D108" s="4" t="str">
        <f>'3   Material'!D108</f>
        <v>-</v>
      </c>
      <c r="E108" s="367"/>
      <c r="F108" s="362"/>
      <c r="G108" s="362">
        <f t="shared" si="10"/>
        <v>1839.1999999999998</v>
      </c>
      <c r="H108" s="359">
        <v>0</v>
      </c>
      <c r="I108" s="358">
        <f t="shared" si="12"/>
        <v>1839.1999999999998</v>
      </c>
    </row>
    <row r="109" spans="1:11" x14ac:dyDescent="0.2">
      <c r="A109" s="37">
        <f>'3   Material'!A109</f>
        <v>1525</v>
      </c>
      <c r="B109" s="4" t="str">
        <f>'3   Material'!B109</f>
        <v>Grade cover soil</v>
      </c>
      <c r="C109" s="4" t="str">
        <f>'3   Material'!C109</f>
        <v>Magnetite Seepage Pond</v>
      </c>
      <c r="D109" s="4" t="str">
        <f>'3   Material'!D109</f>
        <v>-</v>
      </c>
      <c r="E109" s="367"/>
      <c r="F109" s="362"/>
      <c r="G109" s="362">
        <f t="shared" si="10"/>
        <v>968</v>
      </c>
      <c r="H109" s="359">
        <v>0</v>
      </c>
      <c r="I109" s="358">
        <f t="shared" si="12"/>
        <v>968</v>
      </c>
    </row>
    <row r="110" spans="1:11" x14ac:dyDescent="0.2">
      <c r="A110" s="37">
        <f>'3   Material'!A110</f>
        <v>1526</v>
      </c>
      <c r="B110" s="4" t="str">
        <f>'3   Material'!B110</f>
        <v>Grade cover soil</v>
      </c>
      <c r="C110" s="4" t="str">
        <f>'3   Material'!C110</f>
        <v>SWRF Dam 1</v>
      </c>
      <c r="D110" s="4" t="str">
        <f>'3   Material'!D110</f>
        <v>-</v>
      </c>
      <c r="E110" s="367"/>
      <c r="F110" s="362"/>
      <c r="G110" s="362">
        <f t="shared" si="10"/>
        <v>2516.7999999999997</v>
      </c>
      <c r="H110" s="359">
        <v>0</v>
      </c>
      <c r="I110" s="358">
        <f t="shared" si="12"/>
        <v>2516.7999999999997</v>
      </c>
    </row>
    <row r="111" spans="1:11" x14ac:dyDescent="0.2">
      <c r="A111" s="37">
        <f>'3   Material'!A111</f>
        <v>1527</v>
      </c>
      <c r="B111" s="4" t="str">
        <f>'3   Material'!B111</f>
        <v>Grade cover soil</v>
      </c>
      <c r="C111" s="4" t="str">
        <f>'3   Material'!C111</f>
        <v>SWRF Dam 2</v>
      </c>
      <c r="D111" s="4" t="str">
        <f>'3   Material'!D111</f>
        <v>-</v>
      </c>
      <c r="E111" s="367"/>
      <c r="F111" s="362"/>
      <c r="G111" s="362">
        <f t="shared" si="10"/>
        <v>1645.6000000000001</v>
      </c>
      <c r="H111" s="359">
        <v>0</v>
      </c>
      <c r="I111" s="358">
        <f t="shared" si="12"/>
        <v>1645.6000000000001</v>
      </c>
    </row>
    <row r="112" spans="1:11" x14ac:dyDescent="0.2">
      <c r="A112" s="37">
        <f>'3   Material'!A112</f>
        <v>1528</v>
      </c>
      <c r="B112" s="4" t="str">
        <f>'3   Material'!B112</f>
        <v>Grade cover soil</v>
      </c>
      <c r="C112" s="4" t="str">
        <f>'3   Material'!C112</f>
        <v>SWRF Dam 3</v>
      </c>
      <c r="D112" s="4" t="str">
        <f>'3   Material'!D112</f>
        <v>-</v>
      </c>
      <c r="E112" s="367"/>
      <c r="F112" s="362"/>
      <c r="G112" s="362">
        <f t="shared" si="10"/>
        <v>4065.6</v>
      </c>
      <c r="H112" s="359">
        <v>0</v>
      </c>
      <c r="I112" s="358">
        <f t="shared" si="12"/>
        <v>4065.6</v>
      </c>
    </row>
    <row r="113" spans="1:11" x14ac:dyDescent="0.2">
      <c r="A113" s="37">
        <f>'3   Material'!A113</f>
        <v>1529</v>
      </c>
      <c r="B113" s="4" t="str">
        <f>'3   Material'!B113</f>
        <v>Grade cover soil</v>
      </c>
      <c r="C113" s="4" t="str">
        <f>'3   Material'!C113</f>
        <v>North Tailings Decant Pond</v>
      </c>
      <c r="D113" s="4" t="str">
        <f>'3   Material'!D113</f>
        <v>-</v>
      </c>
      <c r="E113" s="366"/>
      <c r="F113" s="362"/>
      <c r="G113" s="362">
        <f t="shared" si="10"/>
        <v>2226.4</v>
      </c>
      <c r="H113" s="359">
        <v>0</v>
      </c>
      <c r="I113" s="358">
        <f t="shared" si="12"/>
        <v>2226.4</v>
      </c>
      <c r="J113" s="39"/>
      <c r="K113" s="39"/>
    </row>
    <row r="114" spans="1:11" x14ac:dyDescent="0.2">
      <c r="A114" s="37">
        <f>'3   Material'!A114</f>
        <v>1530</v>
      </c>
      <c r="B114" s="4" t="str">
        <f>'3   Material'!B114</f>
        <v>Grade cover soil</v>
      </c>
      <c r="C114" s="4" t="str">
        <f>'3   Material'!C114</f>
        <v>East WRF Containment</v>
      </c>
      <c r="D114" s="4" t="str">
        <f>'3   Material'!D114</f>
        <v>-</v>
      </c>
      <c r="E114" s="366"/>
      <c r="F114" s="362"/>
      <c r="G114" s="362">
        <f t="shared" si="10"/>
        <v>2420</v>
      </c>
      <c r="H114" s="359">
        <v>0</v>
      </c>
      <c r="I114" s="358">
        <f>G114*(1+H114)</f>
        <v>2420</v>
      </c>
      <c r="J114" s="39"/>
      <c r="K114" s="39"/>
    </row>
    <row r="115" spans="1:11" x14ac:dyDescent="0.2">
      <c r="A115" s="37">
        <f>'3   Material'!A115</f>
        <v>1531</v>
      </c>
      <c r="B115" s="4" t="str">
        <f>'3   Material'!B115</f>
        <v>Grade cover soil</v>
      </c>
      <c r="C115" s="4" t="str">
        <f>'3   Material'!C115</f>
        <v xml:space="preserve">Blackman's Seep (Pond #2) </v>
      </c>
      <c r="D115" s="4" t="str">
        <f>'3   Material'!D115</f>
        <v>-</v>
      </c>
      <c r="E115" s="366"/>
      <c r="F115" s="362"/>
      <c r="G115" s="362">
        <f t="shared" si="10"/>
        <v>48.4</v>
      </c>
      <c r="H115" s="359">
        <v>0</v>
      </c>
      <c r="I115" s="358">
        <f>G115*(1+H115)</f>
        <v>48.4</v>
      </c>
      <c r="J115" s="39"/>
      <c r="K115" s="39"/>
    </row>
    <row r="116" spans="1:11" x14ac:dyDescent="0.2">
      <c r="A116" s="37">
        <f>'3   Material'!A116</f>
        <v>1532</v>
      </c>
      <c r="B116" s="4" t="str">
        <f>'3   Material'!B116</f>
        <v>Grade cover soil</v>
      </c>
      <c r="C116" s="4" t="str">
        <f>'3   Material'!C116</f>
        <v>Decant Pond #4</v>
      </c>
      <c r="D116" s="4" t="str">
        <f>'3   Material'!D116</f>
        <v>-</v>
      </c>
      <c r="E116" s="366"/>
      <c r="F116" s="362"/>
      <c r="G116" s="362">
        <f t="shared" si="10"/>
        <v>3000.8</v>
      </c>
      <c r="H116" s="359">
        <v>0</v>
      </c>
      <c r="I116" s="358">
        <f>G116*(1+H116)</f>
        <v>3000.8</v>
      </c>
      <c r="J116" s="39"/>
      <c r="K116" s="39"/>
    </row>
    <row r="117" spans="1:11" x14ac:dyDescent="0.2">
      <c r="A117" s="37">
        <f>'3   Material'!A117</f>
        <v>1533</v>
      </c>
      <c r="B117" s="4" t="str">
        <f>'3   Material'!B117</f>
        <v>Grade cover soil</v>
      </c>
      <c r="C117" s="4" t="str">
        <f>'3   Material'!C117</f>
        <v xml:space="preserve">Upper Creek Containment Pond 1 </v>
      </c>
      <c r="D117" s="4" t="str">
        <f>'3   Material'!D117</f>
        <v>-</v>
      </c>
      <c r="E117" s="366"/>
      <c r="F117" s="362"/>
      <c r="G117" s="362">
        <f t="shared" si="10"/>
        <v>5469.1999999999989</v>
      </c>
      <c r="H117" s="359">
        <v>0</v>
      </c>
      <c r="I117" s="358">
        <f>G117*(1+H117)</f>
        <v>5469.1999999999989</v>
      </c>
      <c r="J117" s="39"/>
      <c r="K117" s="39"/>
    </row>
    <row r="118" spans="1:11" x14ac:dyDescent="0.2">
      <c r="A118" s="61">
        <f>'3   Material'!A118</f>
        <v>1600</v>
      </c>
      <c r="B118" s="76" t="str">
        <f>'3   Material'!B118</f>
        <v>Off-Hwy Water Tanker Truck</v>
      </c>
      <c r="C118" s="76"/>
      <c r="D118" s="61"/>
      <c r="E118" s="365"/>
      <c r="F118" s="358"/>
      <c r="G118" s="358"/>
      <c r="H118" s="359"/>
      <c r="I118" s="358"/>
      <c r="J118" s="39"/>
      <c r="K118" s="39"/>
    </row>
    <row r="119" spans="1:11" x14ac:dyDescent="0.2">
      <c r="A119" s="61">
        <f>'3   Material'!A119</f>
        <v>1601</v>
      </c>
      <c r="B119" s="76" t="str">
        <f>'3   Material'!B119</f>
        <v>Motor Grader</v>
      </c>
      <c r="C119" s="76"/>
      <c r="D119" s="61"/>
      <c r="E119" s="365"/>
      <c r="F119" s="358"/>
      <c r="G119" s="358"/>
      <c r="H119" s="359"/>
      <c r="I119" s="358"/>
      <c r="J119" s="39"/>
      <c r="K119" s="39"/>
    </row>
    <row r="120" spans="1:11" x14ac:dyDescent="0.2">
      <c r="A120" s="61"/>
      <c r="B120" s="61"/>
      <c r="C120" s="76"/>
      <c r="D120" s="61"/>
      <c r="E120" s="365"/>
      <c r="F120" s="358"/>
      <c r="G120" s="358"/>
      <c r="H120" s="359"/>
      <c r="I120" s="358"/>
      <c r="J120" s="77"/>
      <c r="K120" s="77"/>
    </row>
    <row r="121" spans="1:11" x14ac:dyDescent="0.2">
      <c r="A121" s="61"/>
      <c r="B121" s="61"/>
      <c r="C121" s="76"/>
      <c r="D121" s="61"/>
      <c r="E121" s="71"/>
      <c r="F121" s="44"/>
      <c r="G121" s="442"/>
      <c r="H121" s="438"/>
      <c r="I121" s="442"/>
      <c r="J121" s="77"/>
      <c r="K121" s="77"/>
    </row>
    <row r="122" spans="1:11" x14ac:dyDescent="0.2">
      <c r="A122" s="61"/>
      <c r="B122" s="61"/>
      <c r="C122" s="76"/>
      <c r="D122" s="61"/>
      <c r="E122" s="71"/>
      <c r="F122" s="44"/>
      <c r="G122" s="442"/>
      <c r="H122" s="438"/>
      <c r="I122" s="442"/>
      <c r="J122" s="77"/>
      <c r="K122" s="77"/>
    </row>
    <row r="123" spans="1:11" x14ac:dyDescent="0.2">
      <c r="A123" s="61"/>
      <c r="B123" s="61"/>
      <c r="C123" s="76"/>
      <c r="D123" s="61"/>
      <c r="E123" s="71"/>
      <c r="F123" s="44"/>
      <c r="G123" s="442"/>
      <c r="H123" s="438"/>
      <c r="I123" s="442"/>
      <c r="J123" s="77"/>
      <c r="K123" s="77"/>
    </row>
    <row r="124" spans="1:11" x14ac:dyDescent="0.2">
      <c r="A124" s="61"/>
      <c r="E124" s="71"/>
      <c r="F124" s="44"/>
      <c r="G124" s="442"/>
      <c r="H124" s="438"/>
      <c r="I124" s="442"/>
      <c r="J124" s="77"/>
      <c r="K124" s="77"/>
    </row>
    <row r="125" spans="1:11" x14ac:dyDescent="0.2">
      <c r="A125" s="61"/>
      <c r="E125" s="71"/>
      <c r="F125" s="44"/>
      <c r="G125" s="442"/>
      <c r="H125" s="438"/>
      <c r="I125" s="442"/>
      <c r="J125" s="77"/>
      <c r="K125" s="77"/>
    </row>
    <row r="126" spans="1:11" x14ac:dyDescent="0.2">
      <c r="A126" s="61"/>
      <c r="E126" s="71"/>
      <c r="F126" s="44"/>
      <c r="G126" s="442"/>
      <c r="H126" s="438"/>
      <c r="I126" s="442"/>
      <c r="J126" s="77"/>
      <c r="K126" s="77"/>
    </row>
    <row r="127" spans="1:11" x14ac:dyDescent="0.2">
      <c r="A127" s="61"/>
      <c r="E127" s="71"/>
      <c r="F127" s="44"/>
      <c r="G127" s="442"/>
      <c r="H127" s="438"/>
      <c r="I127" s="442"/>
      <c r="J127" s="77"/>
      <c r="K127" s="77"/>
    </row>
    <row r="128" spans="1:11" x14ac:dyDescent="0.2">
      <c r="A128" s="61"/>
      <c r="E128" s="71"/>
      <c r="F128" s="44"/>
      <c r="G128" s="442"/>
      <c r="H128" s="438"/>
      <c r="I128" s="442"/>
      <c r="J128" s="77"/>
      <c r="K128" s="77"/>
    </row>
    <row r="129" spans="1:11" x14ac:dyDescent="0.2">
      <c r="A129" s="61"/>
      <c r="E129" s="71"/>
      <c r="F129" s="44"/>
      <c r="G129" s="442"/>
      <c r="H129" s="438"/>
      <c r="I129" s="442"/>
      <c r="J129" s="77"/>
      <c r="K129" s="77"/>
    </row>
    <row r="130" spans="1:11" x14ac:dyDescent="0.2">
      <c r="A130" s="61"/>
      <c r="E130" s="71"/>
      <c r="J130" s="77"/>
      <c r="K130" s="77"/>
    </row>
    <row r="131" spans="1:11" x14ac:dyDescent="0.2">
      <c r="A131" s="61"/>
      <c r="E131" s="71"/>
      <c r="J131" s="77"/>
      <c r="K131" s="77"/>
    </row>
    <row r="132" spans="1:11" x14ac:dyDescent="0.2">
      <c r="A132" s="61"/>
      <c r="E132" s="71"/>
    </row>
  </sheetData>
  <printOptions horizontalCentered="1"/>
  <pageMargins left="0.25" right="0.25" top="0.75" bottom="0.75" header="0.3" footer="0.3"/>
  <pageSetup paperSize="3" scale="58" orientation="portrait" r:id="rId1"/>
  <headerFooter alignWithMargins="0">
    <oddFooter>&amp;C&amp;F
&amp;   Stockpile Sheet 4 
&amp;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0" r:id="rId5" name="Button 4">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1" r:id="rId6" name="Button 5">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2" r:id="rId7" name="Button 6">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3" r:id="rId8" name="Button 7">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4" r:id="rId9" name="Button 8">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5" r:id="rId10" name="Button 9">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4106" r:id="rId11" name="Button 10">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46"/>
  <sheetViews>
    <sheetView defaultGridColor="0" view="pageBreakPreview" colorId="22" zoomScale="55" zoomScaleNormal="75" zoomScaleSheetLayoutView="55" workbookViewId="0">
      <pane xSplit="3" topLeftCell="D1" activePane="topRight" state="frozen"/>
      <selection activeCell="A16" sqref="A16"/>
      <selection pane="topRight" activeCell="A16" sqref="A16"/>
    </sheetView>
  </sheetViews>
  <sheetFormatPr defaultColWidth="9.77734375" defaultRowHeight="15" x14ac:dyDescent="0.2"/>
  <cols>
    <col min="1" max="1" width="16.6640625" style="4" customWidth="1"/>
    <col min="2" max="2" width="59.44140625" style="4" customWidth="1"/>
    <col min="3" max="3" width="38.88671875" style="4" customWidth="1"/>
    <col min="4" max="4" width="10.21875" style="4" bestFit="1" customWidth="1"/>
    <col min="5" max="5" width="8.44140625" style="4" bestFit="1" customWidth="1"/>
    <col min="6" max="6" width="11.44140625" style="4" bestFit="1" customWidth="1"/>
    <col min="7" max="7" width="9.6640625" style="4" customWidth="1"/>
    <col min="8" max="8" width="8" style="4" customWidth="1"/>
    <col min="9" max="10" width="7" style="4" bestFit="1" customWidth="1"/>
    <col min="11" max="11" width="10.77734375" style="4" bestFit="1" customWidth="1"/>
    <col min="12" max="12" width="9.5546875" style="4" bestFit="1" customWidth="1"/>
    <col min="13" max="13" width="10.77734375" style="4" bestFit="1" customWidth="1"/>
    <col min="14" max="14" width="8.77734375" style="4" bestFit="1" customWidth="1"/>
    <col min="15" max="15" width="7.77734375" style="4" bestFit="1" customWidth="1"/>
    <col min="16" max="16" width="8" style="4" bestFit="1" customWidth="1"/>
    <col min="17" max="17" width="9.21875" style="4" bestFit="1" customWidth="1"/>
    <col min="18" max="18" width="7" style="4" bestFit="1" customWidth="1"/>
    <col min="19" max="19" width="8.5546875" style="4" customWidth="1"/>
    <col min="20" max="16384" width="9.77734375" style="4"/>
  </cols>
  <sheetData>
    <row r="1" spans="1:19" x14ac:dyDescent="0.2">
      <c r="A1" s="14"/>
      <c r="B1" s="14"/>
      <c r="C1" s="14"/>
      <c r="D1" s="14"/>
      <c r="F1" s="14"/>
      <c r="H1" s="3"/>
      <c r="I1" s="3"/>
      <c r="J1" s="3"/>
      <c r="K1" s="3"/>
      <c r="L1" s="3"/>
      <c r="M1" s="3"/>
      <c r="N1" s="3"/>
      <c r="O1" s="3"/>
      <c r="P1" s="3"/>
      <c r="Q1" s="3"/>
      <c r="R1" s="3"/>
      <c r="S1" s="2" t="str">
        <f>'1 General'!C1</f>
        <v>Cobre</v>
      </c>
    </row>
    <row r="2" spans="1:19" ht="18" x14ac:dyDescent="0.25">
      <c r="A2" s="437"/>
      <c r="B2" s="14"/>
      <c r="C2" s="14"/>
      <c r="D2" s="14"/>
      <c r="E2" s="14"/>
      <c r="F2" s="14"/>
      <c r="H2" s="3"/>
      <c r="I2" s="3"/>
      <c r="J2" s="3"/>
      <c r="K2" s="3"/>
      <c r="L2" s="3"/>
      <c r="M2" s="3"/>
      <c r="N2" s="3"/>
      <c r="O2" s="3"/>
      <c r="P2" s="3"/>
      <c r="Q2" s="3"/>
      <c r="R2" s="3"/>
      <c r="S2" s="2" t="s">
        <v>60</v>
      </c>
    </row>
    <row r="3" spans="1:19" x14ac:dyDescent="0.2">
      <c r="A3" s="78" t="s">
        <v>61</v>
      </c>
      <c r="B3" s="14"/>
      <c r="C3" s="14"/>
      <c r="D3" s="14"/>
      <c r="F3" s="14"/>
      <c r="H3" s="3"/>
      <c r="I3" s="3"/>
      <c r="J3" s="3"/>
      <c r="K3" s="3"/>
      <c r="L3" s="3"/>
      <c r="M3" s="3"/>
      <c r="N3" s="3"/>
      <c r="O3" s="3"/>
      <c r="P3" s="3"/>
      <c r="Q3" s="3"/>
      <c r="R3" s="3"/>
      <c r="S3" s="79">
        <f>'1 General'!$C$3</f>
        <v>41978</v>
      </c>
    </row>
    <row r="4" spans="1:19" x14ac:dyDescent="0.2">
      <c r="A4" s="78"/>
      <c r="B4" s="14"/>
      <c r="C4" s="14"/>
      <c r="D4" s="14"/>
      <c r="E4" s="14"/>
      <c r="F4" s="14"/>
      <c r="G4" s="2"/>
      <c r="H4" s="3"/>
      <c r="I4" s="3"/>
      <c r="J4" s="3"/>
      <c r="K4" s="3"/>
      <c r="L4" s="3"/>
      <c r="M4" s="3"/>
      <c r="N4" s="3"/>
      <c r="O4" s="3"/>
      <c r="P4" s="3"/>
      <c r="Q4" s="3"/>
      <c r="R4" s="3"/>
    </row>
    <row r="5" spans="1:19" x14ac:dyDescent="0.2">
      <c r="A5" s="78"/>
      <c r="B5" s="14"/>
      <c r="C5" s="14"/>
      <c r="D5" s="14"/>
      <c r="E5" s="14"/>
      <c r="F5" s="14"/>
      <c r="G5" s="2"/>
      <c r="H5" s="3"/>
      <c r="I5" s="3"/>
      <c r="J5" s="3"/>
      <c r="K5" s="3"/>
      <c r="L5" s="3"/>
      <c r="M5" s="3"/>
      <c r="N5" s="3"/>
      <c r="O5" s="3"/>
      <c r="P5" s="3"/>
      <c r="Q5" s="3"/>
      <c r="R5" s="3"/>
    </row>
    <row r="6" spans="1:19" x14ac:dyDescent="0.2">
      <c r="A6" s="14"/>
      <c r="B6" s="80"/>
      <c r="C6" s="80"/>
      <c r="D6" s="14"/>
      <c r="E6" s="81"/>
      <c r="F6" s="3"/>
      <c r="G6" s="3"/>
      <c r="H6" s="3" t="s">
        <v>62</v>
      </c>
      <c r="I6" s="3"/>
      <c r="J6" s="3"/>
      <c r="K6" s="3"/>
      <c r="L6" s="3"/>
      <c r="M6" s="3"/>
      <c r="N6" s="3"/>
      <c r="O6" s="3"/>
      <c r="P6" s="3"/>
      <c r="Q6" s="3"/>
      <c r="R6" s="3"/>
    </row>
    <row r="7" spans="1:19" x14ac:dyDescent="0.2">
      <c r="A7" s="368"/>
      <c r="B7" s="369"/>
      <c r="C7" s="317"/>
      <c r="D7" s="371"/>
      <c r="E7" s="66"/>
      <c r="F7" s="317"/>
      <c r="G7" s="317" t="s">
        <v>63</v>
      </c>
      <c r="H7" s="317"/>
      <c r="I7" s="317"/>
      <c r="J7" s="317"/>
      <c r="K7" s="317" t="s">
        <v>64</v>
      </c>
      <c r="L7" s="317" t="s">
        <v>65</v>
      </c>
      <c r="M7" s="317"/>
      <c r="N7" s="317"/>
      <c r="O7" s="317"/>
      <c r="P7" s="317"/>
      <c r="Q7" s="317"/>
      <c r="R7" s="317" t="s">
        <v>66</v>
      </c>
      <c r="S7" s="82"/>
    </row>
    <row r="8" spans="1:19" x14ac:dyDescent="0.2">
      <c r="A8" s="369"/>
      <c r="B8" s="369"/>
      <c r="C8" s="317"/>
      <c r="D8" s="317"/>
      <c r="E8" s="152" t="s">
        <v>67</v>
      </c>
      <c r="F8" s="152"/>
      <c r="G8" s="317" t="s">
        <v>68</v>
      </c>
      <c r="H8" s="317"/>
      <c r="I8" s="152"/>
      <c r="J8" s="317" t="s">
        <v>69</v>
      </c>
      <c r="K8" s="317" t="s">
        <v>70</v>
      </c>
      <c r="L8" s="317" t="s">
        <v>71</v>
      </c>
      <c r="M8" s="317" t="s">
        <v>72</v>
      </c>
      <c r="N8" s="317"/>
      <c r="O8" s="317" t="s">
        <v>73</v>
      </c>
      <c r="P8" s="317"/>
      <c r="Q8" s="317"/>
      <c r="R8" s="317" t="s">
        <v>74</v>
      </c>
      <c r="S8" s="82" t="s">
        <v>22</v>
      </c>
    </row>
    <row r="9" spans="1:19" x14ac:dyDescent="0.2">
      <c r="A9" s="317" t="s">
        <v>75</v>
      </c>
      <c r="B9" s="317" t="s">
        <v>20</v>
      </c>
      <c r="C9" s="317" t="s">
        <v>21</v>
      </c>
      <c r="D9" s="317" t="s">
        <v>23</v>
      </c>
      <c r="E9" s="152" t="s">
        <v>53</v>
      </c>
      <c r="F9" s="317" t="s">
        <v>76</v>
      </c>
      <c r="G9" s="317" t="s">
        <v>77</v>
      </c>
      <c r="H9" s="317" t="s">
        <v>78</v>
      </c>
      <c r="I9" s="317" t="s">
        <v>22</v>
      </c>
      <c r="J9" s="317" t="s">
        <v>79</v>
      </c>
      <c r="K9" s="317" t="s">
        <v>80</v>
      </c>
      <c r="L9" s="317" t="s">
        <v>81</v>
      </c>
      <c r="M9" s="317" t="s">
        <v>64</v>
      </c>
      <c r="N9" s="317" t="s">
        <v>82</v>
      </c>
      <c r="O9" s="317" t="s">
        <v>83</v>
      </c>
      <c r="P9" s="317" t="s">
        <v>84</v>
      </c>
      <c r="Q9" s="317" t="s">
        <v>85</v>
      </c>
      <c r="R9" s="317" t="s">
        <v>86</v>
      </c>
      <c r="S9" s="82"/>
    </row>
    <row r="10" spans="1:19" x14ac:dyDescent="0.2">
      <c r="A10" s="369"/>
      <c r="B10" s="369"/>
      <c r="C10" s="317"/>
      <c r="D10" s="317"/>
      <c r="E10" s="317" t="s">
        <v>87</v>
      </c>
      <c r="F10" s="317" t="s">
        <v>88</v>
      </c>
      <c r="G10" s="317" t="s">
        <v>89</v>
      </c>
      <c r="H10" s="317" t="s">
        <v>54</v>
      </c>
      <c r="I10" s="317" t="s">
        <v>54</v>
      </c>
      <c r="J10" s="317" t="s">
        <v>90</v>
      </c>
      <c r="K10" s="317" t="s">
        <v>54</v>
      </c>
      <c r="L10" s="317" t="s">
        <v>91</v>
      </c>
      <c r="M10" s="317" t="s">
        <v>88</v>
      </c>
      <c r="N10" s="317" t="s">
        <v>54</v>
      </c>
      <c r="O10" s="317" t="s">
        <v>92</v>
      </c>
      <c r="P10" s="317" t="s">
        <v>54</v>
      </c>
      <c r="Q10" s="317" t="s">
        <v>54</v>
      </c>
      <c r="R10" s="317" t="s">
        <v>54</v>
      </c>
      <c r="S10" s="83" t="s">
        <v>25</v>
      </c>
    </row>
    <row r="11" spans="1:19" ht="18.75" x14ac:dyDescent="0.3">
      <c r="A11" s="36"/>
      <c r="B11" s="3"/>
      <c r="C11" s="3"/>
      <c r="D11" s="3"/>
      <c r="E11" s="3"/>
      <c r="F11" s="3"/>
      <c r="G11" s="3"/>
      <c r="H11" s="3"/>
      <c r="I11" s="3"/>
      <c r="J11" s="3"/>
      <c r="K11" s="3"/>
      <c r="L11" s="3"/>
      <c r="M11" s="3"/>
      <c r="N11" s="3"/>
      <c r="O11" s="3"/>
      <c r="P11" s="3"/>
      <c r="Q11" s="3"/>
      <c r="R11" s="3"/>
    </row>
    <row r="12" spans="1:19" x14ac:dyDescent="0.2">
      <c r="A12" s="14" t="str">
        <f>'3   Material'!B10</f>
        <v>Regrade Top</v>
      </c>
      <c r="B12" s="3" t="str">
        <f>'4   Earthwork'!C10</f>
        <v>SWRDF</v>
      </c>
      <c r="C12" s="3" t="str">
        <f>'4   Earthwork'!D10</f>
        <v>Top</v>
      </c>
      <c r="D12" s="356" t="str">
        <f>'3   Material'!G10</f>
        <v>D11T CD</v>
      </c>
      <c r="E12" s="372">
        <f>'4   Earthwork'!I10</f>
        <v>666680</v>
      </c>
      <c r="F12" s="372">
        <f t="shared" ref="F12:F14" si="0">M12*N12*H12*O12/60*I12*2300/J12*K12*P12*Q12*R12</f>
        <v>448.57072009603229</v>
      </c>
      <c r="G12" s="372">
        <f t="shared" ref="G12:G14" si="1">IF(F12=0,0,E12/F12)</f>
        <v>1486.2316467228929</v>
      </c>
      <c r="H12" s="373">
        <v>1.2</v>
      </c>
      <c r="I12" s="374">
        <f t="shared" ref="I12:I14" si="2">-0.02*S12+1</f>
        <v>1.02</v>
      </c>
      <c r="J12" s="375">
        <v>3300</v>
      </c>
      <c r="K12" s="376">
        <v>1.2</v>
      </c>
      <c r="L12" s="377">
        <f>'3   Material'!E10</f>
        <v>540</v>
      </c>
      <c r="M12" s="378">
        <f t="shared" ref="M12:M14" si="3">IF(L12=0,0,159372.008958*L12^-0.862481)</f>
        <v>701.09092370792212</v>
      </c>
      <c r="N12" s="374">
        <v>0.75</v>
      </c>
      <c r="O12" s="379">
        <v>50</v>
      </c>
      <c r="P12" s="374">
        <v>1</v>
      </c>
      <c r="Q12" s="374">
        <v>1</v>
      </c>
      <c r="R12" s="376">
        <v>1</v>
      </c>
      <c r="S12" s="380">
        <v>-1</v>
      </c>
    </row>
    <row r="13" spans="1:19" x14ac:dyDescent="0.2">
      <c r="A13" s="14" t="str">
        <f>'3   Material'!B11</f>
        <v>Regrade Top</v>
      </c>
      <c r="B13" s="3" t="str">
        <f>'4   Earthwork'!C11</f>
        <v xml:space="preserve">MTI </v>
      </c>
      <c r="C13" s="3" t="str">
        <f>'4   Earthwork'!D11</f>
        <v>Top</v>
      </c>
      <c r="D13" s="356" t="str">
        <f>'3   Material'!G11</f>
        <v>D11T CD</v>
      </c>
      <c r="E13" s="372">
        <f>'4   Earthwork'!I11</f>
        <v>50794.5</v>
      </c>
      <c r="F13" s="372">
        <f t="shared" ref="F13" si="4">M13*N13*H13*O13/60*I13*2300/J13*K13*P13*Q13*R13</f>
        <v>1196.8146649283804</v>
      </c>
      <c r="G13" s="372">
        <f t="shared" ref="G13" si="5">IF(F13=0,0,E13/F13)</f>
        <v>42.441408422280354</v>
      </c>
      <c r="H13" s="373">
        <v>1.2</v>
      </c>
      <c r="I13" s="374">
        <f t="shared" ref="I13" si="6">-0.02*S13+1</f>
        <v>1.0154000000000001</v>
      </c>
      <c r="J13" s="375">
        <v>2900</v>
      </c>
      <c r="K13" s="376">
        <v>1.2</v>
      </c>
      <c r="L13" s="377">
        <f>'3   Material'!E11</f>
        <v>200</v>
      </c>
      <c r="M13" s="378">
        <f t="shared" ref="M13" si="7">IF(L13=0,0,159372.008958*L13^-0.862481)</f>
        <v>1651.2673562843815</v>
      </c>
      <c r="N13" s="374">
        <v>0.75</v>
      </c>
      <c r="O13" s="379">
        <v>50</v>
      </c>
      <c r="P13" s="374">
        <v>1</v>
      </c>
      <c r="Q13" s="374">
        <v>1</v>
      </c>
      <c r="R13" s="376">
        <v>1</v>
      </c>
      <c r="S13" s="380">
        <v>-0.77</v>
      </c>
    </row>
    <row r="14" spans="1:19" x14ac:dyDescent="0.2">
      <c r="A14" s="14" t="str">
        <f>'3   Material'!B12</f>
        <v>Regrade Outslope</v>
      </c>
      <c r="B14" s="3" t="str">
        <f>'4   Earthwork'!C12</f>
        <v xml:space="preserve">MTI Reclaim Pond </v>
      </c>
      <c r="C14" s="3" t="str">
        <f>'4   Earthwork'!D12</f>
        <v>Top and Outslope</v>
      </c>
      <c r="D14" s="356" t="str">
        <f>'3   Material'!G12</f>
        <v>D11T CD</v>
      </c>
      <c r="E14" s="372">
        <f>'4   Earthwork'!I12</f>
        <v>67765</v>
      </c>
      <c r="F14" s="372">
        <f t="shared" si="0"/>
        <v>1719.4196635346643</v>
      </c>
      <c r="G14" s="372">
        <f t="shared" si="1"/>
        <v>39.411553466065051</v>
      </c>
      <c r="H14" s="373">
        <v>1.2</v>
      </c>
      <c r="I14" s="374">
        <f t="shared" si="2"/>
        <v>1.6600000000000001</v>
      </c>
      <c r="J14" s="375">
        <v>3300</v>
      </c>
      <c r="K14" s="376">
        <v>1.2</v>
      </c>
      <c r="L14" s="377">
        <f>'3   Material'!E12</f>
        <v>200</v>
      </c>
      <c r="M14" s="378">
        <f t="shared" si="3"/>
        <v>1651.2673562843815</v>
      </c>
      <c r="N14" s="374">
        <v>0.75</v>
      </c>
      <c r="O14" s="379">
        <v>50</v>
      </c>
      <c r="P14" s="374">
        <v>1</v>
      </c>
      <c r="Q14" s="374">
        <v>1</v>
      </c>
      <c r="R14" s="376">
        <v>1</v>
      </c>
      <c r="S14" s="380">
        <v>-33</v>
      </c>
    </row>
    <row r="15" spans="1:19" x14ac:dyDescent="0.2">
      <c r="A15" s="14" t="str">
        <f>'3   Material'!B13</f>
        <v>Regrade Outslope</v>
      </c>
      <c r="B15" s="3" t="str">
        <f>'4   Earthwork'!C13</f>
        <v xml:space="preserve">MTI </v>
      </c>
      <c r="C15" s="3" t="str">
        <f>'4   Earthwork'!D13</f>
        <v>Outslope</v>
      </c>
      <c r="D15" s="356" t="str">
        <f>'3   Material'!G13</f>
        <v>D11T CD</v>
      </c>
      <c r="E15" s="372">
        <f>'4   Earthwork'!I13</f>
        <v>170294</v>
      </c>
      <c r="F15" s="372">
        <f t="shared" ref="F15" si="8">M15*N15*H15*O15/60*I15*2300/J15*K15*P15*Q15*R15</f>
        <v>1614.0418310982079</v>
      </c>
      <c r="G15" s="372">
        <f t="shared" ref="G15" si="9">IF(F15=0,0,E15/F15)</f>
        <v>105.50779832275505</v>
      </c>
      <c r="H15" s="373">
        <v>1.2</v>
      </c>
      <c r="I15" s="374">
        <f t="shared" ref="I15" si="10">-0.02*S15+1</f>
        <v>1.6600000000000001</v>
      </c>
      <c r="J15" s="375">
        <v>2900</v>
      </c>
      <c r="K15" s="376">
        <v>1.2</v>
      </c>
      <c r="L15" s="377">
        <f>'3   Material'!E13</f>
        <v>250</v>
      </c>
      <c r="M15" s="378">
        <f t="shared" ref="M15" si="11">IF(L15=0,0,159372.008958*L15^-0.862481)</f>
        <v>1362.1795326770277</v>
      </c>
      <c r="N15" s="374">
        <v>0.75</v>
      </c>
      <c r="O15" s="379">
        <v>50</v>
      </c>
      <c r="P15" s="374">
        <v>1</v>
      </c>
      <c r="Q15" s="374">
        <v>1</v>
      </c>
      <c r="R15" s="376">
        <v>1</v>
      </c>
      <c r="S15" s="380">
        <v>-33</v>
      </c>
    </row>
    <row r="16" spans="1:19" x14ac:dyDescent="0.2">
      <c r="A16" s="14" t="str">
        <f>'3   Material'!B14</f>
        <v>Dozer Assist</v>
      </c>
      <c r="B16" s="3" t="str">
        <f>'4   Earthwork'!C14</f>
        <v>OB Stockpile 1 through 4, Topsoil Stockpile, South OB Stockpile</v>
      </c>
      <c r="C16" s="3" t="str">
        <f>'4   Earthwork'!D14</f>
        <v xml:space="preserve">SWRDF Top </v>
      </c>
      <c r="D16" s="356" t="str">
        <f>'3   Material'!G14</f>
        <v>D11T CD</v>
      </c>
      <c r="E16" s="372" t="s">
        <v>93</v>
      </c>
      <c r="F16" s="372" t="s">
        <v>93</v>
      </c>
      <c r="G16" s="372">
        <f>'10   Loader'!I11</f>
        <v>382.91314285714293</v>
      </c>
      <c r="H16" s="373" t="s">
        <v>93</v>
      </c>
      <c r="I16" s="374" t="s">
        <v>93</v>
      </c>
      <c r="J16" s="373" t="s">
        <v>93</v>
      </c>
      <c r="K16" s="373" t="s">
        <v>93</v>
      </c>
      <c r="L16" s="373" t="s">
        <v>93</v>
      </c>
      <c r="M16" s="373" t="s">
        <v>93</v>
      </c>
      <c r="N16" s="373" t="s">
        <v>93</v>
      </c>
      <c r="O16" s="373" t="s">
        <v>93</v>
      </c>
      <c r="P16" s="373" t="s">
        <v>93</v>
      </c>
      <c r="Q16" s="373" t="s">
        <v>93</v>
      </c>
      <c r="R16" s="373" t="s">
        <v>93</v>
      </c>
      <c r="S16" s="381" t="s">
        <v>93</v>
      </c>
    </row>
    <row r="17" spans="1:19" x14ac:dyDescent="0.2">
      <c r="A17" s="14" t="str">
        <f>'3   Material'!B15</f>
        <v>Dozer Assist</v>
      </c>
      <c r="B17" s="3" t="str">
        <f>'4   Earthwork'!C15</f>
        <v>OB Stockpile 1 through 4, Topsoil Stockpile, South OB Stockpile</v>
      </c>
      <c r="C17" s="3" t="str">
        <f>'4   Earthwork'!D15</f>
        <v>SWRDF Outslopes</v>
      </c>
      <c r="D17" s="356" t="str">
        <f>'3   Material'!G15</f>
        <v>D11T CD</v>
      </c>
      <c r="E17" s="372" t="s">
        <v>93</v>
      </c>
      <c r="F17" s="372" t="s">
        <v>93</v>
      </c>
      <c r="G17" s="372">
        <f>'10   Loader'!I12</f>
        <v>1148.7394285714288</v>
      </c>
      <c r="H17" s="373" t="s">
        <v>93</v>
      </c>
      <c r="I17" s="374" t="s">
        <v>93</v>
      </c>
      <c r="J17" s="373" t="s">
        <v>93</v>
      </c>
      <c r="K17" s="373" t="s">
        <v>93</v>
      </c>
      <c r="L17" s="373" t="s">
        <v>93</v>
      </c>
      <c r="M17" s="373" t="s">
        <v>93</v>
      </c>
      <c r="N17" s="373" t="s">
        <v>93</v>
      </c>
      <c r="O17" s="373" t="s">
        <v>93</v>
      </c>
      <c r="P17" s="373" t="s">
        <v>93</v>
      </c>
      <c r="Q17" s="373" t="s">
        <v>93</v>
      </c>
      <c r="R17" s="373" t="s">
        <v>93</v>
      </c>
      <c r="S17" s="381" t="s">
        <v>93</v>
      </c>
    </row>
    <row r="18" spans="1:19" x14ac:dyDescent="0.2">
      <c r="A18" s="14" t="str">
        <f>'3   Material'!B16</f>
        <v>Dozer Assist</v>
      </c>
      <c r="B18" s="3" t="str">
        <f>'4   Earthwork'!C16</f>
        <v>NOBS</v>
      </c>
      <c r="C18" s="3" t="str">
        <f>'4   Earthwork'!D16</f>
        <v xml:space="preserve">SWRDF Top </v>
      </c>
      <c r="D18" s="356" t="str">
        <f>'3   Material'!G16</f>
        <v>D11T CD</v>
      </c>
      <c r="E18" s="372" t="s">
        <v>93</v>
      </c>
      <c r="F18" s="372" t="s">
        <v>93</v>
      </c>
      <c r="G18" s="372">
        <f>'10   Loader'!I13</f>
        <v>111.00885714285712</v>
      </c>
      <c r="H18" s="373" t="s">
        <v>93</v>
      </c>
      <c r="I18" s="374" t="s">
        <v>93</v>
      </c>
      <c r="J18" s="373" t="s">
        <v>93</v>
      </c>
      <c r="K18" s="373" t="s">
        <v>93</v>
      </c>
      <c r="L18" s="373" t="s">
        <v>93</v>
      </c>
      <c r="M18" s="373" t="s">
        <v>93</v>
      </c>
      <c r="N18" s="373" t="s">
        <v>93</v>
      </c>
      <c r="O18" s="373" t="s">
        <v>93</v>
      </c>
      <c r="P18" s="373" t="s">
        <v>93</v>
      </c>
      <c r="Q18" s="373" t="s">
        <v>93</v>
      </c>
      <c r="R18" s="373" t="s">
        <v>93</v>
      </c>
      <c r="S18" s="381" t="s">
        <v>93</v>
      </c>
    </row>
    <row r="19" spans="1:19" x14ac:dyDescent="0.2">
      <c r="A19" s="14" t="str">
        <f>'3   Material'!B17</f>
        <v>Dozer Assist</v>
      </c>
      <c r="B19" s="3" t="str">
        <f>'4   Earthwork'!C17</f>
        <v>NOBS</v>
      </c>
      <c r="C19" s="3" t="str">
        <f>'4   Earthwork'!D17</f>
        <v>Hanover Mountain Deposit</v>
      </c>
      <c r="D19" s="356" t="str">
        <f>'3   Material'!G17</f>
        <v>D11T CD</v>
      </c>
      <c r="E19" s="372" t="s">
        <v>93</v>
      </c>
      <c r="F19" s="372" t="s">
        <v>93</v>
      </c>
      <c r="G19" s="372">
        <f>'10   Loader'!I14</f>
        <v>419.31685714285709</v>
      </c>
      <c r="H19" s="373" t="s">
        <v>93</v>
      </c>
      <c r="I19" s="374" t="s">
        <v>93</v>
      </c>
      <c r="J19" s="373" t="s">
        <v>93</v>
      </c>
      <c r="K19" s="373" t="s">
        <v>93</v>
      </c>
      <c r="L19" s="373" t="s">
        <v>93</v>
      </c>
      <c r="M19" s="373" t="s">
        <v>93</v>
      </c>
      <c r="N19" s="373" t="s">
        <v>93</v>
      </c>
      <c r="O19" s="373" t="s">
        <v>93</v>
      </c>
      <c r="P19" s="373" t="s">
        <v>93</v>
      </c>
      <c r="Q19" s="373" t="s">
        <v>93</v>
      </c>
      <c r="R19" s="373" t="s">
        <v>93</v>
      </c>
      <c r="S19" s="381" t="s">
        <v>93</v>
      </c>
    </row>
    <row r="20" spans="1:19" x14ac:dyDescent="0.2">
      <c r="A20" s="14" t="str">
        <f>'3   Material'!B18</f>
        <v>Dozer Assist</v>
      </c>
      <c r="B20" s="3" t="str">
        <f>'4   Earthwork'!C18</f>
        <v>OB Stockpile 1 through 3, Topsoil Stockpile, South OB Stockpile</v>
      </c>
      <c r="C20" s="3" t="str">
        <f>'4   Earthwork'!D18</f>
        <v>Pearson-Barnes Mine Area</v>
      </c>
      <c r="D20" s="356" t="str">
        <f>'3   Material'!G18</f>
        <v>D11T CD</v>
      </c>
      <c r="E20" s="372" t="s">
        <v>93</v>
      </c>
      <c r="F20" s="372" t="s">
        <v>93</v>
      </c>
      <c r="G20" s="372">
        <f>'10   Loader'!I15</f>
        <v>53.482000000000006</v>
      </c>
      <c r="H20" s="373" t="s">
        <v>93</v>
      </c>
      <c r="I20" s="374" t="s">
        <v>93</v>
      </c>
      <c r="J20" s="373" t="s">
        <v>93</v>
      </c>
      <c r="K20" s="373" t="s">
        <v>93</v>
      </c>
      <c r="L20" s="373" t="s">
        <v>93</v>
      </c>
      <c r="M20" s="373" t="s">
        <v>93</v>
      </c>
      <c r="N20" s="373" t="s">
        <v>93</v>
      </c>
      <c r="O20" s="373" t="s">
        <v>93</v>
      </c>
      <c r="P20" s="373" t="s">
        <v>93</v>
      </c>
      <c r="Q20" s="373" t="s">
        <v>93</v>
      </c>
      <c r="R20" s="373" t="s">
        <v>93</v>
      </c>
      <c r="S20" s="381" t="s">
        <v>93</v>
      </c>
    </row>
    <row r="21" spans="1:19" x14ac:dyDescent="0.2">
      <c r="A21" s="14" t="str">
        <f>'3   Material'!B19</f>
        <v>Dozer Assist</v>
      </c>
      <c r="B21" s="3" t="str">
        <f>'4   Earthwork'!C19</f>
        <v>OB-4 Stockpile</v>
      </c>
      <c r="C21" s="3" t="str">
        <f>'4   Earthwork'!D19</f>
        <v>Low Grade WRF</v>
      </c>
      <c r="D21" s="356" t="str">
        <f>'3   Material'!G19</f>
        <v>D11T CD</v>
      </c>
      <c r="E21" s="372" t="s">
        <v>93</v>
      </c>
      <c r="F21" s="372" t="s">
        <v>93</v>
      </c>
      <c r="G21" s="372">
        <f>'10   Loader'!I16</f>
        <v>41.691990476190469</v>
      </c>
      <c r="H21" s="373" t="s">
        <v>93</v>
      </c>
      <c r="I21" s="374" t="s">
        <v>93</v>
      </c>
      <c r="J21" s="373" t="s">
        <v>93</v>
      </c>
      <c r="K21" s="373" t="s">
        <v>93</v>
      </c>
      <c r="L21" s="373" t="s">
        <v>93</v>
      </c>
      <c r="M21" s="373" t="s">
        <v>93</v>
      </c>
      <c r="N21" s="373" t="s">
        <v>93</v>
      </c>
      <c r="O21" s="373" t="s">
        <v>93</v>
      </c>
      <c r="P21" s="373" t="s">
        <v>93</v>
      </c>
      <c r="Q21" s="373" t="s">
        <v>93</v>
      </c>
      <c r="R21" s="373" t="s">
        <v>93</v>
      </c>
      <c r="S21" s="381" t="s">
        <v>93</v>
      </c>
    </row>
    <row r="22" spans="1:19" x14ac:dyDescent="0.2">
      <c r="A22" s="14" t="str">
        <f>'3   Material'!B20</f>
        <v>Dozer Assist</v>
      </c>
      <c r="B22" s="3" t="str">
        <f>'4   Earthwork'!C20</f>
        <v>NOBS</v>
      </c>
      <c r="C22" s="3" t="str">
        <f>'4   Earthwork'!D20</f>
        <v>MTI Reclaim Pond</v>
      </c>
      <c r="D22" s="356" t="str">
        <f>'3   Material'!G20</f>
        <v>D11T CD</v>
      </c>
      <c r="E22" s="372" t="s">
        <v>93</v>
      </c>
      <c r="F22" s="372" t="s">
        <v>93</v>
      </c>
      <c r="G22" s="372">
        <f>'10   Loader'!I17</f>
        <v>148.31142857142856</v>
      </c>
      <c r="H22" s="373" t="s">
        <v>93</v>
      </c>
      <c r="I22" s="374" t="s">
        <v>93</v>
      </c>
      <c r="J22" s="373" t="s">
        <v>93</v>
      </c>
      <c r="K22" s="373" t="s">
        <v>93</v>
      </c>
      <c r="L22" s="373" t="s">
        <v>93</v>
      </c>
      <c r="M22" s="373" t="s">
        <v>93</v>
      </c>
      <c r="N22" s="373" t="s">
        <v>93</v>
      </c>
      <c r="O22" s="373" t="s">
        <v>93</v>
      </c>
      <c r="P22" s="373" t="s">
        <v>93</v>
      </c>
      <c r="Q22" s="373" t="s">
        <v>93</v>
      </c>
      <c r="R22" s="373" t="s">
        <v>93</v>
      </c>
      <c r="S22" s="381" t="s">
        <v>93</v>
      </c>
    </row>
    <row r="23" spans="1:19" x14ac:dyDescent="0.2">
      <c r="A23" s="14" t="str">
        <f>'3   Material'!B21</f>
        <v>Dozer Assist</v>
      </c>
      <c r="B23" s="3" t="str">
        <f>'4   Earthwork'!C21</f>
        <v>NOBS</v>
      </c>
      <c r="C23" s="3" t="str">
        <f>'4   Earthwork'!D21</f>
        <v>MTI  Top</v>
      </c>
      <c r="D23" s="356" t="str">
        <f>'3   Material'!G21</f>
        <v>D11T CD</v>
      </c>
      <c r="E23" s="372" t="s">
        <v>93</v>
      </c>
      <c r="F23" s="372" t="s">
        <v>93</v>
      </c>
      <c r="G23" s="372">
        <f>'10   Loader'!I18</f>
        <v>176.69237857142861</v>
      </c>
      <c r="H23" s="373" t="s">
        <v>93</v>
      </c>
      <c r="I23" s="374" t="s">
        <v>93</v>
      </c>
      <c r="J23" s="373" t="s">
        <v>93</v>
      </c>
      <c r="K23" s="373" t="s">
        <v>93</v>
      </c>
      <c r="L23" s="373" t="s">
        <v>93</v>
      </c>
      <c r="M23" s="373" t="s">
        <v>93</v>
      </c>
      <c r="N23" s="373" t="s">
        <v>93</v>
      </c>
      <c r="O23" s="373" t="s">
        <v>93</v>
      </c>
      <c r="P23" s="373" t="s">
        <v>93</v>
      </c>
      <c r="Q23" s="373" t="s">
        <v>93</v>
      </c>
      <c r="R23" s="373" t="s">
        <v>93</v>
      </c>
      <c r="S23" s="381" t="s">
        <v>93</v>
      </c>
    </row>
    <row r="24" spans="1:19" x14ac:dyDescent="0.2">
      <c r="A24" s="14" t="str">
        <f>'3   Material'!B22</f>
        <v>Dozer Assist</v>
      </c>
      <c r="B24" s="3" t="str">
        <f>'4   Earthwork'!C22</f>
        <v>NOBS</v>
      </c>
      <c r="C24" s="3" t="str">
        <f>'4   Earthwork'!D22</f>
        <v>MTI  Outslope</v>
      </c>
      <c r="D24" s="356" t="str">
        <f>'3   Material'!G22</f>
        <v>D11T CD</v>
      </c>
      <c r="E24" s="372" t="s">
        <v>93</v>
      </c>
      <c r="F24" s="372" t="s">
        <v>93</v>
      </c>
      <c r="G24" s="372">
        <f>'10   Loader'!I19</f>
        <v>163.2774</v>
      </c>
      <c r="H24" s="373" t="s">
        <v>93</v>
      </c>
      <c r="I24" s="374" t="s">
        <v>93</v>
      </c>
      <c r="J24" s="373" t="s">
        <v>93</v>
      </c>
      <c r="K24" s="373" t="s">
        <v>93</v>
      </c>
      <c r="L24" s="373" t="s">
        <v>93</v>
      </c>
      <c r="M24" s="373" t="s">
        <v>93</v>
      </c>
      <c r="N24" s="373" t="s">
        <v>93</v>
      </c>
      <c r="O24" s="373" t="s">
        <v>93</v>
      </c>
      <c r="P24" s="373" t="s">
        <v>93</v>
      </c>
      <c r="Q24" s="373" t="s">
        <v>93</v>
      </c>
      <c r="R24" s="373" t="s">
        <v>93</v>
      </c>
      <c r="S24" s="381" t="s">
        <v>93</v>
      </c>
    </row>
    <row r="25" spans="1:19" x14ac:dyDescent="0.2">
      <c r="A25" s="14" t="str">
        <f>'3   Material'!B23</f>
        <v>Dozer Assist</v>
      </c>
      <c r="B25" s="3" t="str">
        <f>'4   Earthwork'!C23</f>
        <v>Reclaim Pond Outlet Channel</v>
      </c>
      <c r="C25" s="3" t="str">
        <f>'4   Earthwork'!D23</f>
        <v>MTI  Top</v>
      </c>
      <c r="D25" s="356" t="str">
        <f>'3   Material'!G23</f>
        <v>D11T CD</v>
      </c>
      <c r="E25" s="372" t="s">
        <v>93</v>
      </c>
      <c r="F25" s="372" t="s">
        <v>93</v>
      </c>
      <c r="G25" s="372">
        <f>'10   Loader'!I20</f>
        <v>66.448478571428566</v>
      </c>
      <c r="H25" s="373" t="s">
        <v>93</v>
      </c>
      <c r="I25" s="374" t="s">
        <v>93</v>
      </c>
      <c r="J25" s="373" t="s">
        <v>93</v>
      </c>
      <c r="K25" s="373" t="s">
        <v>93</v>
      </c>
      <c r="L25" s="373" t="s">
        <v>93</v>
      </c>
      <c r="M25" s="373" t="s">
        <v>93</v>
      </c>
      <c r="N25" s="373" t="s">
        <v>93</v>
      </c>
      <c r="O25" s="373" t="s">
        <v>93</v>
      </c>
      <c r="P25" s="373" t="s">
        <v>93</v>
      </c>
      <c r="Q25" s="373" t="s">
        <v>93</v>
      </c>
      <c r="R25" s="373" t="s">
        <v>93</v>
      </c>
      <c r="S25" s="381" t="s">
        <v>93</v>
      </c>
    </row>
    <row r="26" spans="1:19" ht="13.5" customHeight="1" x14ac:dyDescent="0.2">
      <c r="A26" s="14" t="str">
        <f>'3   Material'!B24</f>
        <v>Dozer Assist</v>
      </c>
      <c r="B26" s="3" t="str">
        <f>'4   Earthwork'!C24</f>
        <v>NOBS</v>
      </c>
      <c r="C26" s="3" t="str">
        <f>'4   Earthwork'!D24</f>
        <v>Tailing Pipeline Corridor</v>
      </c>
      <c r="D26" s="356" t="str">
        <f>'3   Material'!G24</f>
        <v>D11T CD</v>
      </c>
      <c r="E26" s="372" t="s">
        <v>93</v>
      </c>
      <c r="F26" s="372" t="s">
        <v>93</v>
      </c>
      <c r="G26" s="372">
        <f>'10   Loader'!I21</f>
        <v>6.4987371428571432</v>
      </c>
      <c r="H26" s="373" t="s">
        <v>93</v>
      </c>
      <c r="I26" s="374" t="s">
        <v>93</v>
      </c>
      <c r="J26" s="373" t="s">
        <v>93</v>
      </c>
      <c r="K26" s="373" t="s">
        <v>93</v>
      </c>
      <c r="L26" s="373" t="s">
        <v>93</v>
      </c>
      <c r="M26" s="373" t="s">
        <v>93</v>
      </c>
      <c r="N26" s="373" t="s">
        <v>93</v>
      </c>
      <c r="O26" s="373" t="s">
        <v>93</v>
      </c>
      <c r="P26" s="373" t="s">
        <v>93</v>
      </c>
      <c r="Q26" s="373" t="s">
        <v>93</v>
      </c>
      <c r="R26" s="373" t="s">
        <v>93</v>
      </c>
      <c r="S26" s="381" t="s">
        <v>93</v>
      </c>
    </row>
    <row r="27" spans="1:19" x14ac:dyDescent="0.2">
      <c r="A27" s="14" t="str">
        <f>'3   Material'!B25</f>
        <v>Dozer Assist</v>
      </c>
      <c r="B27" s="3" t="str">
        <f>'4   Earthwork'!C25</f>
        <v>NOBS</v>
      </c>
      <c r="C27" s="3" t="str">
        <f>'4   Earthwork'!D25</f>
        <v>Grape Gulch Pond #3</v>
      </c>
      <c r="D27" s="356" t="str">
        <f>'3   Material'!G25</f>
        <v>D11T CD</v>
      </c>
      <c r="E27" s="372" t="s">
        <v>93</v>
      </c>
      <c r="F27" s="372" t="s">
        <v>93</v>
      </c>
      <c r="G27" s="383">
        <f>'10   Loader'!I22</f>
        <v>1.7078285714285713</v>
      </c>
      <c r="H27" s="373" t="s">
        <v>93</v>
      </c>
      <c r="I27" s="374" t="s">
        <v>93</v>
      </c>
      <c r="J27" s="373" t="s">
        <v>93</v>
      </c>
      <c r="K27" s="373" t="s">
        <v>93</v>
      </c>
      <c r="L27" s="373" t="s">
        <v>93</v>
      </c>
      <c r="M27" s="373" t="s">
        <v>93</v>
      </c>
      <c r="N27" s="373" t="s">
        <v>93</v>
      </c>
      <c r="O27" s="373" t="s">
        <v>93</v>
      </c>
      <c r="P27" s="373" t="s">
        <v>93</v>
      </c>
      <c r="Q27" s="373" t="s">
        <v>93</v>
      </c>
      <c r="R27" s="373" t="s">
        <v>93</v>
      </c>
      <c r="S27" s="381" t="s">
        <v>93</v>
      </c>
    </row>
    <row r="28" spans="1:19" x14ac:dyDescent="0.2">
      <c r="A28" s="14" t="str">
        <f>'3   Material'!B26</f>
        <v>Dozer Assist</v>
      </c>
      <c r="B28" s="3" t="str">
        <f>'4   Earthwork'!C26</f>
        <v>NOBS</v>
      </c>
      <c r="C28" s="3" t="str">
        <f>'4   Earthwork'!D26</f>
        <v>Magnetite Seepage Pond</v>
      </c>
      <c r="D28" s="356" t="str">
        <f>'3   Material'!G26</f>
        <v>D11T CD</v>
      </c>
      <c r="E28" s="372" t="s">
        <v>93</v>
      </c>
      <c r="F28" s="372" t="s">
        <v>93</v>
      </c>
      <c r="G28" s="383">
        <f>'10   Loader'!I23</f>
        <v>0.89885714285714291</v>
      </c>
      <c r="H28" s="373" t="s">
        <v>93</v>
      </c>
      <c r="I28" s="374" t="s">
        <v>93</v>
      </c>
      <c r="J28" s="373" t="s">
        <v>93</v>
      </c>
      <c r="K28" s="373" t="s">
        <v>93</v>
      </c>
      <c r="L28" s="373" t="s">
        <v>93</v>
      </c>
      <c r="M28" s="373" t="s">
        <v>93</v>
      </c>
      <c r="N28" s="373" t="s">
        <v>93</v>
      </c>
      <c r="O28" s="373" t="s">
        <v>93</v>
      </c>
      <c r="P28" s="373" t="s">
        <v>93</v>
      </c>
      <c r="Q28" s="373" t="s">
        <v>93</v>
      </c>
      <c r="R28" s="373" t="s">
        <v>93</v>
      </c>
      <c r="S28" s="381" t="s">
        <v>93</v>
      </c>
    </row>
    <row r="29" spans="1:19" x14ac:dyDescent="0.2">
      <c r="A29" s="14" t="str">
        <f>'3   Material'!B27</f>
        <v>Dozer Assist</v>
      </c>
      <c r="B29" s="3" t="str">
        <f>'4   Earthwork'!C27</f>
        <v>OB Stockpile 1 through 3, Topsoil Stockpile, South OB Stockpile</v>
      </c>
      <c r="C29" s="3" t="str">
        <f>'4   Earthwork'!D27</f>
        <v>SWRF Dam 1</v>
      </c>
      <c r="D29" s="356" t="str">
        <f>'3   Material'!G27</f>
        <v>D11T CD</v>
      </c>
      <c r="E29" s="372" t="s">
        <v>93</v>
      </c>
      <c r="F29" s="372" t="s">
        <v>93</v>
      </c>
      <c r="G29" s="383">
        <f>'10   Loader'!I24</f>
        <v>2.3370285714285712</v>
      </c>
      <c r="H29" s="373" t="s">
        <v>93</v>
      </c>
      <c r="I29" s="374" t="s">
        <v>93</v>
      </c>
      <c r="J29" s="373" t="s">
        <v>93</v>
      </c>
      <c r="K29" s="373" t="s">
        <v>93</v>
      </c>
      <c r="L29" s="373" t="s">
        <v>93</v>
      </c>
      <c r="M29" s="373" t="s">
        <v>93</v>
      </c>
      <c r="N29" s="373" t="s">
        <v>93</v>
      </c>
      <c r="O29" s="373" t="s">
        <v>93</v>
      </c>
      <c r="P29" s="373" t="s">
        <v>93</v>
      </c>
      <c r="Q29" s="373" t="s">
        <v>93</v>
      </c>
      <c r="R29" s="373" t="s">
        <v>93</v>
      </c>
      <c r="S29" s="381" t="s">
        <v>93</v>
      </c>
    </row>
    <row r="30" spans="1:19" x14ac:dyDescent="0.2">
      <c r="A30" s="14" t="str">
        <f>'3   Material'!B28</f>
        <v>Dozer Assist</v>
      </c>
      <c r="B30" s="3" t="str">
        <f>'4   Earthwork'!C28</f>
        <v>OB Stockpile 1 through 3, Topsoil Stockpile, South OB Stockpile</v>
      </c>
      <c r="C30" s="3" t="str">
        <f>'4   Earthwork'!D28</f>
        <v>SWRF Dam 2</v>
      </c>
      <c r="D30" s="356" t="str">
        <f>'3   Material'!G28</f>
        <v>D11T CD</v>
      </c>
      <c r="E30" s="372" t="s">
        <v>93</v>
      </c>
      <c r="F30" s="372" t="s">
        <v>93</v>
      </c>
      <c r="G30" s="383">
        <f>'10   Loader'!I25</f>
        <v>1.528057142857143</v>
      </c>
      <c r="H30" s="373" t="s">
        <v>93</v>
      </c>
      <c r="I30" s="374" t="s">
        <v>93</v>
      </c>
      <c r="J30" s="373" t="s">
        <v>93</v>
      </c>
      <c r="K30" s="373" t="s">
        <v>93</v>
      </c>
      <c r="L30" s="373" t="s">
        <v>93</v>
      </c>
      <c r="M30" s="373" t="s">
        <v>93</v>
      </c>
      <c r="N30" s="373" t="s">
        <v>93</v>
      </c>
      <c r="O30" s="373" t="s">
        <v>93</v>
      </c>
      <c r="P30" s="373" t="s">
        <v>93</v>
      </c>
      <c r="Q30" s="373" t="s">
        <v>93</v>
      </c>
      <c r="R30" s="373" t="s">
        <v>93</v>
      </c>
      <c r="S30" s="381" t="s">
        <v>93</v>
      </c>
    </row>
    <row r="31" spans="1:19" x14ac:dyDescent="0.2">
      <c r="A31" s="14" t="str">
        <f>'3   Material'!B29</f>
        <v>Dozer Assist</v>
      </c>
      <c r="B31" s="3" t="str">
        <f>'4   Earthwork'!C29</f>
        <v>OB Stockpile 1 through 3, Topsoil Stockpile, South OB Stockpile</v>
      </c>
      <c r="C31" s="3" t="str">
        <f>'4   Earthwork'!D29</f>
        <v>SWRF Dam 3</v>
      </c>
      <c r="D31" s="356" t="str">
        <f>'3   Material'!G29</f>
        <v>D11T CD</v>
      </c>
      <c r="E31" s="372" t="s">
        <v>93</v>
      </c>
      <c r="F31" s="372" t="s">
        <v>93</v>
      </c>
      <c r="G31" s="383">
        <f>'10   Loader'!I26</f>
        <v>3.7751999999999999</v>
      </c>
      <c r="H31" s="373" t="s">
        <v>93</v>
      </c>
      <c r="I31" s="374" t="s">
        <v>93</v>
      </c>
      <c r="J31" s="373" t="s">
        <v>93</v>
      </c>
      <c r="K31" s="373" t="s">
        <v>93</v>
      </c>
      <c r="L31" s="373" t="s">
        <v>93</v>
      </c>
      <c r="M31" s="373" t="s">
        <v>93</v>
      </c>
      <c r="N31" s="373" t="s">
        <v>93</v>
      </c>
      <c r="O31" s="373" t="s">
        <v>93</v>
      </c>
      <c r="P31" s="373" t="s">
        <v>93</v>
      </c>
      <c r="Q31" s="373" t="s">
        <v>93</v>
      </c>
      <c r="R31" s="373" t="s">
        <v>93</v>
      </c>
      <c r="S31" s="381" t="s">
        <v>93</v>
      </c>
    </row>
    <row r="32" spans="1:19" x14ac:dyDescent="0.2">
      <c r="A32" s="14" t="str">
        <f>'3   Material'!B30</f>
        <v>Dozer Assist</v>
      </c>
      <c r="B32" s="3" t="str">
        <f>'4   Earthwork'!C30</f>
        <v>OB-4 Stockpile</v>
      </c>
      <c r="C32" s="3" t="str">
        <f>'4   Earthwork'!D30</f>
        <v>North Tailings Decant Pond</v>
      </c>
      <c r="D32" s="356" t="str">
        <f>'3   Material'!G30</f>
        <v>D11T CD</v>
      </c>
      <c r="E32" s="372" t="s">
        <v>93</v>
      </c>
      <c r="F32" s="372" t="s">
        <v>93</v>
      </c>
      <c r="G32" s="372">
        <f>'10   Loader'!I27</f>
        <v>2.0673714285714286</v>
      </c>
      <c r="H32" s="373" t="s">
        <v>93</v>
      </c>
      <c r="I32" s="374" t="s">
        <v>93</v>
      </c>
      <c r="J32" s="373" t="s">
        <v>93</v>
      </c>
      <c r="K32" s="373" t="s">
        <v>93</v>
      </c>
      <c r="L32" s="373" t="s">
        <v>93</v>
      </c>
      <c r="M32" s="373" t="s">
        <v>93</v>
      </c>
      <c r="N32" s="373" t="s">
        <v>93</v>
      </c>
      <c r="O32" s="373" t="s">
        <v>93</v>
      </c>
      <c r="P32" s="373" t="s">
        <v>93</v>
      </c>
      <c r="Q32" s="373" t="s">
        <v>93</v>
      </c>
      <c r="R32" s="373" t="s">
        <v>93</v>
      </c>
      <c r="S32" s="381" t="s">
        <v>93</v>
      </c>
    </row>
    <row r="33" spans="1:19" x14ac:dyDescent="0.2">
      <c r="A33" s="14" t="str">
        <f>'3   Material'!B31</f>
        <v>Dozer Assist</v>
      </c>
      <c r="B33" s="3" t="str">
        <f>'4   Earthwork'!C31</f>
        <v>OB-4 Stockpile</v>
      </c>
      <c r="C33" s="3" t="str">
        <f>'4   Earthwork'!D31</f>
        <v>East WRF Containment</v>
      </c>
      <c r="D33" s="356" t="str">
        <f>'3   Material'!G31</f>
        <v>D11T CD</v>
      </c>
      <c r="E33" s="372" t="s">
        <v>93</v>
      </c>
      <c r="F33" s="372" t="s">
        <v>93</v>
      </c>
      <c r="G33" s="372">
        <f>'10   Loader'!I28</f>
        <v>2.2471428571428573</v>
      </c>
      <c r="H33" s="373" t="s">
        <v>93</v>
      </c>
      <c r="I33" s="374" t="s">
        <v>93</v>
      </c>
      <c r="J33" s="373" t="s">
        <v>93</v>
      </c>
      <c r="K33" s="373" t="s">
        <v>93</v>
      </c>
      <c r="L33" s="373" t="s">
        <v>93</v>
      </c>
      <c r="M33" s="373" t="s">
        <v>93</v>
      </c>
      <c r="N33" s="373" t="s">
        <v>93</v>
      </c>
      <c r="O33" s="373" t="s">
        <v>93</v>
      </c>
      <c r="P33" s="373" t="s">
        <v>93</v>
      </c>
      <c r="Q33" s="373" t="s">
        <v>93</v>
      </c>
      <c r="R33" s="373" t="s">
        <v>93</v>
      </c>
      <c r="S33" s="381" t="s">
        <v>93</v>
      </c>
    </row>
    <row r="34" spans="1:19" x14ac:dyDescent="0.2">
      <c r="A34" s="14" t="str">
        <f>'3   Material'!B32</f>
        <v>Dozer Assist</v>
      </c>
      <c r="B34" s="3" t="str">
        <f>'4   Earthwork'!C32</f>
        <v>NOBS</v>
      </c>
      <c r="C34" s="3" t="str">
        <f>'4   Earthwork'!D32</f>
        <v xml:space="preserve">Blackman's Seep (Pond #2) </v>
      </c>
      <c r="D34" s="356" t="str">
        <f>'3   Material'!G32</f>
        <v>D11T CD</v>
      </c>
      <c r="E34" s="372" t="s">
        <v>93</v>
      </c>
      <c r="F34" s="372" t="s">
        <v>93</v>
      </c>
      <c r="G34" s="372">
        <f>'10   Loader'!I29</f>
        <v>4.4942857142857146E-2</v>
      </c>
      <c r="H34" s="373" t="s">
        <v>93</v>
      </c>
      <c r="I34" s="374" t="s">
        <v>93</v>
      </c>
      <c r="J34" s="373" t="s">
        <v>93</v>
      </c>
      <c r="K34" s="373" t="s">
        <v>93</v>
      </c>
      <c r="L34" s="373" t="s">
        <v>93</v>
      </c>
      <c r="M34" s="373" t="s">
        <v>93</v>
      </c>
      <c r="N34" s="373" t="s">
        <v>93</v>
      </c>
      <c r="O34" s="373" t="s">
        <v>93</v>
      </c>
      <c r="P34" s="373" t="s">
        <v>93</v>
      </c>
      <c r="Q34" s="373" t="s">
        <v>93</v>
      </c>
      <c r="R34" s="373" t="s">
        <v>93</v>
      </c>
      <c r="S34" s="381" t="s">
        <v>93</v>
      </c>
    </row>
    <row r="35" spans="1:19" x14ac:dyDescent="0.2">
      <c r="A35" s="14" t="str">
        <f>'3   Material'!B33</f>
        <v>Dozer Assist</v>
      </c>
      <c r="B35" s="3" t="str">
        <f>'4   Earthwork'!C33</f>
        <v>OB-4 Stockpile</v>
      </c>
      <c r="C35" s="3" t="str">
        <f>'4   Earthwork'!D33</f>
        <v>Decant Pond #4</v>
      </c>
      <c r="D35" s="356" t="str">
        <f>'3   Material'!G33</f>
        <v>D11T CD</v>
      </c>
      <c r="E35" s="372" t="s">
        <v>93</v>
      </c>
      <c r="F35" s="372" t="s">
        <v>93</v>
      </c>
      <c r="G35" s="372">
        <f>'10   Loader'!I30</f>
        <v>2.786457142857143</v>
      </c>
      <c r="H35" s="373" t="s">
        <v>93</v>
      </c>
      <c r="I35" s="374" t="s">
        <v>93</v>
      </c>
      <c r="J35" s="373" t="s">
        <v>93</v>
      </c>
      <c r="K35" s="373" t="s">
        <v>93</v>
      </c>
      <c r="L35" s="373" t="s">
        <v>93</v>
      </c>
      <c r="M35" s="373" t="s">
        <v>93</v>
      </c>
      <c r="N35" s="373" t="s">
        <v>93</v>
      </c>
      <c r="O35" s="373" t="s">
        <v>93</v>
      </c>
      <c r="P35" s="373" t="s">
        <v>93</v>
      </c>
      <c r="Q35" s="373" t="s">
        <v>93</v>
      </c>
      <c r="R35" s="373" t="s">
        <v>93</v>
      </c>
      <c r="S35" s="381" t="s">
        <v>93</v>
      </c>
    </row>
    <row r="36" spans="1:19" x14ac:dyDescent="0.2">
      <c r="A36" s="14" t="str">
        <f>'3   Material'!B34</f>
        <v>Dozer Assist</v>
      </c>
      <c r="B36" s="3" t="str">
        <f>'4   Earthwork'!C34</f>
        <v>NOBS</v>
      </c>
      <c r="C36" s="3" t="str">
        <f>'4   Earthwork'!D34</f>
        <v xml:space="preserve">Upper Creek Containment Pond 1 </v>
      </c>
      <c r="D36" s="356" t="str">
        <f>'3   Material'!G34</f>
        <v>D11T CD</v>
      </c>
      <c r="E36" s="372" t="s">
        <v>93</v>
      </c>
      <c r="F36" s="372" t="s">
        <v>93</v>
      </c>
      <c r="G36" s="372">
        <f>'10   Loader'!I31</f>
        <v>5.0785428571428559</v>
      </c>
      <c r="H36" s="373" t="s">
        <v>93</v>
      </c>
      <c r="I36" s="374" t="s">
        <v>93</v>
      </c>
      <c r="J36" s="373" t="s">
        <v>93</v>
      </c>
      <c r="K36" s="373" t="s">
        <v>93</v>
      </c>
      <c r="L36" s="373" t="s">
        <v>93</v>
      </c>
      <c r="M36" s="373" t="s">
        <v>93</v>
      </c>
      <c r="N36" s="373" t="s">
        <v>93</v>
      </c>
      <c r="O36" s="373" t="s">
        <v>93</v>
      </c>
      <c r="P36" s="373" t="s">
        <v>93</v>
      </c>
      <c r="Q36" s="373" t="s">
        <v>93</v>
      </c>
      <c r="R36" s="373" t="s">
        <v>93</v>
      </c>
      <c r="S36" s="381" t="s">
        <v>93</v>
      </c>
    </row>
    <row r="37" spans="1:19" x14ac:dyDescent="0.2">
      <c r="A37" s="14"/>
      <c r="B37" s="3"/>
      <c r="C37" s="3"/>
      <c r="D37" s="14"/>
      <c r="E37" s="84"/>
      <c r="F37" s="84"/>
      <c r="G37" s="84"/>
      <c r="J37" s="89"/>
      <c r="K37" s="81"/>
      <c r="L37" s="87"/>
      <c r="M37" s="90"/>
      <c r="N37" s="80"/>
      <c r="O37" s="88"/>
      <c r="P37" s="80"/>
      <c r="Q37" s="80"/>
      <c r="R37" s="81"/>
    </row>
    <row r="38" spans="1:19" x14ac:dyDescent="0.2">
      <c r="A38" s="14"/>
      <c r="B38" s="3"/>
      <c r="C38" s="3"/>
      <c r="D38" s="14"/>
      <c r="E38" s="84"/>
      <c r="F38" s="84"/>
      <c r="G38" s="84"/>
      <c r="J38" s="89"/>
      <c r="K38" s="81"/>
      <c r="L38" s="87"/>
      <c r="M38" s="90"/>
      <c r="N38" s="80"/>
      <c r="O38" s="88"/>
      <c r="P38" s="80"/>
      <c r="Q38" s="80"/>
      <c r="R38" s="81"/>
    </row>
    <row r="39" spans="1:19" x14ac:dyDescent="0.2">
      <c r="A39" s="14"/>
      <c r="B39" s="3"/>
      <c r="C39" s="3"/>
      <c r="D39" s="14"/>
      <c r="E39" s="84"/>
      <c r="F39" s="84"/>
      <c r="G39" s="84"/>
      <c r="J39" s="89"/>
      <c r="K39" s="81"/>
      <c r="L39" s="87"/>
      <c r="M39" s="90"/>
      <c r="N39" s="80"/>
      <c r="O39" s="88"/>
      <c r="P39" s="80"/>
      <c r="Q39" s="80"/>
      <c r="R39" s="81"/>
    </row>
    <row r="40" spans="1:19" x14ac:dyDescent="0.2">
      <c r="A40" s="14"/>
      <c r="B40" s="3"/>
      <c r="C40" s="3"/>
      <c r="D40" s="14"/>
      <c r="E40" s="84"/>
      <c r="F40" s="84"/>
      <c r="G40" s="84"/>
      <c r="J40" s="89"/>
      <c r="K40" s="81"/>
      <c r="L40" s="87"/>
      <c r="M40" s="90"/>
      <c r="N40" s="80"/>
      <c r="O40" s="88"/>
      <c r="P40" s="80"/>
      <c r="Q40" s="80"/>
      <c r="R40" s="81"/>
    </row>
    <row r="41" spans="1:19" x14ac:dyDescent="0.2">
      <c r="A41" s="14"/>
      <c r="B41" s="3"/>
      <c r="C41" s="3"/>
      <c r="D41" s="14"/>
      <c r="E41" s="84"/>
      <c r="F41" s="84"/>
      <c r="G41" s="84"/>
      <c r="J41" s="89"/>
      <c r="K41" s="81"/>
      <c r="L41" s="87"/>
      <c r="M41" s="90"/>
      <c r="N41" s="80"/>
      <c r="O41" s="88"/>
      <c r="P41" s="80"/>
      <c r="Q41" s="80"/>
      <c r="R41" s="81"/>
    </row>
    <row r="42" spans="1:19" x14ac:dyDescent="0.2">
      <c r="A42" s="14"/>
      <c r="B42" s="3"/>
      <c r="C42" s="3"/>
      <c r="D42" s="14"/>
      <c r="E42" s="84"/>
      <c r="F42" s="84"/>
      <c r="G42" s="84"/>
      <c r="H42" s="85"/>
      <c r="I42" s="80"/>
      <c r="J42" s="86"/>
      <c r="K42" s="81"/>
      <c r="L42" s="87"/>
      <c r="M42" s="90"/>
      <c r="N42" s="80"/>
      <c r="O42" s="88"/>
      <c r="P42" s="80"/>
      <c r="Q42" s="80"/>
      <c r="R42" s="81"/>
    </row>
    <row r="43" spans="1:19" x14ac:dyDescent="0.2">
      <c r="A43" s="14"/>
      <c r="B43" s="3" t="s">
        <v>94</v>
      </c>
      <c r="C43" s="3"/>
      <c r="D43" s="14"/>
      <c r="E43" s="84"/>
      <c r="F43" s="84"/>
      <c r="G43" s="84"/>
      <c r="H43" s="85"/>
      <c r="I43" s="80"/>
      <c r="J43" s="86"/>
      <c r="K43" s="81"/>
      <c r="L43" s="87"/>
      <c r="M43" s="90"/>
      <c r="N43" s="80"/>
      <c r="O43" s="88"/>
      <c r="P43" s="80"/>
      <c r="Q43" s="80"/>
      <c r="R43" s="81"/>
    </row>
    <row r="44" spans="1:19" x14ac:dyDescent="0.2">
      <c r="A44" s="14"/>
      <c r="B44" s="3"/>
      <c r="C44" s="3"/>
      <c r="D44" s="14"/>
      <c r="E44" s="84"/>
      <c r="F44" s="84"/>
      <c r="G44" s="84"/>
      <c r="H44" s="85"/>
      <c r="I44" s="80"/>
      <c r="J44" s="86"/>
      <c r="K44" s="81"/>
      <c r="L44" s="87"/>
      <c r="M44" s="90"/>
      <c r="N44" s="80"/>
      <c r="O44" s="88"/>
      <c r="P44" s="80"/>
      <c r="Q44" s="80"/>
      <c r="R44" s="81"/>
    </row>
    <row r="45" spans="1:19" x14ac:dyDescent="0.2">
      <c r="A45" s="14"/>
      <c r="B45" s="3"/>
      <c r="C45" s="3"/>
      <c r="D45" s="14"/>
      <c r="E45" s="84"/>
      <c r="F45" s="84"/>
      <c r="G45" s="84"/>
      <c r="H45" s="85"/>
      <c r="I45" s="80"/>
      <c r="J45" s="86"/>
      <c r="K45" s="81"/>
      <c r="L45" s="87"/>
      <c r="M45" s="90"/>
      <c r="N45" s="80"/>
      <c r="O45" s="88"/>
      <c r="P45" s="80"/>
      <c r="Q45" s="80"/>
      <c r="R45" s="81"/>
    </row>
    <row r="46" spans="1:19" x14ac:dyDescent="0.2">
      <c r="A46" s="14"/>
      <c r="B46" s="3"/>
      <c r="C46" s="3"/>
      <c r="D46" s="14"/>
      <c r="E46" s="84"/>
      <c r="F46" s="84"/>
      <c r="G46" s="84"/>
      <c r="H46" s="85"/>
      <c r="I46" s="80"/>
      <c r="J46" s="86"/>
      <c r="K46" s="81"/>
      <c r="L46" s="87"/>
      <c r="M46" s="90"/>
      <c r="N46" s="80"/>
      <c r="O46" s="88"/>
      <c r="P46" s="80"/>
      <c r="Q46" s="80"/>
      <c r="R46" s="81"/>
    </row>
  </sheetData>
  <printOptions horizontalCentered="1"/>
  <pageMargins left="0.43" right="0.38" top="0.5" bottom="0.93" header="0.5" footer="0.67"/>
  <pageSetup scale="40" pageOrder="overThenDown" orientation="landscape" r:id="rId1"/>
  <headerFooter alignWithMargins="0">
    <oddFooter>&amp;C&amp;F
&amp;   Stockpile Sheet 5 
&amp;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86"/>
  <sheetViews>
    <sheetView defaultGridColor="0" view="pageBreakPreview" colorId="22" zoomScale="55" zoomScaleNormal="75" zoomScaleSheetLayoutView="55" workbookViewId="0">
      <pane xSplit="2" topLeftCell="C1" activePane="topRight" state="frozen"/>
      <selection activeCell="A16" sqref="A16"/>
      <selection pane="topRight" activeCell="A16" sqref="A16"/>
    </sheetView>
  </sheetViews>
  <sheetFormatPr defaultColWidth="9.77734375" defaultRowHeight="15" x14ac:dyDescent="0.2"/>
  <cols>
    <col min="1" max="1" width="18.109375" style="4" customWidth="1"/>
    <col min="2" max="2" width="41.6640625" style="4" customWidth="1"/>
    <col min="3" max="4" width="10.21875" style="4" bestFit="1" customWidth="1"/>
    <col min="5" max="5" width="9.44140625" style="4" bestFit="1" customWidth="1"/>
    <col min="6" max="6" width="7.21875" style="4" bestFit="1" customWidth="1"/>
    <col min="7" max="8" width="11.44140625" style="4" bestFit="1" customWidth="1"/>
    <col min="9" max="9" width="7.33203125" style="4" bestFit="1" customWidth="1"/>
    <col min="10" max="11" width="7.6640625" style="4" customWidth="1"/>
    <col min="12" max="12" width="6.77734375" style="4" customWidth="1"/>
    <col min="13" max="13" width="10.77734375" style="4" bestFit="1" customWidth="1"/>
    <col min="14" max="14" width="8.77734375" style="4" bestFit="1" customWidth="1"/>
    <col min="15" max="15" width="9.21875" style="4" bestFit="1" customWidth="1"/>
    <col min="16" max="16" width="7.77734375" style="4" bestFit="1" customWidth="1"/>
    <col min="17" max="17" width="8" style="4" bestFit="1" customWidth="1"/>
    <col min="18" max="18" width="9.21875" style="4" bestFit="1" customWidth="1"/>
    <col min="19" max="19" width="6.5546875" style="4" bestFit="1" customWidth="1"/>
    <col min="20" max="20" width="6.33203125" style="4" bestFit="1" customWidth="1"/>
    <col min="21" max="21" width="8.77734375" style="4" bestFit="1" customWidth="1"/>
    <col min="22" max="22" width="9.5546875" style="91" bestFit="1" customWidth="1"/>
    <col min="23" max="16384" width="9.77734375" style="4"/>
  </cols>
  <sheetData>
    <row r="1" spans="1:23" x14ac:dyDescent="0.2">
      <c r="A1" s="1"/>
      <c r="B1" s="14"/>
      <c r="C1" s="14"/>
      <c r="E1" s="14"/>
      <c r="F1" s="14"/>
      <c r="G1" s="14"/>
      <c r="H1" s="14"/>
      <c r="J1" s="3"/>
      <c r="K1" s="3"/>
      <c r="L1" s="3"/>
      <c r="M1" s="3"/>
      <c r="N1" s="3"/>
      <c r="O1" s="3"/>
      <c r="P1" s="3"/>
      <c r="Q1" s="3"/>
      <c r="R1" s="3"/>
      <c r="S1" s="3"/>
      <c r="T1" s="3"/>
      <c r="W1" s="2" t="str">
        <f>'1 General'!C1</f>
        <v>Cobre</v>
      </c>
    </row>
    <row r="2" spans="1:23" ht="18" x14ac:dyDescent="0.25">
      <c r="A2" s="437"/>
      <c r="B2" s="14"/>
      <c r="C2" s="14"/>
      <c r="D2" s="14"/>
      <c r="E2" s="14"/>
      <c r="F2" s="14"/>
      <c r="G2" s="14"/>
      <c r="H2" s="14"/>
      <c r="J2" s="3"/>
      <c r="K2" s="3"/>
      <c r="L2" s="3"/>
      <c r="M2" s="3"/>
      <c r="N2" s="3"/>
      <c r="O2" s="3"/>
      <c r="P2" s="3"/>
      <c r="Q2" s="3"/>
      <c r="R2" s="3"/>
      <c r="S2" s="3"/>
      <c r="T2" s="3"/>
      <c r="W2" s="2" t="s">
        <v>95</v>
      </c>
    </row>
    <row r="3" spans="1:23" x14ac:dyDescent="0.2">
      <c r="A3" s="78" t="s">
        <v>96</v>
      </c>
      <c r="B3" s="14"/>
      <c r="C3" s="14"/>
      <c r="D3" s="14"/>
      <c r="E3" s="14"/>
      <c r="F3" s="14"/>
      <c r="G3" s="14"/>
      <c r="H3" s="14"/>
      <c r="J3" s="3"/>
      <c r="K3" s="3"/>
      <c r="L3" s="3"/>
      <c r="M3" s="3"/>
      <c r="N3" s="3"/>
      <c r="O3" s="85"/>
      <c r="P3" s="3"/>
      <c r="Q3" s="3"/>
      <c r="R3" s="3"/>
      <c r="S3" s="3"/>
      <c r="T3" s="3"/>
      <c r="W3" s="79">
        <f>'1 General'!$C$3</f>
        <v>41978</v>
      </c>
    </row>
    <row r="4" spans="1:23" x14ac:dyDescent="0.2">
      <c r="A4" s="78"/>
      <c r="B4" s="14"/>
      <c r="C4" s="14"/>
      <c r="D4" s="14"/>
      <c r="E4" s="14"/>
      <c r="F4" s="14"/>
      <c r="G4" s="14"/>
      <c r="H4" s="14"/>
      <c r="I4" s="2"/>
      <c r="J4" s="92"/>
      <c r="K4" s="92"/>
      <c r="L4" s="3"/>
      <c r="M4" s="3"/>
      <c r="N4" s="3"/>
      <c r="O4" s="3"/>
      <c r="P4" s="3"/>
      <c r="Q4" s="3"/>
      <c r="R4" s="3"/>
      <c r="S4" s="3"/>
      <c r="T4" s="3"/>
    </row>
    <row r="5" spans="1:23" x14ac:dyDescent="0.2">
      <c r="A5" s="78"/>
      <c r="B5" s="14"/>
      <c r="C5" s="14"/>
      <c r="D5" s="14"/>
      <c r="E5" s="14"/>
      <c r="F5" s="14"/>
      <c r="G5" s="14"/>
      <c r="H5" s="14"/>
      <c r="I5" s="2"/>
      <c r="J5" s="92"/>
      <c r="K5" s="92"/>
      <c r="L5" s="92"/>
      <c r="M5" s="92"/>
      <c r="N5" s="92"/>
      <c r="O5" s="92"/>
      <c r="P5" s="92"/>
      <c r="Q5" s="3"/>
      <c r="R5" s="3"/>
      <c r="S5" s="3"/>
      <c r="T5" s="3"/>
    </row>
    <row r="6" spans="1:23" x14ac:dyDescent="0.2">
      <c r="A6" s="14"/>
      <c r="B6" s="80"/>
      <c r="C6" s="80"/>
      <c r="D6" s="14"/>
      <c r="E6" s="81"/>
      <c r="F6" s="81"/>
      <c r="G6" s="3"/>
      <c r="H6" s="3"/>
      <c r="I6" s="3"/>
      <c r="J6" s="3" t="s">
        <v>62</v>
      </c>
      <c r="K6" s="3"/>
      <c r="L6" s="3"/>
      <c r="M6" s="3"/>
      <c r="O6" s="91"/>
      <c r="V6" s="4"/>
    </row>
    <row r="7" spans="1:23" x14ac:dyDescent="0.2">
      <c r="A7" s="356"/>
      <c r="B7" s="357"/>
      <c r="C7" s="357"/>
      <c r="D7" s="374"/>
      <c r="E7" s="354"/>
      <c r="F7" s="356"/>
      <c r="G7" s="357"/>
      <c r="H7" s="357"/>
      <c r="I7" s="357"/>
      <c r="J7" s="357"/>
      <c r="K7" s="357"/>
      <c r="L7" s="357"/>
      <c r="M7" s="357" t="s">
        <v>64</v>
      </c>
      <c r="N7" s="376" t="s">
        <v>97</v>
      </c>
      <c r="O7" s="376"/>
      <c r="P7" s="357"/>
      <c r="Q7" s="357"/>
      <c r="R7" s="357"/>
      <c r="S7" s="357" t="s">
        <v>66</v>
      </c>
      <c r="T7" s="357"/>
      <c r="U7" s="354"/>
      <c r="V7" s="377" t="s">
        <v>65</v>
      </c>
      <c r="W7" s="357"/>
    </row>
    <row r="8" spans="1:23" x14ac:dyDescent="0.2">
      <c r="A8" s="357"/>
      <c r="B8" s="357"/>
      <c r="C8" s="357"/>
      <c r="D8" s="357"/>
      <c r="E8" s="357"/>
      <c r="F8" s="357"/>
      <c r="G8" s="357"/>
      <c r="H8" s="357"/>
      <c r="I8" s="357" t="s">
        <v>68</v>
      </c>
      <c r="J8" s="357"/>
      <c r="K8" s="357"/>
      <c r="L8" s="357" t="s">
        <v>69</v>
      </c>
      <c r="M8" s="357" t="s">
        <v>70</v>
      </c>
      <c r="N8" s="376" t="s">
        <v>80</v>
      </c>
      <c r="O8" s="376"/>
      <c r="P8" s="357" t="s">
        <v>73</v>
      </c>
      <c r="Q8" s="357"/>
      <c r="R8" s="357"/>
      <c r="S8" s="357" t="s">
        <v>74</v>
      </c>
      <c r="T8" s="357"/>
      <c r="U8" s="354"/>
      <c r="V8" s="377" t="s">
        <v>71</v>
      </c>
      <c r="W8" s="357" t="s">
        <v>72</v>
      </c>
    </row>
    <row r="9" spans="1:23" x14ac:dyDescent="0.2">
      <c r="A9" s="357" t="s">
        <v>75</v>
      </c>
      <c r="B9" s="357" t="s">
        <v>20</v>
      </c>
      <c r="C9" s="357" t="s">
        <v>21</v>
      </c>
      <c r="D9" s="357" t="s">
        <v>23</v>
      </c>
      <c r="E9" s="356" t="s">
        <v>53</v>
      </c>
      <c r="F9" s="357" t="s">
        <v>51</v>
      </c>
      <c r="G9" s="357" t="s">
        <v>76</v>
      </c>
      <c r="H9" s="357" t="s">
        <v>76</v>
      </c>
      <c r="I9" s="357" t="s">
        <v>77</v>
      </c>
      <c r="J9" s="357" t="s">
        <v>78</v>
      </c>
      <c r="K9" s="357" t="s">
        <v>22</v>
      </c>
      <c r="L9" s="357" t="s">
        <v>79</v>
      </c>
      <c r="M9" s="357" t="s">
        <v>80</v>
      </c>
      <c r="N9" s="376" t="s">
        <v>98</v>
      </c>
      <c r="O9" s="376" t="s">
        <v>99</v>
      </c>
      <c r="P9" s="357" t="s">
        <v>83</v>
      </c>
      <c r="Q9" s="357" t="s">
        <v>84</v>
      </c>
      <c r="R9" s="357" t="s">
        <v>85</v>
      </c>
      <c r="S9" s="357" t="s">
        <v>86</v>
      </c>
      <c r="T9" s="357" t="s">
        <v>22</v>
      </c>
      <c r="U9" s="357" t="s">
        <v>82</v>
      </c>
      <c r="V9" s="377" t="s">
        <v>81</v>
      </c>
      <c r="W9" s="357" t="s">
        <v>64</v>
      </c>
    </row>
    <row r="10" spans="1:23" x14ac:dyDescent="0.2">
      <c r="A10" s="357"/>
      <c r="B10" s="357"/>
      <c r="C10" s="357"/>
      <c r="D10" s="357"/>
      <c r="E10" s="357" t="s">
        <v>87</v>
      </c>
      <c r="F10" s="357" t="s">
        <v>100</v>
      </c>
      <c r="G10" s="357" t="s">
        <v>101</v>
      </c>
      <c r="H10" s="357" t="s">
        <v>88</v>
      </c>
      <c r="I10" s="357" t="s">
        <v>89</v>
      </c>
      <c r="J10" s="357"/>
      <c r="K10" s="357" t="s">
        <v>54</v>
      </c>
      <c r="L10" s="357" t="s">
        <v>90</v>
      </c>
      <c r="M10" s="357"/>
      <c r="N10" s="376" t="s">
        <v>91</v>
      </c>
      <c r="O10" s="376" t="s">
        <v>102</v>
      </c>
      <c r="P10" s="357" t="s">
        <v>92</v>
      </c>
      <c r="Q10" s="357"/>
      <c r="R10" s="357"/>
      <c r="S10" s="357"/>
      <c r="T10" s="357" t="s">
        <v>25</v>
      </c>
      <c r="U10" s="354"/>
      <c r="V10" s="377" t="s">
        <v>91</v>
      </c>
      <c r="W10" s="357" t="s">
        <v>88</v>
      </c>
    </row>
    <row r="11" spans="1:23" ht="18.75" x14ac:dyDescent="0.3">
      <c r="A11" s="36"/>
      <c r="B11" s="3"/>
      <c r="C11" s="357"/>
      <c r="D11" s="357"/>
      <c r="E11" s="354"/>
      <c r="F11" s="354"/>
      <c r="G11" s="357"/>
      <c r="H11" s="357"/>
      <c r="I11" s="357"/>
      <c r="J11" s="357"/>
      <c r="K11" s="357"/>
      <c r="L11" s="357"/>
      <c r="M11" s="357"/>
      <c r="N11" s="376"/>
      <c r="O11" s="376"/>
      <c r="P11" s="357"/>
      <c r="Q11" s="357"/>
      <c r="R11" s="357"/>
      <c r="S11" s="357"/>
      <c r="T11" s="357"/>
      <c r="U11" s="354"/>
      <c r="V11" s="384"/>
      <c r="W11" s="354"/>
    </row>
    <row r="12" spans="1:23" x14ac:dyDescent="0.2">
      <c r="A12" s="3" t="str">
        <f>'4   Earthwork'!B84</f>
        <v>Grade surface</v>
      </c>
      <c r="B12" s="3" t="str">
        <f>'4   Earthwork'!C84</f>
        <v>Haul Roads</v>
      </c>
      <c r="C12" s="357" t="str">
        <f>'4   Earthwork'!D84</f>
        <v>-</v>
      </c>
      <c r="D12" s="356" t="str">
        <f>'3   Material'!G84</f>
        <v>16M</v>
      </c>
      <c r="E12" s="385" t="s">
        <v>26</v>
      </c>
      <c r="F12" s="383">
        <f>'4   Earthwork'!E84</f>
        <v>45</v>
      </c>
      <c r="G12" s="383">
        <f t="shared" ref="G12:G20" si="0">(P12/60)*J12*2300/L12*M12*Q12*R12*S12*U12*K12*O12*N12*5280/43560</f>
        <v>3.1021487603305786</v>
      </c>
      <c r="H12" s="383"/>
      <c r="I12" s="383">
        <f t="shared" ref="I12:I20" si="1">F12/G12</f>
        <v>14.506074168797953</v>
      </c>
      <c r="J12" s="373">
        <v>1.2</v>
      </c>
      <c r="K12" s="373">
        <f>-0.02*T12+1</f>
        <v>1.02</v>
      </c>
      <c r="L12" s="375">
        <v>3300</v>
      </c>
      <c r="M12" s="390">
        <v>1.2</v>
      </c>
      <c r="N12" s="379">
        <v>16</v>
      </c>
      <c r="O12" s="374">
        <v>2.5</v>
      </c>
      <c r="P12" s="379">
        <v>50</v>
      </c>
      <c r="Q12" s="379">
        <v>1</v>
      </c>
      <c r="R12" s="379">
        <v>1</v>
      </c>
      <c r="S12" s="377">
        <v>1</v>
      </c>
      <c r="T12" s="390">
        <v>-1</v>
      </c>
      <c r="U12" s="376">
        <v>0.75</v>
      </c>
      <c r="V12" s="386" t="s">
        <v>26</v>
      </c>
      <c r="W12" s="354"/>
    </row>
    <row r="13" spans="1:23" x14ac:dyDescent="0.2">
      <c r="A13" s="3" t="str">
        <f>'4   Earthwork'!B85</f>
        <v>Grade surface</v>
      </c>
      <c r="B13" s="3" t="str">
        <f>'4   Earthwork'!C85</f>
        <v>Exploration Roads</v>
      </c>
      <c r="C13" s="357" t="str">
        <f>'4   Earthwork'!D85</f>
        <v>-</v>
      </c>
      <c r="D13" s="356" t="str">
        <f>'3   Material'!G85</f>
        <v>16M</v>
      </c>
      <c r="E13" s="385" t="s">
        <v>26</v>
      </c>
      <c r="F13" s="383">
        <f>'4   Earthwork'!E85</f>
        <v>37</v>
      </c>
      <c r="G13" s="383">
        <f t="shared" si="0"/>
        <v>3.1021487603305786</v>
      </c>
      <c r="H13" s="383"/>
      <c r="I13" s="383">
        <f t="shared" si="1"/>
        <v>11.927216538789429</v>
      </c>
      <c r="J13" s="373">
        <v>1.2</v>
      </c>
      <c r="K13" s="373">
        <f>-0.02*T13+1</f>
        <v>1.02</v>
      </c>
      <c r="L13" s="375">
        <v>3300</v>
      </c>
      <c r="M13" s="390">
        <v>1.2</v>
      </c>
      <c r="N13" s="379">
        <v>16</v>
      </c>
      <c r="O13" s="374">
        <v>2.5</v>
      </c>
      <c r="P13" s="379">
        <v>50</v>
      </c>
      <c r="Q13" s="379">
        <v>1</v>
      </c>
      <c r="R13" s="379">
        <v>1</v>
      </c>
      <c r="S13" s="377">
        <v>1</v>
      </c>
      <c r="T13" s="390">
        <v>-1</v>
      </c>
      <c r="U13" s="376">
        <v>0.75</v>
      </c>
      <c r="V13" s="386" t="s">
        <v>26</v>
      </c>
      <c r="W13" s="354"/>
    </row>
    <row r="14" spans="1:23" x14ac:dyDescent="0.2">
      <c r="A14" s="3" t="str">
        <f>'4   Earthwork'!B86</f>
        <v>Grade surface</v>
      </c>
      <c r="B14" s="3" t="str">
        <f>'4   Earthwork'!C86</f>
        <v>Low Grade WRF</v>
      </c>
      <c r="C14" s="357" t="str">
        <f>'4   Earthwork'!D86</f>
        <v>-</v>
      </c>
      <c r="D14" s="356" t="str">
        <f>'3   Material'!G86</f>
        <v>16M</v>
      </c>
      <c r="E14" s="385" t="s">
        <v>26</v>
      </c>
      <c r="F14" s="383">
        <f>'4   Earthwork'!E86</f>
        <v>27.83</v>
      </c>
      <c r="G14" s="383">
        <f t="shared" ref="G14" si="2">(P14/60)*J14*2300/L14*M14*Q14*R14*S14*U14*K14*O14*N14*5280/43560</f>
        <v>3.1021487603305786</v>
      </c>
      <c r="H14" s="383"/>
      <c r="I14" s="383">
        <f t="shared" ref="I14" si="3">F14/G14</f>
        <v>8.9712009803921564</v>
      </c>
      <c r="J14" s="373">
        <v>1.2</v>
      </c>
      <c r="K14" s="373">
        <f>-0.02*T14+1</f>
        <v>1.02</v>
      </c>
      <c r="L14" s="375">
        <v>3300</v>
      </c>
      <c r="M14" s="390">
        <v>1.2</v>
      </c>
      <c r="N14" s="379">
        <v>16</v>
      </c>
      <c r="O14" s="374">
        <v>2.5</v>
      </c>
      <c r="P14" s="379">
        <v>50</v>
      </c>
      <c r="Q14" s="379">
        <v>1</v>
      </c>
      <c r="R14" s="379">
        <v>1</v>
      </c>
      <c r="S14" s="377">
        <v>1</v>
      </c>
      <c r="T14" s="390">
        <v>-1</v>
      </c>
      <c r="U14" s="376">
        <v>0.75</v>
      </c>
      <c r="V14" s="386" t="s">
        <v>26</v>
      </c>
      <c r="W14" s="354"/>
    </row>
    <row r="15" spans="1:23" x14ac:dyDescent="0.2">
      <c r="A15" s="3" t="str">
        <f>'4   Earthwork'!B87</f>
        <v>Grade surface</v>
      </c>
      <c r="B15" s="3" t="str">
        <f>'4   Earthwork'!C87</f>
        <v>Grape Gulch Pond #3</v>
      </c>
      <c r="C15" s="357" t="str">
        <f>'4   Earthwork'!D87</f>
        <v>-</v>
      </c>
      <c r="D15" s="356" t="str">
        <f>'3   Material'!G87</f>
        <v>16M</v>
      </c>
      <c r="E15" s="385" t="s">
        <v>26</v>
      </c>
      <c r="F15" s="383">
        <f>'4   Earthwork'!E87</f>
        <v>0.38</v>
      </c>
      <c r="G15" s="383">
        <f t="shared" si="0"/>
        <v>3.1021487603305786</v>
      </c>
      <c r="H15" s="383"/>
      <c r="I15" s="383">
        <f t="shared" si="1"/>
        <v>0.12249573742540494</v>
      </c>
      <c r="J15" s="373">
        <v>1.2</v>
      </c>
      <c r="K15" s="373">
        <f t="shared" ref="K15:K19" si="4">-0.02*T15+1</f>
        <v>1.02</v>
      </c>
      <c r="L15" s="375">
        <v>3300</v>
      </c>
      <c r="M15" s="390">
        <v>1.2</v>
      </c>
      <c r="N15" s="379">
        <v>16</v>
      </c>
      <c r="O15" s="374">
        <v>2.5</v>
      </c>
      <c r="P15" s="379">
        <v>50</v>
      </c>
      <c r="Q15" s="379">
        <v>1</v>
      </c>
      <c r="R15" s="379">
        <v>1</v>
      </c>
      <c r="S15" s="377">
        <v>1</v>
      </c>
      <c r="T15" s="390">
        <v>-1</v>
      </c>
      <c r="U15" s="376">
        <v>0.75</v>
      </c>
      <c r="V15" s="386" t="s">
        <v>26</v>
      </c>
      <c r="W15" s="354"/>
    </row>
    <row r="16" spans="1:23" x14ac:dyDescent="0.2">
      <c r="A16" s="3" t="str">
        <f>'4   Earthwork'!B88</f>
        <v>Grade surface</v>
      </c>
      <c r="B16" s="3" t="str">
        <f>'4   Earthwork'!C88</f>
        <v>Magnetite Seepage Pond</v>
      </c>
      <c r="C16" s="357" t="str">
        <f>'4   Earthwork'!D88</f>
        <v>-</v>
      </c>
      <c r="D16" s="356" t="str">
        <f>'3   Material'!G88</f>
        <v>16M</v>
      </c>
      <c r="E16" s="385" t="s">
        <v>26</v>
      </c>
      <c r="F16" s="383">
        <f>'4   Earthwork'!E88</f>
        <v>0.2</v>
      </c>
      <c r="G16" s="383">
        <f t="shared" si="0"/>
        <v>3.1021487603305786</v>
      </c>
      <c r="H16" s="383"/>
      <c r="I16" s="383">
        <f t="shared" si="1"/>
        <v>6.4471440750213133E-2</v>
      </c>
      <c r="J16" s="373">
        <v>1.2</v>
      </c>
      <c r="K16" s="373">
        <f t="shared" si="4"/>
        <v>1.02</v>
      </c>
      <c r="L16" s="375">
        <v>3300</v>
      </c>
      <c r="M16" s="390">
        <v>1.2</v>
      </c>
      <c r="N16" s="379">
        <v>16</v>
      </c>
      <c r="O16" s="374">
        <v>2.5</v>
      </c>
      <c r="P16" s="379">
        <v>50</v>
      </c>
      <c r="Q16" s="379">
        <v>1</v>
      </c>
      <c r="R16" s="379">
        <v>1</v>
      </c>
      <c r="S16" s="377">
        <v>1</v>
      </c>
      <c r="T16" s="390">
        <v>-1</v>
      </c>
      <c r="U16" s="376">
        <v>0.75</v>
      </c>
      <c r="V16" s="386" t="s">
        <v>26</v>
      </c>
      <c r="W16" s="354"/>
    </row>
    <row r="17" spans="1:23" x14ac:dyDescent="0.2">
      <c r="A17" s="3" t="str">
        <f>'4   Earthwork'!B89</f>
        <v>Grade surface</v>
      </c>
      <c r="B17" s="3" t="str">
        <f>'4   Earthwork'!C89</f>
        <v>SWRF Dam 1</v>
      </c>
      <c r="C17" s="357" t="str">
        <f>'4   Earthwork'!D89</f>
        <v>-</v>
      </c>
      <c r="D17" s="356" t="str">
        <f>'3   Material'!G89</f>
        <v>16M</v>
      </c>
      <c r="E17" s="385" t="s">
        <v>26</v>
      </c>
      <c r="F17" s="383">
        <f>'4   Earthwork'!E89</f>
        <v>0.52</v>
      </c>
      <c r="G17" s="383">
        <f t="shared" si="0"/>
        <v>3.1021487603305786</v>
      </c>
      <c r="H17" s="383"/>
      <c r="I17" s="383">
        <f t="shared" si="1"/>
        <v>0.16762574595055413</v>
      </c>
      <c r="J17" s="373">
        <v>1.2</v>
      </c>
      <c r="K17" s="373">
        <f t="shared" si="4"/>
        <v>1.02</v>
      </c>
      <c r="L17" s="375">
        <v>3300</v>
      </c>
      <c r="M17" s="390">
        <v>1.2</v>
      </c>
      <c r="N17" s="379">
        <v>16</v>
      </c>
      <c r="O17" s="374">
        <v>2.5</v>
      </c>
      <c r="P17" s="379">
        <v>50</v>
      </c>
      <c r="Q17" s="379">
        <v>1</v>
      </c>
      <c r="R17" s="379">
        <v>1</v>
      </c>
      <c r="S17" s="377">
        <v>1</v>
      </c>
      <c r="T17" s="390">
        <v>-1</v>
      </c>
      <c r="U17" s="376">
        <v>0.75</v>
      </c>
      <c r="V17" s="386" t="s">
        <v>26</v>
      </c>
      <c r="W17" s="354"/>
    </row>
    <row r="18" spans="1:23" x14ac:dyDescent="0.2">
      <c r="A18" s="3" t="str">
        <f>'4   Earthwork'!B90</f>
        <v>Grade surface</v>
      </c>
      <c r="B18" s="3" t="str">
        <f>'4   Earthwork'!C90</f>
        <v>SWRF Dam 2</v>
      </c>
      <c r="C18" s="357" t="str">
        <f>'4   Earthwork'!D90</f>
        <v>-</v>
      </c>
      <c r="D18" s="356" t="str">
        <f>'3   Material'!G90</f>
        <v>16M</v>
      </c>
      <c r="E18" s="385" t="s">
        <v>26</v>
      </c>
      <c r="F18" s="383">
        <f>'4   Earthwork'!E90</f>
        <v>0.34</v>
      </c>
      <c r="G18" s="383">
        <f t="shared" si="0"/>
        <v>3.1021487603305786</v>
      </c>
      <c r="H18" s="383"/>
      <c r="I18" s="383">
        <f t="shared" si="1"/>
        <v>0.10960144927536232</v>
      </c>
      <c r="J18" s="373">
        <v>1.2</v>
      </c>
      <c r="K18" s="373">
        <f t="shared" si="4"/>
        <v>1.02</v>
      </c>
      <c r="L18" s="375">
        <v>3300</v>
      </c>
      <c r="M18" s="390">
        <v>1.2</v>
      </c>
      <c r="N18" s="379">
        <v>16</v>
      </c>
      <c r="O18" s="374">
        <v>2.5</v>
      </c>
      <c r="P18" s="379">
        <v>50</v>
      </c>
      <c r="Q18" s="379">
        <v>1</v>
      </c>
      <c r="R18" s="379">
        <v>1</v>
      </c>
      <c r="S18" s="377">
        <v>1</v>
      </c>
      <c r="T18" s="390">
        <v>-1</v>
      </c>
      <c r="U18" s="376">
        <v>0.75</v>
      </c>
      <c r="V18" s="386" t="s">
        <v>26</v>
      </c>
      <c r="W18" s="354"/>
    </row>
    <row r="19" spans="1:23" x14ac:dyDescent="0.2">
      <c r="A19" s="3" t="str">
        <f>'4   Earthwork'!B91</f>
        <v>Grade surface</v>
      </c>
      <c r="B19" s="3" t="str">
        <f>'4   Earthwork'!C91</f>
        <v>SWRF Dam 3</v>
      </c>
      <c r="C19" s="357" t="str">
        <f>'4   Earthwork'!D91</f>
        <v>-</v>
      </c>
      <c r="D19" s="356" t="str">
        <f>'3   Material'!G91</f>
        <v>16M</v>
      </c>
      <c r="E19" s="385" t="s">
        <v>26</v>
      </c>
      <c r="F19" s="383">
        <f>'4   Earthwork'!E91</f>
        <v>0.84</v>
      </c>
      <c r="G19" s="383">
        <f t="shared" si="0"/>
        <v>3.1021487603305786</v>
      </c>
      <c r="H19" s="383"/>
      <c r="I19" s="383">
        <f t="shared" si="1"/>
        <v>0.2707800511508951</v>
      </c>
      <c r="J19" s="373">
        <v>1.2</v>
      </c>
      <c r="K19" s="373">
        <f t="shared" si="4"/>
        <v>1.02</v>
      </c>
      <c r="L19" s="375">
        <v>3300</v>
      </c>
      <c r="M19" s="390">
        <v>1.2</v>
      </c>
      <c r="N19" s="379">
        <v>16</v>
      </c>
      <c r="O19" s="374">
        <v>2.5</v>
      </c>
      <c r="P19" s="379">
        <v>50</v>
      </c>
      <c r="Q19" s="379">
        <v>1</v>
      </c>
      <c r="R19" s="379">
        <v>1</v>
      </c>
      <c r="S19" s="377">
        <v>1</v>
      </c>
      <c r="T19" s="390">
        <v>-1</v>
      </c>
      <c r="U19" s="376">
        <v>0.75</v>
      </c>
      <c r="V19" s="386" t="s">
        <v>26</v>
      </c>
      <c r="W19" s="354"/>
    </row>
    <row r="20" spans="1:23" x14ac:dyDescent="0.2">
      <c r="A20" s="3" t="str">
        <f>'4   Earthwork'!B92</f>
        <v>Grade surface</v>
      </c>
      <c r="B20" s="3" t="str">
        <f>'4   Earthwork'!C92</f>
        <v>North Tailings Decant Pond</v>
      </c>
      <c r="C20" s="357" t="str">
        <f>'4   Earthwork'!D92</f>
        <v>-</v>
      </c>
      <c r="D20" s="356" t="str">
        <f>'3   Material'!G92</f>
        <v>16M</v>
      </c>
      <c r="E20" s="385" t="s">
        <v>26</v>
      </c>
      <c r="F20" s="383">
        <f>'4   Earthwork'!E92</f>
        <v>0.46</v>
      </c>
      <c r="G20" s="383">
        <f t="shared" si="0"/>
        <v>3.1021487603305786</v>
      </c>
      <c r="H20" s="383"/>
      <c r="I20" s="383">
        <f t="shared" si="1"/>
        <v>0.1482843137254902</v>
      </c>
      <c r="J20" s="373">
        <v>1.2</v>
      </c>
      <c r="K20" s="373">
        <f t="shared" ref="K20:K35" si="5">-0.02*T20+1</f>
        <v>1.02</v>
      </c>
      <c r="L20" s="375">
        <v>3300</v>
      </c>
      <c r="M20" s="390">
        <v>1.2</v>
      </c>
      <c r="N20" s="379">
        <v>16</v>
      </c>
      <c r="O20" s="374">
        <v>2.5</v>
      </c>
      <c r="P20" s="379">
        <f t="shared" ref="P20:P49" si="6">$P$16</f>
        <v>50</v>
      </c>
      <c r="Q20" s="379">
        <f t="shared" ref="Q20:Q49" si="7">$Q$16</f>
        <v>1</v>
      </c>
      <c r="R20" s="379">
        <f t="shared" ref="R20:R49" si="8">$R$16</f>
        <v>1</v>
      </c>
      <c r="S20" s="377">
        <f t="shared" ref="S20:S49" si="9">$S$16</f>
        <v>1</v>
      </c>
      <c r="T20" s="390">
        <v>-1</v>
      </c>
      <c r="U20" s="376">
        <v>0.75</v>
      </c>
      <c r="V20" s="377" t="str">
        <f>$V$16</f>
        <v>-</v>
      </c>
      <c r="W20" s="354"/>
    </row>
    <row r="21" spans="1:23" x14ac:dyDescent="0.2">
      <c r="A21" s="3" t="str">
        <f>'4   Earthwork'!B93</f>
        <v>Grade surface</v>
      </c>
      <c r="B21" s="3" t="str">
        <f>'4   Earthwork'!C93</f>
        <v>East WRF Containment</v>
      </c>
      <c r="C21" s="357" t="str">
        <f>'4   Earthwork'!D93</f>
        <v>-</v>
      </c>
      <c r="D21" s="356" t="str">
        <f>'3   Material'!G93</f>
        <v>16M</v>
      </c>
      <c r="E21" s="385" t="s">
        <v>26</v>
      </c>
      <c r="F21" s="383">
        <f>'4   Earthwork'!E93</f>
        <v>0.5</v>
      </c>
      <c r="G21" s="383">
        <f>(P21/60)*J21*2300/L21*M21*Q21*R21*S21*U21*K21*O21*N21*5280/43560</f>
        <v>3.1021487603305786</v>
      </c>
      <c r="H21" s="383"/>
      <c r="I21" s="383">
        <f>F21/G21</f>
        <v>0.16117860187553282</v>
      </c>
      <c r="J21" s="373">
        <v>1.2</v>
      </c>
      <c r="K21" s="373">
        <f>-0.02*T21+1</f>
        <v>1.02</v>
      </c>
      <c r="L21" s="375">
        <v>3300</v>
      </c>
      <c r="M21" s="390">
        <v>1.2</v>
      </c>
      <c r="N21" s="379">
        <v>16</v>
      </c>
      <c r="O21" s="374">
        <v>2.5</v>
      </c>
      <c r="P21" s="379">
        <f t="shared" si="6"/>
        <v>50</v>
      </c>
      <c r="Q21" s="379">
        <f t="shared" si="7"/>
        <v>1</v>
      </c>
      <c r="R21" s="379">
        <f t="shared" si="8"/>
        <v>1</v>
      </c>
      <c r="S21" s="377">
        <f t="shared" si="9"/>
        <v>1</v>
      </c>
      <c r="T21" s="390">
        <v>-1</v>
      </c>
      <c r="U21" s="376">
        <v>0.75</v>
      </c>
      <c r="V21" s="377" t="str">
        <f>$V$16</f>
        <v>-</v>
      </c>
      <c r="W21" s="354"/>
    </row>
    <row r="22" spans="1:23" x14ac:dyDescent="0.2">
      <c r="A22" s="3" t="str">
        <f>'4   Earthwork'!B94</f>
        <v>Grade surface</v>
      </c>
      <c r="B22" s="3" t="str">
        <f>'4   Earthwork'!C94</f>
        <v xml:space="preserve">Blackman's Seep (Pond #2) </v>
      </c>
      <c r="C22" s="357" t="str">
        <f>'4   Earthwork'!D94</f>
        <v>-</v>
      </c>
      <c r="D22" s="356" t="str">
        <f>'3   Material'!G94</f>
        <v>16M</v>
      </c>
      <c r="E22" s="385" t="s">
        <v>26</v>
      </c>
      <c r="F22" s="383">
        <f>'4   Earthwork'!E94</f>
        <v>0.01</v>
      </c>
      <c r="G22" s="383">
        <f>(P22/60)*J22*2300/L22*M22*Q22*R22*S22*U22*K22*O22*N22*5280/43560</f>
        <v>3.1021487603305786</v>
      </c>
      <c r="H22" s="383"/>
      <c r="I22" s="383">
        <f>F22/G22</f>
        <v>3.2235720375106565E-3</v>
      </c>
      <c r="J22" s="373">
        <v>1.2</v>
      </c>
      <c r="K22" s="373">
        <f>-0.02*T22+1</f>
        <v>1.02</v>
      </c>
      <c r="L22" s="375">
        <v>3300</v>
      </c>
      <c r="M22" s="390">
        <v>1.2</v>
      </c>
      <c r="N22" s="379">
        <v>16</v>
      </c>
      <c r="O22" s="374">
        <v>2.5</v>
      </c>
      <c r="P22" s="379">
        <f t="shared" si="6"/>
        <v>50</v>
      </c>
      <c r="Q22" s="379">
        <f t="shared" si="7"/>
        <v>1</v>
      </c>
      <c r="R22" s="379">
        <f t="shared" si="8"/>
        <v>1</v>
      </c>
      <c r="S22" s="377">
        <f t="shared" si="9"/>
        <v>1</v>
      </c>
      <c r="T22" s="390">
        <v>-1</v>
      </c>
      <c r="U22" s="376">
        <v>0.75</v>
      </c>
      <c r="V22" s="377" t="str">
        <f>$V$16</f>
        <v>-</v>
      </c>
      <c r="W22" s="354"/>
    </row>
    <row r="23" spans="1:23" x14ac:dyDescent="0.2">
      <c r="A23" s="3" t="str">
        <f>'4   Earthwork'!B95</f>
        <v>Grade surface</v>
      </c>
      <c r="B23" s="3" t="str">
        <f>'4   Earthwork'!C95</f>
        <v>Decant Pond #4</v>
      </c>
      <c r="C23" s="357" t="str">
        <f>'4   Earthwork'!D95</f>
        <v>-</v>
      </c>
      <c r="D23" s="356" t="str">
        <f>'3   Material'!G95</f>
        <v>16M</v>
      </c>
      <c r="E23" s="385" t="s">
        <v>26</v>
      </c>
      <c r="F23" s="383">
        <f>'4   Earthwork'!E95</f>
        <v>0.62</v>
      </c>
      <c r="G23" s="383">
        <f>(P23/60)*J23*2300/L23*M23*Q23*R23*S23*U23*K23*O23*N23*5280/43560</f>
        <v>3.1021487603305786</v>
      </c>
      <c r="H23" s="383"/>
      <c r="I23" s="383">
        <f>F23/G23</f>
        <v>0.19986146632566068</v>
      </c>
      <c r="J23" s="373">
        <v>1.2</v>
      </c>
      <c r="K23" s="373">
        <f>-0.02*T23+1</f>
        <v>1.02</v>
      </c>
      <c r="L23" s="375">
        <v>3300</v>
      </c>
      <c r="M23" s="390">
        <v>1.2</v>
      </c>
      <c r="N23" s="379">
        <v>16</v>
      </c>
      <c r="O23" s="374">
        <v>2.5</v>
      </c>
      <c r="P23" s="379">
        <f t="shared" si="6"/>
        <v>50</v>
      </c>
      <c r="Q23" s="379">
        <f t="shared" si="7"/>
        <v>1</v>
      </c>
      <c r="R23" s="379">
        <f t="shared" si="8"/>
        <v>1</v>
      </c>
      <c r="S23" s="377">
        <f t="shared" si="9"/>
        <v>1</v>
      </c>
      <c r="T23" s="390">
        <v>-1</v>
      </c>
      <c r="U23" s="376">
        <v>0.75</v>
      </c>
      <c r="V23" s="377" t="str">
        <f>$V$16</f>
        <v>-</v>
      </c>
      <c r="W23" s="354"/>
    </row>
    <row r="24" spans="1:23" x14ac:dyDescent="0.2">
      <c r="A24" s="3" t="str">
        <f>'4   Earthwork'!B96</f>
        <v>Grade surface</v>
      </c>
      <c r="B24" s="3" t="str">
        <f>'4   Earthwork'!C96</f>
        <v xml:space="preserve">Upper Creek Containment Pond 1 </v>
      </c>
      <c r="C24" s="357" t="str">
        <f>'4   Earthwork'!D96</f>
        <v>-</v>
      </c>
      <c r="D24" s="356" t="str">
        <f>'3   Material'!G96</f>
        <v>16M</v>
      </c>
      <c r="E24" s="385" t="s">
        <v>26</v>
      </c>
      <c r="F24" s="372">
        <f>'4   Earthwork'!E96</f>
        <v>1.1299999999999999</v>
      </c>
      <c r="G24" s="383">
        <f>(P24/60)*J24*2300/L24*M24*Q24*R24*S24*U24*K24*O24*N24*5280/43560</f>
        <v>3.1021487603305786</v>
      </c>
      <c r="H24" s="383"/>
      <c r="I24" s="383">
        <f>F24/G24</f>
        <v>0.36426364023870411</v>
      </c>
      <c r="J24" s="373">
        <v>1.2</v>
      </c>
      <c r="K24" s="373">
        <f>-0.02*T24+1</f>
        <v>1.02</v>
      </c>
      <c r="L24" s="375">
        <v>3300</v>
      </c>
      <c r="M24" s="390">
        <v>1.2</v>
      </c>
      <c r="N24" s="379">
        <v>16</v>
      </c>
      <c r="O24" s="374">
        <v>2.5</v>
      </c>
      <c r="P24" s="379">
        <f t="shared" si="6"/>
        <v>50</v>
      </c>
      <c r="Q24" s="379">
        <f t="shared" si="7"/>
        <v>1</v>
      </c>
      <c r="R24" s="379">
        <f t="shared" si="8"/>
        <v>1</v>
      </c>
      <c r="S24" s="377">
        <f t="shared" si="9"/>
        <v>1</v>
      </c>
      <c r="T24" s="390">
        <v>-1</v>
      </c>
      <c r="U24" s="376">
        <v>0.75</v>
      </c>
      <c r="V24" s="377" t="str">
        <f>$V$16</f>
        <v>-</v>
      </c>
      <c r="W24" s="354"/>
    </row>
    <row r="25" spans="1:23" x14ac:dyDescent="0.2">
      <c r="A25" s="3" t="str">
        <f>'4   Earthwork'!B97</f>
        <v>Grade cover soil</v>
      </c>
      <c r="B25" s="3" t="str">
        <f>'4   Earthwork'!C97</f>
        <v xml:space="preserve">SWRDF Top </v>
      </c>
      <c r="C25" s="357" t="str">
        <f>'4   Earthwork'!D97</f>
        <v>-</v>
      </c>
      <c r="D25" s="356" t="str">
        <f>'3   Material'!G97</f>
        <v>D11T CD</v>
      </c>
      <c r="E25" s="372">
        <f>'4   Earthwork'!I97</f>
        <v>412368.00000000006</v>
      </c>
      <c r="F25" s="372"/>
      <c r="G25" s="387" t="s">
        <v>26</v>
      </c>
      <c r="H25" s="372">
        <f t="shared" ref="H25:H34" si="10">(P25/60)*J25*2300/L25*M25*Q25*R25*S25*U25*K25*W25</f>
        <v>1920.9082620455677</v>
      </c>
      <c r="I25" s="383">
        <f t="shared" ref="I25:I34" si="11">IF(H25=0,0,E25/H25)</f>
        <v>214.67344804945083</v>
      </c>
      <c r="J25" s="373">
        <v>1.2</v>
      </c>
      <c r="K25" s="373">
        <f t="shared" si="5"/>
        <v>1.02</v>
      </c>
      <c r="L25" s="375">
        <v>3300</v>
      </c>
      <c r="M25" s="390">
        <v>1.2</v>
      </c>
      <c r="N25" s="388" t="s">
        <v>26</v>
      </c>
      <c r="O25" s="388" t="s">
        <v>26</v>
      </c>
      <c r="P25" s="379">
        <f t="shared" si="6"/>
        <v>50</v>
      </c>
      <c r="Q25" s="379">
        <f t="shared" si="7"/>
        <v>1</v>
      </c>
      <c r="R25" s="379">
        <f t="shared" si="8"/>
        <v>1</v>
      </c>
      <c r="S25" s="377">
        <f t="shared" si="9"/>
        <v>1</v>
      </c>
      <c r="T25" s="380">
        <f>'5   Dozer'!S12</f>
        <v>-1</v>
      </c>
      <c r="U25" s="376">
        <v>0.75</v>
      </c>
      <c r="V25" s="377">
        <v>100</v>
      </c>
      <c r="W25" s="384">
        <f>IF(V25=0,0,159372.008958*V25^-0.862481)</f>
        <v>3002.2720776500773</v>
      </c>
    </row>
    <row r="26" spans="1:23" x14ac:dyDescent="0.2">
      <c r="A26" s="3" t="str">
        <f>'4   Earthwork'!B98</f>
        <v>Grade cover soil</v>
      </c>
      <c r="B26" s="3" t="str">
        <f>'4   Earthwork'!C98</f>
        <v>SWRDF Outslopes</v>
      </c>
      <c r="C26" s="357" t="str">
        <f>'4   Earthwork'!D98</f>
        <v>-</v>
      </c>
      <c r="D26" s="356" t="str">
        <f>'3   Material'!G98</f>
        <v>D11T CD</v>
      </c>
      <c r="E26" s="372">
        <f>'4   Earthwork'!I98</f>
        <v>1237104.0000000002</v>
      </c>
      <c r="F26" s="372"/>
      <c r="G26" s="387" t="s">
        <v>26</v>
      </c>
      <c r="H26" s="372">
        <f t="shared" si="10"/>
        <v>3032.0218646013373</v>
      </c>
      <c r="I26" s="372">
        <f t="shared" si="11"/>
        <v>408.01288883932892</v>
      </c>
      <c r="J26" s="373">
        <v>1.2</v>
      </c>
      <c r="K26" s="373">
        <f t="shared" si="5"/>
        <v>1.6099999999999999</v>
      </c>
      <c r="L26" s="375">
        <v>3300</v>
      </c>
      <c r="M26" s="390">
        <v>1.2</v>
      </c>
      <c r="N26" s="388" t="s">
        <v>26</v>
      </c>
      <c r="O26" s="388" t="s">
        <v>26</v>
      </c>
      <c r="P26" s="379">
        <f t="shared" si="6"/>
        <v>50</v>
      </c>
      <c r="Q26" s="379">
        <f t="shared" si="7"/>
        <v>1</v>
      </c>
      <c r="R26" s="379">
        <f t="shared" si="8"/>
        <v>1</v>
      </c>
      <c r="S26" s="377">
        <f t="shared" si="9"/>
        <v>1</v>
      </c>
      <c r="T26" s="380">
        <v>-30.5</v>
      </c>
      <c r="U26" s="376">
        <v>0.75</v>
      </c>
      <c r="V26" s="377">
        <v>100</v>
      </c>
      <c r="W26" s="384">
        <f t="shared" ref="W26:W49" si="12">IF(V26=0,0,159372.008958*V26^-0.862481)</f>
        <v>3002.2720776500773</v>
      </c>
    </row>
    <row r="27" spans="1:23" x14ac:dyDescent="0.2">
      <c r="A27" s="3" t="str">
        <f>'4   Earthwork'!B99</f>
        <v>Grade cover soil</v>
      </c>
      <c r="B27" s="3" t="str">
        <f>'4   Earthwork'!C99</f>
        <v xml:space="preserve">SWRDF Top </v>
      </c>
      <c r="C27" s="357" t="str">
        <f>'4   Earthwork'!D99</f>
        <v>-</v>
      </c>
      <c r="D27" s="356" t="str">
        <f>'3   Material'!G99</f>
        <v>D11T CD</v>
      </c>
      <c r="E27" s="372">
        <f>'4   Earthwork'!I99</f>
        <v>119547.99999999999</v>
      </c>
      <c r="F27" s="372"/>
      <c r="G27" s="387" t="s">
        <v>26</v>
      </c>
      <c r="H27" s="372">
        <f t="shared" si="10"/>
        <v>1920.9082620455677</v>
      </c>
      <c r="I27" s="372">
        <f t="shared" si="11"/>
        <v>62.235142803068477</v>
      </c>
      <c r="J27" s="373">
        <v>1.2</v>
      </c>
      <c r="K27" s="373">
        <f t="shared" si="5"/>
        <v>1.02</v>
      </c>
      <c r="L27" s="375">
        <v>3300</v>
      </c>
      <c r="M27" s="390">
        <v>1.2</v>
      </c>
      <c r="N27" s="388" t="s">
        <v>26</v>
      </c>
      <c r="O27" s="388" t="s">
        <v>26</v>
      </c>
      <c r="P27" s="379">
        <f t="shared" si="6"/>
        <v>50</v>
      </c>
      <c r="Q27" s="379">
        <f t="shared" si="7"/>
        <v>1</v>
      </c>
      <c r="R27" s="379">
        <f t="shared" si="8"/>
        <v>1</v>
      </c>
      <c r="S27" s="377">
        <f t="shared" si="9"/>
        <v>1</v>
      </c>
      <c r="T27" s="380">
        <v>-1</v>
      </c>
      <c r="U27" s="376">
        <v>0.75</v>
      </c>
      <c r="V27" s="389">
        <v>100</v>
      </c>
      <c r="W27" s="384">
        <f t="shared" si="12"/>
        <v>3002.2720776500773</v>
      </c>
    </row>
    <row r="28" spans="1:23" x14ac:dyDescent="0.2">
      <c r="A28" s="3" t="str">
        <f>'4   Earthwork'!B100</f>
        <v>Grade cover soil</v>
      </c>
      <c r="B28" s="3" t="str">
        <f>'4   Earthwork'!C100</f>
        <v>Hanover Mountain Deposit</v>
      </c>
      <c r="C28" s="357" t="str">
        <f>'4   Earthwork'!D100</f>
        <v>-</v>
      </c>
      <c r="D28" s="356" t="str">
        <f>'3   Material'!G100</f>
        <v>D11T CD</v>
      </c>
      <c r="E28" s="372">
        <f>'4   Earthwork'!I100</f>
        <v>451571.99999999994</v>
      </c>
      <c r="F28" s="372"/>
      <c r="G28" s="387" t="s">
        <v>26</v>
      </c>
      <c r="H28" s="372">
        <f t="shared" si="10"/>
        <v>1920.9082620455677</v>
      </c>
      <c r="I28" s="383">
        <f t="shared" si="11"/>
        <v>235.08254346260279</v>
      </c>
      <c r="J28" s="373">
        <v>1.2</v>
      </c>
      <c r="K28" s="373">
        <f t="shared" si="5"/>
        <v>1.02</v>
      </c>
      <c r="L28" s="375">
        <v>3300</v>
      </c>
      <c r="M28" s="390">
        <v>1.2</v>
      </c>
      <c r="N28" s="388" t="s">
        <v>26</v>
      </c>
      <c r="O28" s="388" t="s">
        <v>26</v>
      </c>
      <c r="P28" s="379">
        <f t="shared" si="6"/>
        <v>50</v>
      </c>
      <c r="Q28" s="379">
        <f t="shared" si="7"/>
        <v>1</v>
      </c>
      <c r="R28" s="379">
        <f t="shared" si="8"/>
        <v>1</v>
      </c>
      <c r="S28" s="377">
        <f t="shared" si="9"/>
        <v>1</v>
      </c>
      <c r="T28" s="380">
        <v>-1</v>
      </c>
      <c r="U28" s="376">
        <v>0.75</v>
      </c>
      <c r="V28" s="377">
        <v>100</v>
      </c>
      <c r="W28" s="384">
        <f t="shared" si="12"/>
        <v>3002.2720776500773</v>
      </c>
    </row>
    <row r="29" spans="1:23" x14ac:dyDescent="0.2">
      <c r="A29" s="3" t="str">
        <f>'4   Earthwork'!B101</f>
        <v>Grade cover soil</v>
      </c>
      <c r="B29" s="3" t="str">
        <f>'4   Earthwork'!C101</f>
        <v>Pearson-Barnes Mine Area</v>
      </c>
      <c r="C29" s="357" t="str">
        <f>'4   Earthwork'!D101</f>
        <v>-</v>
      </c>
      <c r="D29" s="356" t="str">
        <f>'3   Material'!G101</f>
        <v>D11T CD</v>
      </c>
      <c r="E29" s="372">
        <f>'4   Earthwork'!I101</f>
        <v>57596.000000000007</v>
      </c>
      <c r="F29" s="372"/>
      <c r="G29" s="387" t="s">
        <v>26</v>
      </c>
      <c r="H29" s="372">
        <f>(P29/60)*J29*2300/L29*M29*Q29*R29*S29*U29*K29*W29</f>
        <v>1242.9406401471319</v>
      </c>
      <c r="I29" s="383">
        <f>IF(H29=0,0,E29/H29)</f>
        <v>46.338496095181291</v>
      </c>
      <c r="J29" s="373">
        <v>1.2</v>
      </c>
      <c r="K29" s="373">
        <f>-0.02*T29+1</f>
        <v>0.65999999999999992</v>
      </c>
      <c r="L29" s="375">
        <v>3300</v>
      </c>
      <c r="M29" s="390">
        <v>1.2</v>
      </c>
      <c r="N29" s="388" t="s">
        <v>26</v>
      </c>
      <c r="O29" s="388" t="s">
        <v>26</v>
      </c>
      <c r="P29" s="379">
        <f t="shared" si="6"/>
        <v>50</v>
      </c>
      <c r="Q29" s="379">
        <f t="shared" si="7"/>
        <v>1</v>
      </c>
      <c r="R29" s="379">
        <f t="shared" si="8"/>
        <v>1</v>
      </c>
      <c r="S29" s="377">
        <f t="shared" si="9"/>
        <v>1</v>
      </c>
      <c r="T29" s="459">
        <v>17</v>
      </c>
      <c r="U29" s="376">
        <v>0.75</v>
      </c>
      <c r="V29" s="377">
        <v>100</v>
      </c>
      <c r="W29" s="384">
        <f t="shared" si="12"/>
        <v>3002.2720776500773</v>
      </c>
    </row>
    <row r="30" spans="1:23" x14ac:dyDescent="0.2">
      <c r="A30" s="3" t="str">
        <f>'4   Earthwork'!B102</f>
        <v>Grade cover soil</v>
      </c>
      <c r="B30" s="3" t="str">
        <f>'4   Earthwork'!C102</f>
        <v>Low Grade WRF</v>
      </c>
      <c r="C30" s="357" t="str">
        <f>'4   Earthwork'!D102</f>
        <v>-</v>
      </c>
      <c r="D30" s="356" t="str">
        <f>'3   Material'!G102</f>
        <v>D11T CD</v>
      </c>
      <c r="E30" s="372">
        <f>'4   Earthwork'!I102</f>
        <v>44899.066666666658</v>
      </c>
      <c r="F30" s="372"/>
      <c r="G30" s="387" t="s">
        <v>26</v>
      </c>
      <c r="H30" s="372">
        <f t="shared" si="10"/>
        <v>3126.1840343094536</v>
      </c>
      <c r="I30" s="383">
        <f t="shared" si="11"/>
        <v>14.362259602731438</v>
      </c>
      <c r="J30" s="373">
        <v>1.2</v>
      </c>
      <c r="K30" s="373">
        <f t="shared" si="5"/>
        <v>1.6600000000000001</v>
      </c>
      <c r="L30" s="375">
        <v>3300</v>
      </c>
      <c r="M30" s="390">
        <v>1.2</v>
      </c>
      <c r="N30" s="388" t="s">
        <v>26</v>
      </c>
      <c r="O30" s="388" t="s">
        <v>26</v>
      </c>
      <c r="P30" s="379">
        <f t="shared" si="6"/>
        <v>50</v>
      </c>
      <c r="Q30" s="379">
        <f t="shared" si="7"/>
        <v>1</v>
      </c>
      <c r="R30" s="379">
        <f t="shared" si="8"/>
        <v>1</v>
      </c>
      <c r="S30" s="377">
        <f t="shared" si="9"/>
        <v>1</v>
      </c>
      <c r="T30" s="459">
        <v>-33</v>
      </c>
      <c r="U30" s="376">
        <v>0.75</v>
      </c>
      <c r="V30" s="389">
        <v>100</v>
      </c>
      <c r="W30" s="384">
        <f t="shared" si="12"/>
        <v>3002.2720776500773</v>
      </c>
    </row>
    <row r="31" spans="1:23" ht="17.25" customHeight="1" x14ac:dyDescent="0.2">
      <c r="A31" s="3" t="str">
        <f>'4   Earthwork'!B103</f>
        <v>Grade cover soil</v>
      </c>
      <c r="B31" s="3" t="str">
        <f>'4   Earthwork'!C103</f>
        <v>MTI Reclaim Pond</v>
      </c>
      <c r="C31" s="357" t="str">
        <f>'4   Earthwork'!D103</f>
        <v>-</v>
      </c>
      <c r="D31" s="356" t="str">
        <f>'3   Material'!G103</f>
        <v>D11T CD</v>
      </c>
      <c r="E31" s="372">
        <f>'4   Earthwork'!I103</f>
        <v>159720</v>
      </c>
      <c r="F31" s="372"/>
      <c r="G31" s="387" t="s">
        <v>26</v>
      </c>
      <c r="H31" s="372">
        <f t="shared" si="10"/>
        <v>3126.1840343094536</v>
      </c>
      <c r="I31" s="383">
        <f t="shared" si="11"/>
        <v>51.091042065052555</v>
      </c>
      <c r="J31" s="373">
        <v>1.2</v>
      </c>
      <c r="K31" s="373">
        <f t="shared" si="5"/>
        <v>1.6600000000000001</v>
      </c>
      <c r="L31" s="375">
        <v>3300</v>
      </c>
      <c r="M31" s="390">
        <v>1.2</v>
      </c>
      <c r="N31" s="388" t="s">
        <v>26</v>
      </c>
      <c r="O31" s="388" t="s">
        <v>26</v>
      </c>
      <c r="P31" s="379">
        <f t="shared" si="6"/>
        <v>50</v>
      </c>
      <c r="Q31" s="379">
        <f t="shared" si="7"/>
        <v>1</v>
      </c>
      <c r="R31" s="379">
        <f t="shared" si="8"/>
        <v>1</v>
      </c>
      <c r="S31" s="377">
        <f t="shared" si="9"/>
        <v>1</v>
      </c>
      <c r="T31" s="459">
        <v>-33</v>
      </c>
      <c r="U31" s="376">
        <v>0.75</v>
      </c>
      <c r="V31" s="377">
        <v>100</v>
      </c>
      <c r="W31" s="384">
        <f t="shared" si="12"/>
        <v>3002.2720776500773</v>
      </c>
    </row>
    <row r="32" spans="1:23" ht="17.25" customHeight="1" x14ac:dyDescent="0.2">
      <c r="A32" s="3" t="str">
        <f>'4   Earthwork'!B104</f>
        <v>Grade cover soil</v>
      </c>
      <c r="B32" s="3" t="str">
        <f>'4   Earthwork'!C104</f>
        <v>MTI  Top</v>
      </c>
      <c r="C32" s="357" t="str">
        <f>'4   Earthwork'!D104</f>
        <v>-</v>
      </c>
      <c r="D32" s="356" t="str">
        <f>'3   Material'!G104</f>
        <v>D11T CD</v>
      </c>
      <c r="E32" s="372">
        <f>'4   Earthwork'!I104</f>
        <v>190284.10000000003</v>
      </c>
      <c r="F32" s="372"/>
      <c r="G32" s="387" t="s">
        <v>26</v>
      </c>
      <c r="H32" s="372">
        <f t="shared" si="10"/>
        <v>1912.245342432421</v>
      </c>
      <c r="I32" s="383">
        <f t="shared" si="11"/>
        <v>99.508204192017629</v>
      </c>
      <c r="J32" s="373">
        <v>1.2</v>
      </c>
      <c r="K32" s="373">
        <f t="shared" si="5"/>
        <v>1.0154000000000001</v>
      </c>
      <c r="L32" s="375">
        <v>3300</v>
      </c>
      <c r="M32" s="390">
        <v>1.2</v>
      </c>
      <c r="N32" s="388" t="s">
        <v>26</v>
      </c>
      <c r="O32" s="388" t="s">
        <v>26</v>
      </c>
      <c r="P32" s="379">
        <f t="shared" si="6"/>
        <v>50</v>
      </c>
      <c r="Q32" s="379">
        <f t="shared" si="7"/>
        <v>1</v>
      </c>
      <c r="R32" s="379">
        <f t="shared" si="8"/>
        <v>1</v>
      </c>
      <c r="S32" s="377">
        <f t="shared" si="9"/>
        <v>1</v>
      </c>
      <c r="T32" s="380">
        <v>-0.77</v>
      </c>
      <c r="U32" s="376">
        <v>0.75</v>
      </c>
      <c r="V32" s="377">
        <v>100</v>
      </c>
      <c r="W32" s="384">
        <f t="shared" si="12"/>
        <v>3002.2720776500773</v>
      </c>
    </row>
    <row r="33" spans="1:23" ht="17.25" customHeight="1" x14ac:dyDescent="0.2">
      <c r="A33" s="3" t="str">
        <f>'4   Earthwork'!B105</f>
        <v>Grade cover soil</v>
      </c>
      <c r="B33" s="3" t="str">
        <f>'4   Earthwork'!C105</f>
        <v>MTI  Outslope</v>
      </c>
      <c r="C33" s="357" t="str">
        <f>'4   Earthwork'!D105</f>
        <v>-</v>
      </c>
      <c r="D33" s="356" t="str">
        <f>'3   Material'!G105</f>
        <v>D11T CD</v>
      </c>
      <c r="E33" s="372">
        <f>'4   Earthwork'!I105</f>
        <v>175837.19999999998</v>
      </c>
      <c r="F33" s="372"/>
      <c r="G33" s="387" t="s">
        <v>26</v>
      </c>
      <c r="H33" s="372">
        <f t="shared" ref="H33" si="13">(P33/60)*J33*2300/L33*M33*Q33*R33*S33*U33*K33*W33</f>
        <v>3126.1840343094536</v>
      </c>
      <c r="I33" s="383">
        <f t="shared" ref="I33" si="14">IF(H33=0,0,E33/H33)</f>
        <v>56.246592673435124</v>
      </c>
      <c r="J33" s="373">
        <v>1.2</v>
      </c>
      <c r="K33" s="373">
        <f t="shared" ref="K33" si="15">-0.02*T33+1</f>
        <v>1.6600000000000001</v>
      </c>
      <c r="L33" s="375">
        <v>3300</v>
      </c>
      <c r="M33" s="390">
        <v>1.2</v>
      </c>
      <c r="N33" s="388" t="s">
        <v>26</v>
      </c>
      <c r="O33" s="388" t="s">
        <v>26</v>
      </c>
      <c r="P33" s="379">
        <f t="shared" si="6"/>
        <v>50</v>
      </c>
      <c r="Q33" s="379">
        <f t="shared" si="7"/>
        <v>1</v>
      </c>
      <c r="R33" s="379">
        <f t="shared" si="8"/>
        <v>1</v>
      </c>
      <c r="S33" s="377">
        <f t="shared" si="9"/>
        <v>1</v>
      </c>
      <c r="T33" s="459">
        <v>-33</v>
      </c>
      <c r="U33" s="376">
        <v>0.75</v>
      </c>
      <c r="V33" s="377">
        <v>100</v>
      </c>
      <c r="W33" s="384">
        <f t="shared" ref="W33" si="16">IF(V33=0,0,159372.008958*V33^-0.862481)</f>
        <v>3002.2720776500773</v>
      </c>
    </row>
    <row r="34" spans="1:23" ht="17.25" customHeight="1" x14ac:dyDescent="0.2">
      <c r="A34" s="3" t="str">
        <f>'4   Earthwork'!B106</f>
        <v>Grade cover soil</v>
      </c>
      <c r="B34" s="3" t="str">
        <f>'4   Earthwork'!C106</f>
        <v>MTI  Top</v>
      </c>
      <c r="C34" s="357" t="str">
        <f>'4   Earthwork'!D106</f>
        <v>-</v>
      </c>
      <c r="D34" s="356" t="str">
        <f>'3   Material'!G106</f>
        <v>D11T CD</v>
      </c>
      <c r="E34" s="372">
        <f>'4   Earthwork'!I106</f>
        <v>71559.899999999994</v>
      </c>
      <c r="F34" s="372"/>
      <c r="G34" s="387" t="s">
        <v>26</v>
      </c>
      <c r="H34" s="372">
        <f t="shared" si="10"/>
        <v>1912.245342432421</v>
      </c>
      <c r="I34" s="383">
        <f t="shared" si="11"/>
        <v>37.421924065964319</v>
      </c>
      <c r="J34" s="373">
        <v>1.2</v>
      </c>
      <c r="K34" s="373">
        <f t="shared" si="5"/>
        <v>1.0154000000000001</v>
      </c>
      <c r="L34" s="375">
        <v>3300</v>
      </c>
      <c r="M34" s="390">
        <v>1.2</v>
      </c>
      <c r="N34" s="388" t="s">
        <v>26</v>
      </c>
      <c r="O34" s="388" t="s">
        <v>26</v>
      </c>
      <c r="P34" s="379">
        <f t="shared" si="6"/>
        <v>50</v>
      </c>
      <c r="Q34" s="379">
        <f t="shared" si="7"/>
        <v>1</v>
      </c>
      <c r="R34" s="379">
        <f t="shared" si="8"/>
        <v>1</v>
      </c>
      <c r="S34" s="377">
        <f t="shared" si="9"/>
        <v>1</v>
      </c>
      <c r="T34" s="380">
        <v>-0.77</v>
      </c>
      <c r="U34" s="376">
        <v>0.75</v>
      </c>
      <c r="V34" s="377">
        <v>100</v>
      </c>
      <c r="W34" s="384">
        <f t="shared" si="12"/>
        <v>3002.2720776500773</v>
      </c>
    </row>
    <row r="35" spans="1:23" ht="17.25" customHeight="1" x14ac:dyDescent="0.2">
      <c r="A35" s="3" t="str">
        <f>'4   Earthwork'!B107</f>
        <v>Grade cover soil</v>
      </c>
      <c r="B35" s="3" t="str">
        <f>'4   Earthwork'!C107</f>
        <v>Tailing Pipeline Corridor</v>
      </c>
      <c r="C35" s="357" t="str">
        <f>'4   Earthwork'!D107</f>
        <v>-</v>
      </c>
      <c r="D35" s="356" t="str">
        <f>'3   Material'!G107</f>
        <v>D11T CD</v>
      </c>
      <c r="E35" s="372">
        <f>'4   Earthwork'!I107</f>
        <v>6998.64</v>
      </c>
      <c r="F35" s="372"/>
      <c r="G35" s="387" t="s">
        <v>26</v>
      </c>
      <c r="H35" s="372">
        <f>(P35/60)*J35*2300/L35*M35*Q35*R35*S35*U35*K35*W35</f>
        <v>1920.9082620455677</v>
      </c>
      <c r="I35" s="383">
        <f>IF(H35=0,0,E35/H35)</f>
        <v>3.6434014774589891</v>
      </c>
      <c r="J35" s="373">
        <v>1.2</v>
      </c>
      <c r="K35" s="373">
        <f t="shared" si="5"/>
        <v>1.02</v>
      </c>
      <c r="L35" s="375">
        <v>3300</v>
      </c>
      <c r="M35" s="390">
        <v>1.2</v>
      </c>
      <c r="N35" s="388" t="s">
        <v>26</v>
      </c>
      <c r="O35" s="388" t="s">
        <v>26</v>
      </c>
      <c r="P35" s="379">
        <f t="shared" si="6"/>
        <v>50</v>
      </c>
      <c r="Q35" s="379">
        <f t="shared" si="7"/>
        <v>1</v>
      </c>
      <c r="R35" s="379">
        <f t="shared" si="8"/>
        <v>1</v>
      </c>
      <c r="S35" s="377">
        <f t="shared" si="9"/>
        <v>1</v>
      </c>
      <c r="T35" s="380">
        <v>-1</v>
      </c>
      <c r="U35" s="376">
        <v>0.75</v>
      </c>
      <c r="V35" s="377">
        <v>100</v>
      </c>
      <c r="W35" s="384">
        <f t="shared" si="12"/>
        <v>3002.2720776500773</v>
      </c>
    </row>
    <row r="36" spans="1:23" x14ac:dyDescent="0.2">
      <c r="A36" s="3" t="str">
        <f>'4   Earthwork'!B108</f>
        <v>Grade cover soil</v>
      </c>
      <c r="B36" s="3" t="str">
        <f>'4   Earthwork'!C108</f>
        <v>Grape Gulch Pond #3</v>
      </c>
      <c r="C36" s="357" t="str">
        <f>'4   Earthwork'!D108</f>
        <v>-</v>
      </c>
      <c r="D36" s="356" t="str">
        <f>'3   Material'!G108</f>
        <v>D11T CD</v>
      </c>
      <c r="E36" s="372">
        <f>'4   Earthwork'!I108</f>
        <v>1839.1999999999998</v>
      </c>
      <c r="F36" s="372"/>
      <c r="G36" s="387" t="s">
        <v>26</v>
      </c>
      <c r="H36" s="372">
        <f t="shared" ref="H36:H41" si="17">(P36/60)*J36*2300/L36*M36*Q36*R36*S36*U36*K36*W36</f>
        <v>1920.9082620455677</v>
      </c>
      <c r="I36" s="383">
        <f t="shared" ref="I36:I41" si="18">IF(H36=0,0,E36/H36)</f>
        <v>0.95746373543182273</v>
      </c>
      <c r="J36" s="373">
        <v>1.2</v>
      </c>
      <c r="K36" s="373">
        <f t="shared" ref="K36:K46" si="19">-0.02*T36+1</f>
        <v>1.02</v>
      </c>
      <c r="L36" s="375">
        <v>3300</v>
      </c>
      <c r="M36" s="390">
        <v>1.2</v>
      </c>
      <c r="N36" s="388" t="s">
        <v>26</v>
      </c>
      <c r="O36" s="388" t="s">
        <v>26</v>
      </c>
      <c r="P36" s="379">
        <f t="shared" si="6"/>
        <v>50</v>
      </c>
      <c r="Q36" s="379">
        <f t="shared" si="7"/>
        <v>1</v>
      </c>
      <c r="R36" s="379">
        <f t="shared" si="8"/>
        <v>1</v>
      </c>
      <c r="S36" s="377">
        <f t="shared" si="9"/>
        <v>1</v>
      </c>
      <c r="T36" s="380">
        <f t="shared" ref="T36:T45" si="20">T15</f>
        <v>-1</v>
      </c>
      <c r="U36" s="376">
        <v>0.75</v>
      </c>
      <c r="V36" s="377">
        <v>100</v>
      </c>
      <c r="W36" s="384">
        <f t="shared" si="12"/>
        <v>3002.2720776500773</v>
      </c>
    </row>
    <row r="37" spans="1:23" x14ac:dyDescent="0.2">
      <c r="A37" s="3" t="str">
        <f>'4   Earthwork'!B109</f>
        <v>Grade cover soil</v>
      </c>
      <c r="B37" s="3" t="str">
        <f>'4   Earthwork'!C109</f>
        <v>Magnetite Seepage Pond</v>
      </c>
      <c r="C37" s="357" t="str">
        <f>'4   Earthwork'!D109</f>
        <v>-</v>
      </c>
      <c r="D37" s="356" t="str">
        <f>'3   Material'!G109</f>
        <v>D11T CD</v>
      </c>
      <c r="E37" s="372">
        <f>'4   Earthwork'!I109</f>
        <v>968</v>
      </c>
      <c r="F37" s="372"/>
      <c r="G37" s="387" t="s">
        <v>26</v>
      </c>
      <c r="H37" s="372">
        <f t="shared" si="17"/>
        <v>1920.9082620455677</v>
      </c>
      <c r="I37" s="383">
        <f t="shared" si="18"/>
        <v>0.50392828180622251</v>
      </c>
      <c r="J37" s="373">
        <v>1.2</v>
      </c>
      <c r="K37" s="373">
        <f t="shared" si="19"/>
        <v>1.02</v>
      </c>
      <c r="L37" s="375">
        <v>3300</v>
      </c>
      <c r="M37" s="390">
        <v>1.2</v>
      </c>
      <c r="N37" s="388" t="s">
        <v>26</v>
      </c>
      <c r="O37" s="388" t="s">
        <v>26</v>
      </c>
      <c r="P37" s="379">
        <f t="shared" si="6"/>
        <v>50</v>
      </c>
      <c r="Q37" s="379">
        <f t="shared" si="7"/>
        <v>1</v>
      </c>
      <c r="R37" s="379">
        <f t="shared" si="8"/>
        <v>1</v>
      </c>
      <c r="S37" s="377">
        <f t="shared" si="9"/>
        <v>1</v>
      </c>
      <c r="T37" s="380">
        <f t="shared" si="20"/>
        <v>-1</v>
      </c>
      <c r="U37" s="376">
        <v>0.75</v>
      </c>
      <c r="V37" s="377">
        <v>100</v>
      </c>
      <c r="W37" s="384">
        <f t="shared" si="12"/>
        <v>3002.2720776500773</v>
      </c>
    </row>
    <row r="38" spans="1:23" x14ac:dyDescent="0.2">
      <c r="A38" s="3" t="str">
        <f>'4   Earthwork'!B110</f>
        <v>Grade cover soil</v>
      </c>
      <c r="B38" s="3" t="str">
        <f>'4   Earthwork'!C110</f>
        <v>SWRF Dam 1</v>
      </c>
      <c r="C38" s="357" t="str">
        <f>'4   Earthwork'!D110</f>
        <v>-</v>
      </c>
      <c r="D38" s="356" t="str">
        <f>'3   Material'!G110</f>
        <v>D11T CD</v>
      </c>
      <c r="E38" s="372">
        <f>'4   Earthwork'!I110</f>
        <v>2516.7999999999997</v>
      </c>
      <c r="F38" s="372"/>
      <c r="G38" s="387" t="s">
        <v>26</v>
      </c>
      <c r="H38" s="372">
        <f t="shared" si="17"/>
        <v>1920.9082620455677</v>
      </c>
      <c r="I38" s="383">
        <f t="shared" si="18"/>
        <v>1.3102135326961786</v>
      </c>
      <c r="J38" s="373">
        <v>1.2</v>
      </c>
      <c r="K38" s="373">
        <f t="shared" si="19"/>
        <v>1.02</v>
      </c>
      <c r="L38" s="375">
        <v>3300</v>
      </c>
      <c r="M38" s="390">
        <v>1.2</v>
      </c>
      <c r="N38" s="388" t="s">
        <v>26</v>
      </c>
      <c r="O38" s="388" t="s">
        <v>26</v>
      </c>
      <c r="P38" s="379">
        <f t="shared" si="6"/>
        <v>50</v>
      </c>
      <c r="Q38" s="379">
        <f t="shared" si="7"/>
        <v>1</v>
      </c>
      <c r="R38" s="379">
        <f t="shared" si="8"/>
        <v>1</v>
      </c>
      <c r="S38" s="377">
        <f t="shared" si="9"/>
        <v>1</v>
      </c>
      <c r="T38" s="380">
        <f t="shared" si="20"/>
        <v>-1</v>
      </c>
      <c r="U38" s="376">
        <v>0.75</v>
      </c>
      <c r="V38" s="377">
        <v>100</v>
      </c>
      <c r="W38" s="384">
        <f t="shared" si="12"/>
        <v>3002.2720776500773</v>
      </c>
    </row>
    <row r="39" spans="1:23" x14ac:dyDescent="0.2">
      <c r="A39" s="3" t="str">
        <f>'4   Earthwork'!B111</f>
        <v>Grade cover soil</v>
      </c>
      <c r="B39" s="3" t="str">
        <f>'4   Earthwork'!C111</f>
        <v>SWRF Dam 2</v>
      </c>
      <c r="C39" s="357" t="str">
        <f>'4   Earthwork'!D111</f>
        <v>-</v>
      </c>
      <c r="D39" s="356" t="str">
        <f>'3   Material'!G111</f>
        <v>D11T CD</v>
      </c>
      <c r="E39" s="372">
        <f>'4   Earthwork'!I111</f>
        <v>1645.6000000000001</v>
      </c>
      <c r="F39" s="372"/>
      <c r="G39" s="387" t="s">
        <v>26</v>
      </c>
      <c r="H39" s="372">
        <f t="shared" si="17"/>
        <v>1920.9082620455677</v>
      </c>
      <c r="I39" s="383">
        <f t="shared" si="18"/>
        <v>0.85667807907057836</v>
      </c>
      <c r="J39" s="373">
        <v>1.2</v>
      </c>
      <c r="K39" s="373">
        <f t="shared" si="19"/>
        <v>1.02</v>
      </c>
      <c r="L39" s="375">
        <v>3300</v>
      </c>
      <c r="M39" s="390">
        <v>1.2</v>
      </c>
      <c r="N39" s="388" t="s">
        <v>26</v>
      </c>
      <c r="O39" s="388" t="s">
        <v>26</v>
      </c>
      <c r="P39" s="379">
        <f t="shared" si="6"/>
        <v>50</v>
      </c>
      <c r="Q39" s="379">
        <f t="shared" si="7"/>
        <v>1</v>
      </c>
      <c r="R39" s="379">
        <f t="shared" si="8"/>
        <v>1</v>
      </c>
      <c r="S39" s="377">
        <f t="shared" si="9"/>
        <v>1</v>
      </c>
      <c r="T39" s="380">
        <f t="shared" si="20"/>
        <v>-1</v>
      </c>
      <c r="U39" s="376">
        <v>0.75</v>
      </c>
      <c r="V39" s="377">
        <v>100</v>
      </c>
      <c r="W39" s="384">
        <f t="shared" si="12"/>
        <v>3002.2720776500773</v>
      </c>
    </row>
    <row r="40" spans="1:23" x14ac:dyDescent="0.2">
      <c r="A40" s="3" t="str">
        <f>'4   Earthwork'!B112</f>
        <v>Grade cover soil</v>
      </c>
      <c r="B40" s="3" t="str">
        <f>'4   Earthwork'!C112</f>
        <v>SWRF Dam 3</v>
      </c>
      <c r="C40" s="357" t="str">
        <f>'4   Earthwork'!D112</f>
        <v>-</v>
      </c>
      <c r="D40" s="356" t="str">
        <f>'3   Material'!G112</f>
        <v>D11T CD</v>
      </c>
      <c r="E40" s="372">
        <f>'4   Earthwork'!I112</f>
        <v>4065.6</v>
      </c>
      <c r="F40" s="372"/>
      <c r="G40" s="387" t="s">
        <v>26</v>
      </c>
      <c r="H40" s="372">
        <f t="shared" si="17"/>
        <v>1920.9082620455677</v>
      </c>
      <c r="I40" s="383">
        <f t="shared" si="18"/>
        <v>2.1164987835861346</v>
      </c>
      <c r="J40" s="373">
        <v>1.2</v>
      </c>
      <c r="K40" s="373">
        <f t="shared" si="19"/>
        <v>1.02</v>
      </c>
      <c r="L40" s="375">
        <v>3300</v>
      </c>
      <c r="M40" s="390">
        <v>1.2</v>
      </c>
      <c r="N40" s="388" t="s">
        <v>26</v>
      </c>
      <c r="O40" s="388" t="s">
        <v>26</v>
      </c>
      <c r="P40" s="379">
        <f t="shared" si="6"/>
        <v>50</v>
      </c>
      <c r="Q40" s="379">
        <f t="shared" si="7"/>
        <v>1</v>
      </c>
      <c r="R40" s="379">
        <f t="shared" si="8"/>
        <v>1</v>
      </c>
      <c r="S40" s="377">
        <f t="shared" si="9"/>
        <v>1</v>
      </c>
      <c r="T40" s="380">
        <f t="shared" si="20"/>
        <v>-1</v>
      </c>
      <c r="U40" s="376">
        <v>0.75</v>
      </c>
      <c r="V40" s="377">
        <v>100</v>
      </c>
      <c r="W40" s="384">
        <f t="shared" si="12"/>
        <v>3002.2720776500773</v>
      </c>
    </row>
    <row r="41" spans="1:23" x14ac:dyDescent="0.2">
      <c r="A41" s="3" t="str">
        <f>'4   Earthwork'!B113</f>
        <v>Grade cover soil</v>
      </c>
      <c r="B41" s="3" t="str">
        <f>'4   Earthwork'!C113</f>
        <v>North Tailings Decant Pond</v>
      </c>
      <c r="C41" s="357" t="str">
        <f>'4   Earthwork'!D113</f>
        <v>-</v>
      </c>
      <c r="D41" s="356" t="str">
        <f>'3   Material'!G113</f>
        <v>D11T CD</v>
      </c>
      <c r="E41" s="372">
        <f>'4   Earthwork'!I113</f>
        <v>2226.4</v>
      </c>
      <c r="F41" s="372"/>
      <c r="G41" s="387" t="s">
        <v>26</v>
      </c>
      <c r="H41" s="372">
        <f t="shared" si="17"/>
        <v>1920.9082620455677</v>
      </c>
      <c r="I41" s="383">
        <f t="shared" si="18"/>
        <v>1.1590350481543119</v>
      </c>
      <c r="J41" s="373">
        <v>1.2</v>
      </c>
      <c r="K41" s="373">
        <f t="shared" si="19"/>
        <v>1.02</v>
      </c>
      <c r="L41" s="375">
        <v>3300</v>
      </c>
      <c r="M41" s="390">
        <v>1.2</v>
      </c>
      <c r="N41" s="388" t="s">
        <v>26</v>
      </c>
      <c r="O41" s="388" t="s">
        <v>26</v>
      </c>
      <c r="P41" s="379">
        <f t="shared" si="6"/>
        <v>50</v>
      </c>
      <c r="Q41" s="379">
        <f t="shared" si="7"/>
        <v>1</v>
      </c>
      <c r="R41" s="379">
        <f t="shared" si="8"/>
        <v>1</v>
      </c>
      <c r="S41" s="377">
        <f t="shared" si="9"/>
        <v>1</v>
      </c>
      <c r="T41" s="380">
        <f t="shared" si="20"/>
        <v>-1</v>
      </c>
      <c r="U41" s="376">
        <v>0.75</v>
      </c>
      <c r="V41" s="377">
        <v>100</v>
      </c>
      <c r="W41" s="384">
        <f t="shared" si="12"/>
        <v>3002.2720776500773</v>
      </c>
    </row>
    <row r="42" spans="1:23" x14ac:dyDescent="0.2">
      <c r="A42" s="3" t="str">
        <f>'4   Earthwork'!B114</f>
        <v>Grade cover soil</v>
      </c>
      <c r="B42" s="3" t="str">
        <f>'4   Earthwork'!C114</f>
        <v>East WRF Containment</v>
      </c>
      <c r="C42" s="357" t="str">
        <f>'4   Earthwork'!D114</f>
        <v>-</v>
      </c>
      <c r="D42" s="356" t="str">
        <f>'3   Material'!G114</f>
        <v>D11T CD</v>
      </c>
      <c r="E42" s="372">
        <f>'4   Earthwork'!I114</f>
        <v>2420</v>
      </c>
      <c r="F42" s="372"/>
      <c r="G42" s="387" t="s">
        <v>26</v>
      </c>
      <c r="H42" s="372">
        <f>(P42/60)*J42*2300/L42*M42*Q42*R42*S42*U42*K42*W42</f>
        <v>1920.9082620455677</v>
      </c>
      <c r="I42" s="383">
        <f>IF(H42=0,0,E42/H42)</f>
        <v>1.2598207045155563</v>
      </c>
      <c r="J42" s="373">
        <v>1.2</v>
      </c>
      <c r="K42" s="373">
        <f>-0.02*T42+1</f>
        <v>1.02</v>
      </c>
      <c r="L42" s="375">
        <v>3300</v>
      </c>
      <c r="M42" s="390">
        <v>1.2</v>
      </c>
      <c r="N42" s="388" t="s">
        <v>26</v>
      </c>
      <c r="O42" s="388" t="s">
        <v>26</v>
      </c>
      <c r="P42" s="379">
        <f t="shared" si="6"/>
        <v>50</v>
      </c>
      <c r="Q42" s="379">
        <f t="shared" si="7"/>
        <v>1</v>
      </c>
      <c r="R42" s="379">
        <f t="shared" si="8"/>
        <v>1</v>
      </c>
      <c r="S42" s="377">
        <f t="shared" si="9"/>
        <v>1</v>
      </c>
      <c r="T42" s="380">
        <f t="shared" si="20"/>
        <v>-1</v>
      </c>
      <c r="U42" s="376">
        <v>0.75</v>
      </c>
      <c r="V42" s="377">
        <v>100</v>
      </c>
      <c r="W42" s="384">
        <f t="shared" si="12"/>
        <v>3002.2720776500773</v>
      </c>
    </row>
    <row r="43" spans="1:23" x14ac:dyDescent="0.2">
      <c r="A43" s="3" t="str">
        <f>'4   Earthwork'!B115</f>
        <v>Grade cover soil</v>
      </c>
      <c r="B43" s="3" t="str">
        <f>'4   Earthwork'!C115</f>
        <v xml:space="preserve">Blackman's Seep (Pond #2) </v>
      </c>
      <c r="C43" s="357" t="str">
        <f>'4   Earthwork'!D115</f>
        <v>-</v>
      </c>
      <c r="D43" s="356" t="str">
        <f>'3   Material'!G115</f>
        <v>D11T CD</v>
      </c>
      <c r="E43" s="372">
        <f>'4   Earthwork'!I115</f>
        <v>48.4</v>
      </c>
      <c r="F43" s="372"/>
      <c r="G43" s="387" t="s">
        <v>26</v>
      </c>
      <c r="H43" s="372">
        <f>(P43/60)*J43*2300/L43*M43*Q43*R43*S43*U43*K43*W43</f>
        <v>1920.9082620455677</v>
      </c>
      <c r="I43" s="383">
        <f>IF(H43=0,0,E43/H43)</f>
        <v>2.5196414090311127E-2</v>
      </c>
      <c r="J43" s="373">
        <v>1.2</v>
      </c>
      <c r="K43" s="373">
        <f>-0.02*T43+1</f>
        <v>1.02</v>
      </c>
      <c r="L43" s="375">
        <v>3300</v>
      </c>
      <c r="M43" s="390">
        <v>1.2</v>
      </c>
      <c r="N43" s="388" t="s">
        <v>26</v>
      </c>
      <c r="O43" s="388" t="s">
        <v>26</v>
      </c>
      <c r="P43" s="379">
        <f t="shared" si="6"/>
        <v>50</v>
      </c>
      <c r="Q43" s="379">
        <f t="shared" si="7"/>
        <v>1</v>
      </c>
      <c r="R43" s="379">
        <f t="shared" si="8"/>
        <v>1</v>
      </c>
      <c r="S43" s="377">
        <f t="shared" si="9"/>
        <v>1</v>
      </c>
      <c r="T43" s="380">
        <f t="shared" si="20"/>
        <v>-1</v>
      </c>
      <c r="U43" s="376">
        <v>0.75</v>
      </c>
      <c r="V43" s="377">
        <v>100</v>
      </c>
      <c r="W43" s="384">
        <f t="shared" si="12"/>
        <v>3002.2720776500773</v>
      </c>
    </row>
    <row r="44" spans="1:23" x14ac:dyDescent="0.2">
      <c r="A44" s="3" t="str">
        <f>'4   Earthwork'!B116</f>
        <v>Grade cover soil</v>
      </c>
      <c r="B44" s="3" t="str">
        <f>'4   Earthwork'!C116</f>
        <v>Decant Pond #4</v>
      </c>
      <c r="C44" s="357" t="str">
        <f>'4   Earthwork'!D116</f>
        <v>-</v>
      </c>
      <c r="D44" s="356" t="str">
        <f>'3   Material'!G116</f>
        <v>D11T CD</v>
      </c>
      <c r="E44" s="372">
        <f>'4   Earthwork'!I116</f>
        <v>3000.8</v>
      </c>
      <c r="F44" s="372"/>
      <c r="G44" s="387" t="s">
        <v>26</v>
      </c>
      <c r="H44" s="372">
        <f>(P44/60)*J44*2300/L44*M44*Q44*R44*S44*U44*K44*W44</f>
        <v>1920.9082620455677</v>
      </c>
      <c r="I44" s="383">
        <f>IF(H44=0,0,E44/H44)</f>
        <v>1.5621776735992901</v>
      </c>
      <c r="J44" s="373">
        <v>1.2</v>
      </c>
      <c r="K44" s="373">
        <f>-0.02*T44+1</f>
        <v>1.02</v>
      </c>
      <c r="L44" s="375">
        <v>3300</v>
      </c>
      <c r="M44" s="390">
        <v>1.2</v>
      </c>
      <c r="N44" s="388" t="s">
        <v>26</v>
      </c>
      <c r="O44" s="388" t="s">
        <v>26</v>
      </c>
      <c r="P44" s="379">
        <f t="shared" si="6"/>
        <v>50</v>
      </c>
      <c r="Q44" s="379">
        <f t="shared" si="7"/>
        <v>1</v>
      </c>
      <c r="R44" s="379">
        <f t="shared" si="8"/>
        <v>1</v>
      </c>
      <c r="S44" s="377">
        <f t="shared" si="9"/>
        <v>1</v>
      </c>
      <c r="T44" s="380">
        <f t="shared" si="20"/>
        <v>-1</v>
      </c>
      <c r="U44" s="376">
        <v>0.75</v>
      </c>
      <c r="V44" s="377">
        <v>100</v>
      </c>
      <c r="W44" s="384">
        <f t="shared" si="12"/>
        <v>3002.2720776500773</v>
      </c>
    </row>
    <row r="45" spans="1:23" x14ac:dyDescent="0.2">
      <c r="A45" s="3" t="str">
        <f>'4   Earthwork'!B117</f>
        <v>Grade cover soil</v>
      </c>
      <c r="B45" s="3" t="str">
        <f>'4   Earthwork'!C117</f>
        <v xml:space="preserve">Upper Creek Containment Pond 1 </v>
      </c>
      <c r="C45" s="357" t="str">
        <f>'4   Earthwork'!D117</f>
        <v>-</v>
      </c>
      <c r="D45" s="356" t="str">
        <f>'3   Material'!G117</f>
        <v>D11T CD</v>
      </c>
      <c r="E45" s="372">
        <f>'4   Earthwork'!I117</f>
        <v>5469.1999999999989</v>
      </c>
      <c r="F45" s="372"/>
      <c r="G45" s="387" t="s">
        <v>26</v>
      </c>
      <c r="H45" s="372">
        <f>(P45/60)*J45*2300/L45*M45*Q45*R45*S45*U45*K45*W45</f>
        <v>1920.9082620455677</v>
      </c>
      <c r="I45" s="383">
        <f>IF(H45=0,0,E45/H45)</f>
        <v>2.847194792205157</v>
      </c>
      <c r="J45" s="373">
        <v>1.2</v>
      </c>
      <c r="K45" s="373">
        <f>-0.02*T45+1</f>
        <v>1.02</v>
      </c>
      <c r="L45" s="375">
        <v>3300</v>
      </c>
      <c r="M45" s="390">
        <v>1.2</v>
      </c>
      <c r="N45" s="388" t="s">
        <v>26</v>
      </c>
      <c r="O45" s="388" t="s">
        <v>26</v>
      </c>
      <c r="P45" s="379">
        <f t="shared" si="6"/>
        <v>50</v>
      </c>
      <c r="Q45" s="379">
        <f t="shared" si="7"/>
        <v>1</v>
      </c>
      <c r="R45" s="379">
        <f t="shared" si="8"/>
        <v>1</v>
      </c>
      <c r="S45" s="377">
        <f t="shared" si="9"/>
        <v>1</v>
      </c>
      <c r="T45" s="380">
        <f t="shared" si="20"/>
        <v>-1</v>
      </c>
      <c r="U45" s="376">
        <v>0.75</v>
      </c>
      <c r="V45" s="377">
        <v>100</v>
      </c>
      <c r="W45" s="384">
        <f t="shared" si="12"/>
        <v>3002.2720776500773</v>
      </c>
    </row>
    <row r="46" spans="1:23" hidden="1" x14ac:dyDescent="0.2">
      <c r="A46" s="91" t="e">
        <f>'4   Earthwork'!#REF!</f>
        <v>#REF!</v>
      </c>
      <c r="B46" s="91" t="e">
        <f>'4   Earthwork'!#REF!</f>
        <v>#REF!</v>
      </c>
      <c r="C46" s="91" t="e">
        <f>'4   Earthwork'!#REF!</f>
        <v>#REF!</v>
      </c>
      <c r="D46" s="4" t="e">
        <f>'3   Material'!#REF!</f>
        <v>#REF!</v>
      </c>
      <c r="E46" s="98" t="s">
        <v>26</v>
      </c>
      <c r="F46" s="91" t="e">
        <f>'4   Earthwork'!#REF!</f>
        <v>#REF!</v>
      </c>
      <c r="G46" s="95">
        <f>(P46/60)*J46*2300/L46*M46*Q46*R46*S46*U46*K46*O46*N46*5280/43560</f>
        <v>1.5837685950413221</v>
      </c>
      <c r="H46" s="95"/>
      <c r="I46" s="95" t="e">
        <f>F46/G46</f>
        <v>#REF!</v>
      </c>
      <c r="J46" s="85">
        <v>1.2</v>
      </c>
      <c r="K46" s="85">
        <f t="shared" si="19"/>
        <v>1</v>
      </c>
      <c r="L46" s="86">
        <v>3300</v>
      </c>
      <c r="M46" s="81">
        <v>1.2</v>
      </c>
      <c r="N46" s="80">
        <v>20.83</v>
      </c>
      <c r="O46" s="80">
        <v>1</v>
      </c>
      <c r="P46" s="88">
        <f t="shared" si="6"/>
        <v>50</v>
      </c>
      <c r="Q46" s="80">
        <f t="shared" si="7"/>
        <v>1</v>
      </c>
      <c r="R46" s="80">
        <f t="shared" si="8"/>
        <v>1</v>
      </c>
      <c r="S46" s="81">
        <f t="shared" si="9"/>
        <v>1</v>
      </c>
      <c r="T46" s="96">
        <v>0</v>
      </c>
      <c r="U46" s="81">
        <v>0.75</v>
      </c>
      <c r="V46" s="99" t="s">
        <v>26</v>
      </c>
      <c r="W46" s="97">
        <f t="shared" si="12"/>
        <v>0</v>
      </c>
    </row>
    <row r="47" spans="1:23" hidden="1" x14ac:dyDescent="0.2">
      <c r="A47" s="91" t="e">
        <f>'4   Earthwork'!#REF!</f>
        <v>#REF!</v>
      </c>
      <c r="B47" s="91" t="e">
        <f>'4   Earthwork'!#REF!</f>
        <v>#REF!</v>
      </c>
      <c r="C47" s="91" t="e">
        <f>'4   Earthwork'!#REF!</f>
        <v>#REF!</v>
      </c>
      <c r="D47" s="4" t="e">
        <f>'3   Material'!#REF!</f>
        <v>#REF!</v>
      </c>
      <c r="E47" s="98" t="s">
        <v>26</v>
      </c>
      <c r="F47" s="91" t="e">
        <f>'4   Earthwork'!#REF!</f>
        <v>#REF!</v>
      </c>
      <c r="G47" s="95">
        <f>(P47/60)*J47*2300/L47*M47*Q47*R47*S47*U47*K47*O47*N47*5280/43560</f>
        <v>1.5837685950413221</v>
      </c>
      <c r="H47" s="95"/>
      <c r="I47" s="95" t="e">
        <f>F47/G47</f>
        <v>#REF!</v>
      </c>
      <c r="J47" s="85">
        <v>1.2</v>
      </c>
      <c r="K47" s="85">
        <f>-0.02*T47+1</f>
        <v>1</v>
      </c>
      <c r="L47" s="86">
        <v>3300</v>
      </c>
      <c r="M47" s="81">
        <v>1.2</v>
      </c>
      <c r="N47" s="80">
        <v>20.83</v>
      </c>
      <c r="O47" s="80">
        <v>1</v>
      </c>
      <c r="P47" s="88">
        <f t="shared" si="6"/>
        <v>50</v>
      </c>
      <c r="Q47" s="80">
        <f t="shared" si="7"/>
        <v>1</v>
      </c>
      <c r="R47" s="80">
        <f t="shared" si="8"/>
        <v>1</v>
      </c>
      <c r="S47" s="81">
        <f t="shared" si="9"/>
        <v>1</v>
      </c>
      <c r="T47" s="96">
        <v>0</v>
      </c>
      <c r="U47" s="81">
        <v>0.75</v>
      </c>
      <c r="V47" s="99" t="s">
        <v>26</v>
      </c>
      <c r="W47" s="97">
        <f t="shared" si="12"/>
        <v>0</v>
      </c>
    </row>
    <row r="48" spans="1:23" hidden="1" x14ac:dyDescent="0.2">
      <c r="A48" s="91" t="e">
        <f>'4   Earthwork'!#REF!</f>
        <v>#REF!</v>
      </c>
      <c r="B48" s="91" t="e">
        <f>'4   Earthwork'!#REF!</f>
        <v>#REF!</v>
      </c>
      <c r="C48" s="91" t="e">
        <f>'4   Earthwork'!#REF!</f>
        <v>#REF!</v>
      </c>
      <c r="D48" s="4" t="e">
        <f>'3   Material'!#REF!</f>
        <v>#REF!</v>
      </c>
      <c r="E48" s="98" t="s">
        <v>26</v>
      </c>
      <c r="F48" s="91" t="e">
        <f>'4   Earthwork'!#REF!</f>
        <v>#REF!</v>
      </c>
      <c r="G48" s="95">
        <f>(P48/60)*J48*2300/L48*M48*Q48*R48*S48*U48*K48*O48*N48*5280/43560</f>
        <v>1.5837685950413221</v>
      </c>
      <c r="H48" s="95"/>
      <c r="I48" s="95" t="e">
        <f>F48/G48</f>
        <v>#REF!</v>
      </c>
      <c r="J48" s="85">
        <v>1.2</v>
      </c>
      <c r="K48" s="85">
        <f>-0.02*T48+1</f>
        <v>1</v>
      </c>
      <c r="L48" s="86">
        <v>3300</v>
      </c>
      <c r="M48" s="81">
        <v>1.2</v>
      </c>
      <c r="N48" s="80">
        <v>20.83</v>
      </c>
      <c r="O48" s="80">
        <v>1</v>
      </c>
      <c r="P48" s="88">
        <f t="shared" si="6"/>
        <v>50</v>
      </c>
      <c r="Q48" s="80">
        <f t="shared" si="7"/>
        <v>1</v>
      </c>
      <c r="R48" s="80">
        <f t="shared" si="8"/>
        <v>1</v>
      </c>
      <c r="S48" s="81">
        <f t="shared" si="9"/>
        <v>1</v>
      </c>
      <c r="T48" s="96">
        <v>0</v>
      </c>
      <c r="U48" s="81">
        <v>0.75</v>
      </c>
      <c r="V48" s="99"/>
      <c r="W48" s="97">
        <f t="shared" si="12"/>
        <v>0</v>
      </c>
    </row>
    <row r="49" spans="1:23" hidden="1" x14ac:dyDescent="0.2">
      <c r="A49" s="91" t="e">
        <f>'4   Earthwork'!#REF!</f>
        <v>#REF!</v>
      </c>
      <c r="B49" s="91" t="e">
        <f>'4   Earthwork'!#REF!</f>
        <v>#REF!</v>
      </c>
      <c r="C49" s="91" t="e">
        <f>'4   Earthwork'!#REF!</f>
        <v>#REF!</v>
      </c>
      <c r="D49" s="4" t="e">
        <f>'3   Material'!#REF!</f>
        <v>#REF!</v>
      </c>
      <c r="E49" s="98" t="s">
        <v>26</v>
      </c>
      <c r="F49" s="91" t="e">
        <f>'4   Earthwork'!#REF!</f>
        <v>#REF!</v>
      </c>
      <c r="G49" s="95">
        <f>(P49/60)*J49*2300/L49*M49*Q49*R49*S49*U49*K49*O49*N49*5280/43560</f>
        <v>1.5837685950413221</v>
      </c>
      <c r="H49" s="95"/>
      <c r="I49" s="95" t="e">
        <f>F49/G49</f>
        <v>#REF!</v>
      </c>
      <c r="J49" s="85">
        <v>1.2</v>
      </c>
      <c r="K49" s="85">
        <f>-0.02*T49+1</f>
        <v>1</v>
      </c>
      <c r="L49" s="86">
        <v>3300</v>
      </c>
      <c r="M49" s="81">
        <v>1.2</v>
      </c>
      <c r="N49" s="80">
        <v>20.83</v>
      </c>
      <c r="O49" s="80">
        <v>1</v>
      </c>
      <c r="P49" s="88">
        <f t="shared" si="6"/>
        <v>50</v>
      </c>
      <c r="Q49" s="80">
        <f t="shared" si="7"/>
        <v>1</v>
      </c>
      <c r="R49" s="80">
        <f t="shared" si="8"/>
        <v>1</v>
      </c>
      <c r="S49" s="81">
        <f t="shared" si="9"/>
        <v>1</v>
      </c>
      <c r="T49" s="96">
        <v>0</v>
      </c>
      <c r="U49" s="81">
        <v>0.75</v>
      </c>
      <c r="V49" s="99"/>
      <c r="W49" s="97">
        <f t="shared" si="12"/>
        <v>0</v>
      </c>
    </row>
    <row r="50" spans="1:23" x14ac:dyDescent="0.2">
      <c r="A50" s="91"/>
      <c r="B50" s="91"/>
      <c r="C50" s="91"/>
      <c r="E50" s="98"/>
      <c r="F50" s="91"/>
      <c r="G50" s="95"/>
      <c r="H50" s="95"/>
      <c r="I50" s="95"/>
      <c r="J50" s="85"/>
      <c r="K50" s="85"/>
      <c r="L50" s="86"/>
      <c r="M50" s="81"/>
      <c r="N50" s="80"/>
      <c r="O50" s="80"/>
      <c r="P50" s="88"/>
      <c r="Q50" s="80"/>
      <c r="R50" s="80"/>
      <c r="S50" s="81"/>
      <c r="T50" s="96"/>
      <c r="U50" s="81"/>
      <c r="V50" s="99"/>
    </row>
    <row r="51" spans="1:23" x14ac:dyDescent="0.2">
      <c r="A51" s="91" t="s">
        <v>103</v>
      </c>
      <c r="B51" s="91"/>
      <c r="C51" s="91"/>
      <c r="E51" s="91"/>
      <c r="F51" s="91"/>
      <c r="G51" s="95"/>
      <c r="H51" s="95"/>
      <c r="I51" s="95"/>
      <c r="J51" s="85"/>
      <c r="K51" s="85"/>
      <c r="L51" s="86"/>
      <c r="M51" s="81"/>
      <c r="N51" s="81"/>
      <c r="O51" s="81"/>
      <c r="P51" s="88"/>
      <c r="Q51" s="80"/>
      <c r="R51" s="80"/>
      <c r="S51" s="81"/>
      <c r="T51" s="81"/>
    </row>
    <row r="52" spans="1:23" x14ac:dyDescent="0.2">
      <c r="A52" s="91"/>
      <c r="B52" s="91"/>
      <c r="C52" s="91"/>
      <c r="E52" s="91"/>
      <c r="F52" s="91"/>
      <c r="G52" s="95"/>
      <c r="H52" s="95"/>
      <c r="I52" s="95"/>
      <c r="J52" s="85"/>
      <c r="K52" s="85"/>
      <c r="L52" s="86"/>
      <c r="M52" s="81"/>
      <c r="N52" s="81"/>
      <c r="O52" s="81"/>
      <c r="P52" s="88"/>
      <c r="Q52" s="80"/>
      <c r="R52" s="80"/>
      <c r="S52" s="81"/>
      <c r="T52" s="81"/>
    </row>
    <row r="53" spans="1:23" x14ac:dyDescent="0.2">
      <c r="A53" s="91"/>
      <c r="B53" s="91"/>
      <c r="C53" s="91"/>
      <c r="E53" s="91"/>
      <c r="F53" s="91"/>
      <c r="G53" s="95"/>
      <c r="H53" s="95"/>
      <c r="I53" s="95"/>
      <c r="J53" s="85"/>
      <c r="K53" s="85"/>
      <c r="L53" s="86"/>
      <c r="M53" s="81"/>
      <c r="N53" s="81"/>
      <c r="O53" s="81"/>
      <c r="P53" s="88"/>
      <c r="Q53" s="80"/>
      <c r="R53" s="80"/>
      <c r="S53" s="81"/>
      <c r="T53" s="81"/>
    </row>
    <row r="54" spans="1:23" x14ac:dyDescent="0.2">
      <c r="A54" s="91"/>
      <c r="B54" s="91"/>
      <c r="C54" s="91"/>
      <c r="E54" s="91"/>
      <c r="F54" s="91"/>
      <c r="G54" s="95"/>
      <c r="H54" s="95"/>
      <c r="I54" s="95"/>
      <c r="J54" s="85"/>
      <c r="K54" s="85"/>
      <c r="L54" s="86"/>
      <c r="M54" s="81"/>
      <c r="N54" s="81"/>
      <c r="O54" s="81"/>
      <c r="P54" s="88"/>
      <c r="Q54" s="80"/>
      <c r="R54" s="80"/>
      <c r="S54" s="81"/>
      <c r="T54" s="81"/>
    </row>
    <row r="55" spans="1:23" x14ac:dyDescent="0.2">
      <c r="A55" s="91"/>
      <c r="B55" s="91"/>
      <c r="C55" s="91"/>
      <c r="E55" s="91"/>
      <c r="F55" s="91"/>
      <c r="G55" s="95"/>
      <c r="H55" s="95"/>
      <c r="I55" s="95"/>
      <c r="J55" s="85"/>
      <c r="K55" s="85"/>
      <c r="L55" s="86"/>
      <c r="M55" s="81"/>
      <c r="N55" s="81"/>
      <c r="O55" s="81"/>
      <c r="P55" s="88"/>
      <c r="Q55" s="80"/>
      <c r="R55" s="80"/>
      <c r="S55" s="81"/>
      <c r="T55" s="81"/>
    </row>
    <row r="56" spans="1:23" x14ac:dyDescent="0.2">
      <c r="A56" s="91"/>
      <c r="B56" s="91"/>
      <c r="C56" s="91"/>
      <c r="E56" s="91"/>
      <c r="F56" s="91"/>
      <c r="G56" s="95"/>
      <c r="H56" s="95"/>
      <c r="I56" s="95"/>
      <c r="J56" s="85"/>
      <c r="K56" s="85"/>
      <c r="L56" s="86"/>
      <c r="M56" s="81"/>
      <c r="N56" s="81"/>
      <c r="O56" s="81"/>
      <c r="P56" s="88"/>
      <c r="Q56" s="80"/>
      <c r="R56" s="80"/>
      <c r="S56" s="81"/>
      <c r="T56" s="81"/>
    </row>
    <row r="57" spans="1:23" x14ac:dyDescent="0.2">
      <c r="J57" s="85"/>
      <c r="K57" s="85"/>
      <c r="L57" s="86"/>
      <c r="M57" s="81"/>
      <c r="N57" s="81"/>
      <c r="O57" s="81"/>
    </row>
    <row r="58" spans="1:23" x14ac:dyDescent="0.2">
      <c r="J58" s="85"/>
      <c r="K58" s="85"/>
      <c r="L58" s="86"/>
      <c r="M58" s="81"/>
      <c r="N58" s="81"/>
      <c r="O58" s="81"/>
    </row>
    <row r="59" spans="1:23" x14ac:dyDescent="0.2">
      <c r="J59" s="85"/>
      <c r="K59" s="85"/>
      <c r="L59" s="86"/>
      <c r="M59" s="81"/>
      <c r="N59" s="81"/>
      <c r="O59" s="81"/>
    </row>
    <row r="60" spans="1:23" x14ac:dyDescent="0.2">
      <c r="J60" s="85"/>
      <c r="K60" s="85"/>
      <c r="L60" s="86"/>
      <c r="M60" s="81"/>
      <c r="N60" s="81"/>
      <c r="O60" s="81"/>
    </row>
    <row r="61" spans="1:23" x14ac:dyDescent="0.2">
      <c r="J61" s="85"/>
      <c r="K61" s="85"/>
      <c r="L61" s="86"/>
      <c r="M61" s="81"/>
      <c r="N61" s="81"/>
      <c r="O61" s="81"/>
    </row>
    <row r="62" spans="1:23" x14ac:dyDescent="0.2">
      <c r="J62" s="85"/>
      <c r="K62" s="85"/>
      <c r="L62" s="86"/>
      <c r="M62" s="81"/>
      <c r="N62" s="81"/>
      <c r="O62" s="81"/>
    </row>
    <row r="63" spans="1:23" x14ac:dyDescent="0.2">
      <c r="J63" s="85"/>
      <c r="K63" s="85"/>
      <c r="L63" s="86"/>
      <c r="M63" s="81"/>
      <c r="N63" s="81"/>
      <c r="O63" s="81"/>
    </row>
    <row r="64" spans="1:23" x14ac:dyDescent="0.2">
      <c r="J64" s="85"/>
      <c r="K64" s="85"/>
      <c r="L64" s="86"/>
      <c r="M64" s="81"/>
      <c r="N64" s="81"/>
      <c r="O64" s="81"/>
    </row>
    <row r="65" spans="10:15" x14ac:dyDescent="0.2">
      <c r="J65" s="85"/>
      <c r="K65" s="85"/>
      <c r="L65" s="86"/>
      <c r="M65" s="81"/>
      <c r="N65" s="81"/>
      <c r="O65" s="81"/>
    </row>
    <row r="66" spans="10:15" x14ac:dyDescent="0.2">
      <c r="J66" s="85"/>
      <c r="K66" s="85"/>
      <c r="L66" s="86"/>
      <c r="M66" s="81"/>
      <c r="N66" s="81"/>
      <c r="O66" s="81"/>
    </row>
    <row r="67" spans="10:15" x14ac:dyDescent="0.2">
      <c r="J67" s="85"/>
      <c r="K67" s="85"/>
      <c r="L67" s="86"/>
      <c r="M67" s="81"/>
      <c r="N67" s="81"/>
      <c r="O67" s="81"/>
    </row>
    <row r="68" spans="10:15" x14ac:dyDescent="0.2">
      <c r="J68" s="85"/>
      <c r="K68" s="85"/>
      <c r="L68" s="86"/>
      <c r="M68" s="81"/>
      <c r="N68" s="81"/>
      <c r="O68" s="81"/>
    </row>
    <row r="69" spans="10:15" x14ac:dyDescent="0.2">
      <c r="J69" s="85"/>
      <c r="K69" s="85"/>
      <c r="L69" s="86"/>
      <c r="M69" s="81"/>
      <c r="N69" s="81"/>
      <c r="O69" s="81"/>
    </row>
    <row r="70" spans="10:15" x14ac:dyDescent="0.2">
      <c r="J70" s="85"/>
      <c r="K70" s="85"/>
      <c r="L70" s="86"/>
      <c r="M70" s="81"/>
      <c r="N70" s="81"/>
      <c r="O70" s="81"/>
    </row>
    <row r="71" spans="10:15" x14ac:dyDescent="0.2">
      <c r="J71" s="85"/>
      <c r="K71" s="85"/>
      <c r="L71" s="86"/>
      <c r="M71" s="81"/>
      <c r="N71" s="81"/>
      <c r="O71" s="81"/>
    </row>
    <row r="72" spans="10:15" x14ac:dyDescent="0.2">
      <c r="J72" s="85"/>
      <c r="K72" s="85"/>
      <c r="L72" s="86"/>
      <c r="M72" s="81"/>
      <c r="N72" s="81"/>
      <c r="O72" s="81"/>
    </row>
    <row r="73" spans="10:15" x14ac:dyDescent="0.2">
      <c r="J73" s="85"/>
      <c r="K73" s="85"/>
      <c r="L73" s="86"/>
      <c r="M73" s="81"/>
      <c r="N73" s="81"/>
      <c r="O73" s="81"/>
    </row>
    <row r="74" spans="10:15" x14ac:dyDescent="0.2">
      <c r="J74" s="85"/>
      <c r="K74" s="85"/>
      <c r="L74" s="86"/>
      <c r="M74" s="81"/>
      <c r="N74" s="81"/>
      <c r="O74" s="81"/>
    </row>
    <row r="75" spans="10:15" x14ac:dyDescent="0.2">
      <c r="J75" s="85"/>
      <c r="K75" s="85"/>
      <c r="L75" s="86"/>
      <c r="M75" s="81"/>
      <c r="N75" s="81"/>
      <c r="O75" s="81"/>
    </row>
    <row r="76" spans="10:15" x14ac:dyDescent="0.2">
      <c r="J76" s="85"/>
      <c r="K76" s="85"/>
      <c r="L76" s="86"/>
      <c r="M76" s="81"/>
      <c r="N76" s="81"/>
      <c r="O76" s="81"/>
    </row>
    <row r="77" spans="10:15" x14ac:dyDescent="0.2">
      <c r="J77" s="85"/>
      <c r="K77" s="85"/>
      <c r="L77" s="86"/>
      <c r="M77" s="81"/>
      <c r="N77" s="81"/>
      <c r="O77" s="81"/>
    </row>
    <row r="78" spans="10:15" x14ac:dyDescent="0.2">
      <c r="J78" s="85"/>
      <c r="K78" s="85"/>
      <c r="L78" s="86"/>
      <c r="M78" s="81"/>
      <c r="N78" s="81"/>
      <c r="O78" s="81"/>
    </row>
    <row r="79" spans="10:15" x14ac:dyDescent="0.2">
      <c r="J79" s="85"/>
      <c r="K79" s="85"/>
      <c r="L79" s="86"/>
      <c r="M79" s="81"/>
      <c r="N79" s="81"/>
      <c r="O79" s="81"/>
    </row>
    <row r="80" spans="10:15" x14ac:dyDescent="0.2">
      <c r="J80" s="85"/>
      <c r="K80" s="85"/>
      <c r="L80" s="86"/>
      <c r="M80" s="81"/>
      <c r="N80" s="81"/>
      <c r="O80" s="81"/>
    </row>
    <row r="81" spans="10:15" x14ac:dyDescent="0.2">
      <c r="J81" s="85"/>
      <c r="K81" s="85"/>
      <c r="L81" s="86"/>
      <c r="M81" s="81"/>
      <c r="N81" s="81"/>
      <c r="O81" s="81"/>
    </row>
    <row r="82" spans="10:15" x14ac:dyDescent="0.2">
      <c r="J82" s="85"/>
      <c r="K82" s="85"/>
      <c r="L82" s="86"/>
      <c r="M82" s="81"/>
      <c r="N82" s="81"/>
      <c r="O82" s="81"/>
    </row>
    <row r="83" spans="10:15" x14ac:dyDescent="0.2">
      <c r="J83" s="85"/>
      <c r="K83" s="85"/>
      <c r="L83" s="86"/>
      <c r="M83" s="81"/>
      <c r="N83" s="81"/>
      <c r="O83" s="81"/>
    </row>
    <row r="84" spans="10:15" x14ac:dyDescent="0.2">
      <c r="J84" s="85"/>
      <c r="K84" s="85"/>
      <c r="L84" s="86"/>
      <c r="M84" s="81"/>
      <c r="N84" s="81"/>
      <c r="O84" s="81"/>
    </row>
    <row r="85" spans="10:15" x14ac:dyDescent="0.2">
      <c r="J85" s="85"/>
      <c r="K85" s="85"/>
      <c r="L85" s="86"/>
      <c r="M85" s="81"/>
      <c r="N85" s="81"/>
      <c r="O85" s="81"/>
    </row>
    <row r="86" spans="10:15" x14ac:dyDescent="0.2">
      <c r="J86" s="85"/>
      <c r="K86" s="85"/>
      <c r="L86" s="86"/>
      <c r="M86" s="81"/>
      <c r="N86" s="81"/>
      <c r="O86" s="81"/>
    </row>
  </sheetData>
  <printOptions horizontalCentered="1"/>
  <pageMargins left="0.25" right="0.31" top="0.49" bottom="1" header="0.5" footer="0.7"/>
  <pageSetup scale="45" pageOrder="overThenDown" orientation="landscape" r:id="rId1"/>
  <headerFooter alignWithMargins="0">
    <oddFooter>&amp;C&amp;F
&amp;   Stockpile Sheet 6 
&amp;
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Q19"/>
  <sheetViews>
    <sheetView defaultGridColor="0" view="pageBreakPreview" colorId="22" zoomScale="75" zoomScaleNormal="75" zoomScaleSheetLayoutView="75" workbookViewId="0">
      <selection activeCell="A16" sqref="A16"/>
    </sheetView>
  </sheetViews>
  <sheetFormatPr defaultColWidth="9.77734375" defaultRowHeight="15" x14ac:dyDescent="0.2"/>
  <cols>
    <col min="1" max="1" width="18.88671875" style="4" customWidth="1"/>
    <col min="2" max="2" width="29.33203125" style="4" customWidth="1"/>
    <col min="3" max="3" width="11.109375" style="4" customWidth="1"/>
    <col min="4" max="4" width="13.77734375" style="4" customWidth="1"/>
    <col min="5" max="5" width="6.77734375" style="4" customWidth="1"/>
    <col min="6" max="6" width="7.21875" style="4" bestFit="1" customWidth="1"/>
    <col min="7" max="7" width="10" style="4" bestFit="1" customWidth="1"/>
    <col min="8" max="8" width="8.6640625" style="4" customWidth="1"/>
    <col min="9" max="9" width="7.88671875" style="4" customWidth="1"/>
    <col min="10" max="10" width="10.6640625" style="4" customWidth="1"/>
    <col min="11" max="11" width="7.5546875" style="4" customWidth="1"/>
    <col min="12" max="12" width="8.33203125" style="4" customWidth="1"/>
    <col min="13" max="13" width="9.77734375" style="4"/>
    <col min="14" max="14" width="7.21875" style="4" customWidth="1"/>
    <col min="15" max="15" width="9.77734375" style="4"/>
    <col min="16" max="16" width="11.33203125" style="4" customWidth="1"/>
    <col min="17" max="17" width="9.77734375" style="100"/>
    <col min="18" max="16384" width="9.77734375" style="4"/>
  </cols>
  <sheetData>
    <row r="1" spans="1:17" x14ac:dyDescent="0.2">
      <c r="A1" s="1"/>
      <c r="B1" s="14"/>
      <c r="C1" s="14"/>
      <c r="D1" s="14"/>
      <c r="E1" s="14"/>
      <c r="F1" s="14"/>
      <c r="I1" s="3"/>
      <c r="J1" s="3"/>
      <c r="K1" s="3"/>
      <c r="L1" s="3"/>
      <c r="M1" s="3"/>
      <c r="N1" s="3"/>
      <c r="Q1" s="2" t="str">
        <f>'1 General'!C1</f>
        <v>Cobre</v>
      </c>
    </row>
    <row r="2" spans="1:17" ht="18" x14ac:dyDescent="0.25">
      <c r="A2" s="437"/>
      <c r="B2" s="14"/>
      <c r="C2" s="14"/>
      <c r="D2" s="14"/>
      <c r="E2" s="14"/>
      <c r="F2" s="14"/>
      <c r="I2" s="3"/>
      <c r="J2" s="3"/>
      <c r="K2" s="3"/>
      <c r="L2" s="3"/>
      <c r="M2" s="3"/>
      <c r="N2" s="3"/>
      <c r="Q2" s="2" t="s">
        <v>104</v>
      </c>
    </row>
    <row r="3" spans="1:17" x14ac:dyDescent="0.2">
      <c r="A3" s="78" t="s">
        <v>105</v>
      </c>
      <c r="B3" s="14"/>
      <c r="C3" s="14"/>
      <c r="D3" s="14"/>
      <c r="E3" s="14"/>
      <c r="F3" s="14"/>
      <c r="I3" s="92"/>
      <c r="J3" s="3"/>
      <c r="K3" s="3"/>
      <c r="L3" s="3"/>
      <c r="M3" s="3"/>
      <c r="N3" s="3"/>
      <c r="Q3" s="79">
        <f>'1 General'!$C$3</f>
        <v>41978</v>
      </c>
    </row>
    <row r="4" spans="1:17" x14ac:dyDescent="0.2">
      <c r="A4" s="78" t="s">
        <v>106</v>
      </c>
      <c r="B4" s="14"/>
      <c r="C4" s="14"/>
      <c r="D4" s="14"/>
      <c r="E4" s="14"/>
      <c r="F4" s="14"/>
      <c r="G4" s="101"/>
      <c r="H4" s="3"/>
      <c r="J4" s="3"/>
      <c r="K4" s="3"/>
      <c r="L4" s="3"/>
      <c r="M4" s="3"/>
      <c r="N4" s="3"/>
    </row>
    <row r="5" spans="1:17" ht="26.25" x14ac:dyDescent="0.4">
      <c r="A5" s="31"/>
      <c r="B5" s="14"/>
      <c r="C5" s="14"/>
      <c r="D5" s="14"/>
      <c r="E5" s="14"/>
      <c r="F5" s="14"/>
      <c r="G5" s="101"/>
      <c r="H5" s="3"/>
      <c r="I5" s="3"/>
      <c r="J5" s="3"/>
      <c r="K5" s="3"/>
      <c r="L5" s="3"/>
      <c r="M5" s="3"/>
      <c r="N5" s="3"/>
    </row>
    <row r="6" spans="1:17" ht="20.25" x14ac:dyDescent="0.3">
      <c r="A6" s="102" t="s">
        <v>107</v>
      </c>
      <c r="B6" s="14"/>
      <c r="C6" s="14"/>
      <c r="D6" s="14"/>
      <c r="E6" s="14"/>
      <c r="F6" s="14"/>
      <c r="G6" s="101"/>
      <c r="H6" s="3"/>
      <c r="I6" s="3"/>
      <c r="J6" s="3"/>
      <c r="K6" s="3"/>
      <c r="L6" s="3"/>
      <c r="M6" s="3"/>
      <c r="N6" s="3"/>
    </row>
    <row r="7" spans="1:17" x14ac:dyDescent="0.2">
      <c r="A7" s="354"/>
      <c r="B7" s="356"/>
      <c r="C7" s="356"/>
      <c r="D7" s="356"/>
      <c r="E7" s="356"/>
      <c r="F7" s="356"/>
      <c r="G7" s="356"/>
      <c r="H7" s="357"/>
      <c r="I7" s="434" t="s">
        <v>424</v>
      </c>
      <c r="J7" s="357"/>
      <c r="K7" s="357"/>
      <c r="L7" s="357"/>
      <c r="M7" s="357"/>
      <c r="N7" s="357"/>
      <c r="O7" s="354"/>
      <c r="P7" s="354"/>
      <c r="Q7" s="391"/>
    </row>
    <row r="8" spans="1:17" x14ac:dyDescent="0.2">
      <c r="A8" s="357"/>
      <c r="B8" s="357"/>
      <c r="C8" s="357"/>
      <c r="D8" s="357"/>
      <c r="E8" s="357"/>
      <c r="F8" s="357"/>
      <c r="G8" s="357"/>
      <c r="H8" s="357" t="s">
        <v>68</v>
      </c>
      <c r="I8" s="357" t="s">
        <v>108</v>
      </c>
      <c r="J8" s="357" t="s">
        <v>109</v>
      </c>
      <c r="K8" s="357" t="s">
        <v>110</v>
      </c>
      <c r="L8" s="357" t="s">
        <v>111</v>
      </c>
      <c r="M8" s="357" t="s">
        <v>112</v>
      </c>
      <c r="N8" s="357" t="s">
        <v>73</v>
      </c>
      <c r="O8" s="357" t="s">
        <v>99</v>
      </c>
      <c r="P8" s="357" t="s">
        <v>113</v>
      </c>
      <c r="Q8" s="390" t="s">
        <v>114</v>
      </c>
    </row>
    <row r="9" spans="1:17" x14ac:dyDescent="0.2">
      <c r="A9" s="357" t="s">
        <v>75</v>
      </c>
      <c r="B9" s="357" t="s">
        <v>20</v>
      </c>
      <c r="C9" s="357" t="s">
        <v>21</v>
      </c>
      <c r="D9" s="357" t="s">
        <v>23</v>
      </c>
      <c r="E9" s="357" t="s">
        <v>51</v>
      </c>
      <c r="F9" s="357" t="s">
        <v>53</v>
      </c>
      <c r="G9" s="357" t="s">
        <v>76</v>
      </c>
      <c r="H9" s="357" t="s">
        <v>77</v>
      </c>
      <c r="I9" s="357" t="s">
        <v>115</v>
      </c>
      <c r="J9" s="357" t="s">
        <v>116</v>
      </c>
      <c r="K9" s="357" t="s">
        <v>117</v>
      </c>
      <c r="L9" s="357" t="s">
        <v>118</v>
      </c>
      <c r="M9" s="357" t="s">
        <v>77</v>
      </c>
      <c r="N9" s="357" t="s">
        <v>83</v>
      </c>
      <c r="O9" s="354"/>
      <c r="Q9" s="390" t="s">
        <v>119</v>
      </c>
    </row>
    <row r="10" spans="1:17" ht="18.75" x14ac:dyDescent="0.2">
      <c r="A10" s="392"/>
      <c r="B10" s="357"/>
      <c r="C10" s="357"/>
      <c r="D10" s="357"/>
      <c r="E10" s="357" t="s">
        <v>100</v>
      </c>
      <c r="F10" s="357" t="s">
        <v>87</v>
      </c>
      <c r="G10" s="357" t="s">
        <v>120</v>
      </c>
      <c r="H10" s="357" t="s">
        <v>89</v>
      </c>
      <c r="I10" s="357" t="s">
        <v>91</v>
      </c>
      <c r="J10" s="357" t="s">
        <v>56</v>
      </c>
      <c r="K10" s="357" t="s">
        <v>56</v>
      </c>
      <c r="L10" s="357"/>
      <c r="M10" s="357" t="s">
        <v>121</v>
      </c>
      <c r="N10" s="357" t="s">
        <v>92</v>
      </c>
      <c r="O10" s="357" t="s">
        <v>122</v>
      </c>
      <c r="P10" s="357" t="s">
        <v>412</v>
      </c>
      <c r="Q10" s="390" t="s">
        <v>91</v>
      </c>
    </row>
    <row r="11" spans="1:17" x14ac:dyDescent="0.2">
      <c r="A11" s="3" t="str">
        <f>'4   Earthwork'!B77</f>
        <v>Rip liners</v>
      </c>
      <c r="B11" s="3" t="str">
        <f>'4   Earthwork'!C77</f>
        <v>East WRF Containment</v>
      </c>
      <c r="C11" s="357" t="str">
        <f>'4   Earthwork'!D77</f>
        <v>-</v>
      </c>
      <c r="D11" s="356" t="str">
        <f>'3   Material'!G77</f>
        <v>D11T w/ ripper</v>
      </c>
      <c r="E11" s="382">
        <f>'4   Earthwork'!E77</f>
        <v>0.5</v>
      </c>
      <c r="F11" s="372">
        <f>E11*43560*J11/12/27</f>
        <v>1210</v>
      </c>
      <c r="G11" s="393">
        <f t="shared" ref="G11:G16" si="0">N11/(((I11/(5280*O11/60))+M11)*P11)</f>
        <v>1.7049160884777326</v>
      </c>
      <c r="H11" s="383">
        <f>E11/G11</f>
        <v>0.29326956521739128</v>
      </c>
      <c r="I11" s="394">
        <f>'3   Material'!E77</f>
        <v>1000</v>
      </c>
      <c r="J11" s="394">
        <v>18</v>
      </c>
      <c r="K11" s="375">
        <v>69</v>
      </c>
      <c r="L11" s="362">
        <v>3</v>
      </c>
      <c r="M11" s="395">
        <v>0.25</v>
      </c>
      <c r="N11" s="379">
        <v>50</v>
      </c>
      <c r="O11" s="354">
        <v>1</v>
      </c>
      <c r="P11" s="396">
        <f>43560/(I11*Q11)</f>
        <v>2.5252173913043476</v>
      </c>
      <c r="Q11" s="391">
        <f t="shared" ref="Q11:Q16" si="1">K11*L11/12</f>
        <v>17.25</v>
      </c>
    </row>
    <row r="12" spans="1:17" x14ac:dyDescent="0.2">
      <c r="A12" s="3" t="str">
        <f>'4   Earthwork'!B78</f>
        <v>Rip liners</v>
      </c>
      <c r="B12" s="3" t="str">
        <f>'4   Earthwork'!C78</f>
        <v>Decant Pond #4</v>
      </c>
      <c r="C12" s="357" t="str">
        <f>'4   Earthwork'!D78</f>
        <v>-</v>
      </c>
      <c r="D12" s="356" t="str">
        <f>'3   Material'!G78</f>
        <v>D11T w/ ripper</v>
      </c>
      <c r="E12" s="382">
        <f>'4   Earthwork'!E78</f>
        <v>0.62</v>
      </c>
      <c r="F12" s="372">
        <f>E12*43560*J12/12/27</f>
        <v>1500.4</v>
      </c>
      <c r="G12" s="393">
        <f t="shared" si="0"/>
        <v>1.7049160884777326</v>
      </c>
      <c r="H12" s="383">
        <f>E12/G12</f>
        <v>0.36365426086956515</v>
      </c>
      <c r="I12" s="394">
        <f>'3   Material'!E78</f>
        <v>1000</v>
      </c>
      <c r="J12" s="394">
        <f>$J$11</f>
        <v>18</v>
      </c>
      <c r="K12" s="375">
        <f>$K$11</f>
        <v>69</v>
      </c>
      <c r="L12" s="362">
        <f>$L$11</f>
        <v>3</v>
      </c>
      <c r="M12" s="395">
        <f>$M$11</f>
        <v>0.25</v>
      </c>
      <c r="N12" s="379">
        <f>$N$11</f>
        <v>50</v>
      </c>
      <c r="O12" s="354">
        <f>O11</f>
        <v>1</v>
      </c>
      <c r="P12" s="396">
        <f>43560/(I12*Q12)</f>
        <v>2.5252173913043476</v>
      </c>
      <c r="Q12" s="391">
        <f t="shared" si="1"/>
        <v>17.25</v>
      </c>
    </row>
    <row r="13" spans="1:17" x14ac:dyDescent="0.2">
      <c r="A13" s="3" t="str">
        <f>'4   Earthwork'!B79</f>
        <v>Rip liners</v>
      </c>
      <c r="B13" s="3" t="str">
        <f>'4   Earthwork'!C79</f>
        <v xml:space="preserve">Blackman's Seep (Pond #2) </v>
      </c>
      <c r="C13" s="357" t="str">
        <f>'4   Earthwork'!D79</f>
        <v>-</v>
      </c>
      <c r="D13" s="356" t="str">
        <f>'3   Material'!G79</f>
        <v>D11T w/ ripper</v>
      </c>
      <c r="E13" s="382">
        <f>'4   Earthwork'!E79</f>
        <v>0.01</v>
      </c>
      <c r="F13" s="372">
        <f t="shared" ref="F13:F15" si="2">E13*43560*J13/12/27</f>
        <v>24.2</v>
      </c>
      <c r="G13" s="393">
        <f t="shared" si="0"/>
        <v>1.7049160884777326</v>
      </c>
      <c r="H13" s="382">
        <f t="shared" ref="H13:H15" si="3">E13/G13</f>
        <v>5.8653913043478249E-3</v>
      </c>
      <c r="I13" s="394">
        <f>'3   Material'!E79</f>
        <v>1000</v>
      </c>
      <c r="J13" s="394">
        <f t="shared" ref="J13:J17" si="4">$J$11</f>
        <v>18</v>
      </c>
      <c r="K13" s="375">
        <f t="shared" ref="K13:K17" si="5">$K$11</f>
        <v>69</v>
      </c>
      <c r="L13" s="362">
        <f t="shared" ref="L13:L17" si="6">$L$11</f>
        <v>3</v>
      </c>
      <c r="M13" s="395">
        <f t="shared" ref="M13:M17" si="7">$M$11</f>
        <v>0.25</v>
      </c>
      <c r="N13" s="379">
        <f t="shared" ref="N13:N17" si="8">$N$11</f>
        <v>50</v>
      </c>
      <c r="O13" s="354">
        <v>1</v>
      </c>
      <c r="P13" s="396">
        <f t="shared" ref="P13:P15" si="9">43560/(I13*Q13)</f>
        <v>2.5252173913043476</v>
      </c>
      <c r="Q13" s="391">
        <f t="shared" si="1"/>
        <v>17.25</v>
      </c>
    </row>
    <row r="14" spans="1:17" x14ac:dyDescent="0.2">
      <c r="A14" s="3" t="str">
        <f>'4   Earthwork'!B80</f>
        <v>Rip liners</v>
      </c>
      <c r="B14" s="3" t="str">
        <f>'4   Earthwork'!C80</f>
        <v>Grape Gulch Pond #3</v>
      </c>
      <c r="C14" s="357" t="str">
        <f>'4   Earthwork'!D80</f>
        <v>-</v>
      </c>
      <c r="D14" s="356" t="str">
        <f>'3   Material'!G80</f>
        <v>D11T w/ ripper</v>
      </c>
      <c r="E14" s="382">
        <f>'4   Earthwork'!E80</f>
        <v>0.38</v>
      </c>
      <c r="F14" s="372">
        <f t="shared" si="2"/>
        <v>919.59999999999991</v>
      </c>
      <c r="G14" s="393">
        <f t="shared" si="0"/>
        <v>1.7049160884777326</v>
      </c>
      <c r="H14" s="383">
        <f t="shared" si="3"/>
        <v>0.22288486956521736</v>
      </c>
      <c r="I14" s="394">
        <f>'3   Material'!E80</f>
        <v>1000</v>
      </c>
      <c r="J14" s="394">
        <f t="shared" si="4"/>
        <v>18</v>
      </c>
      <c r="K14" s="375">
        <f t="shared" si="5"/>
        <v>69</v>
      </c>
      <c r="L14" s="362">
        <f t="shared" si="6"/>
        <v>3</v>
      </c>
      <c r="M14" s="395">
        <f t="shared" si="7"/>
        <v>0.25</v>
      </c>
      <c r="N14" s="379">
        <f t="shared" si="8"/>
        <v>50</v>
      </c>
      <c r="O14" s="354">
        <f>O13</f>
        <v>1</v>
      </c>
      <c r="P14" s="396">
        <f t="shared" si="9"/>
        <v>2.5252173913043476</v>
      </c>
      <c r="Q14" s="391">
        <f t="shared" si="1"/>
        <v>17.25</v>
      </c>
    </row>
    <row r="15" spans="1:17" x14ac:dyDescent="0.2">
      <c r="A15" s="3" t="str">
        <f>'4   Earthwork'!B81</f>
        <v>Rip liners</v>
      </c>
      <c r="B15" s="3" t="str">
        <f>'4   Earthwork'!C81</f>
        <v>Magnetite Seepage Pond</v>
      </c>
      <c r="C15" s="357" t="str">
        <f>'4   Earthwork'!D81</f>
        <v>-</v>
      </c>
      <c r="D15" s="356" t="str">
        <f>'3   Material'!G81</f>
        <v>D11T w/ ripper</v>
      </c>
      <c r="E15" s="382">
        <f>'4   Earthwork'!E81</f>
        <v>0.2</v>
      </c>
      <c r="F15" s="372">
        <f t="shared" si="2"/>
        <v>484</v>
      </c>
      <c r="G15" s="393">
        <f t="shared" si="0"/>
        <v>1.7049160884777326</v>
      </c>
      <c r="H15" s="383">
        <f t="shared" si="3"/>
        <v>0.11730782608695652</v>
      </c>
      <c r="I15" s="394">
        <f>'3   Material'!E81</f>
        <v>1000</v>
      </c>
      <c r="J15" s="394">
        <f t="shared" si="4"/>
        <v>18</v>
      </c>
      <c r="K15" s="375">
        <f t="shared" si="5"/>
        <v>69</v>
      </c>
      <c r="L15" s="362">
        <f t="shared" si="6"/>
        <v>3</v>
      </c>
      <c r="M15" s="395">
        <f t="shared" si="7"/>
        <v>0.25</v>
      </c>
      <c r="N15" s="379">
        <f t="shared" si="8"/>
        <v>50</v>
      </c>
      <c r="O15" s="354">
        <f>O14</f>
        <v>1</v>
      </c>
      <c r="P15" s="396">
        <f t="shared" si="9"/>
        <v>2.5252173913043476</v>
      </c>
      <c r="Q15" s="391">
        <f t="shared" si="1"/>
        <v>17.25</v>
      </c>
    </row>
    <row r="16" spans="1:17" x14ac:dyDescent="0.2">
      <c r="A16" s="369" t="str">
        <f>'4   Earthwork'!B82</f>
        <v>Rip surface</v>
      </c>
      <c r="B16" s="397" t="str">
        <f>'4   Earthwork'!C82</f>
        <v>Reclaim Pond Outlet Channel</v>
      </c>
      <c r="C16" s="357" t="str">
        <f>'4   Earthwork'!D82</f>
        <v>-</v>
      </c>
      <c r="D16" s="356" t="str">
        <f>'3   Material'!G82</f>
        <v>D11T w/ ripper</v>
      </c>
      <c r="E16" s="382">
        <f>'4   Earthwork'!E82</f>
        <v>1.7</v>
      </c>
      <c r="F16" s="372">
        <f>E16*43560*J16/12/27</f>
        <v>4114</v>
      </c>
      <c r="G16" s="393">
        <f t="shared" si="0"/>
        <v>1.7049160884777326</v>
      </c>
      <c r="H16" s="383">
        <f>E16/G16</f>
        <v>0.99711652173913023</v>
      </c>
      <c r="I16" s="394">
        <f>'3   Material'!E82</f>
        <v>1000</v>
      </c>
      <c r="J16" s="394">
        <f t="shared" si="4"/>
        <v>18</v>
      </c>
      <c r="K16" s="375">
        <f t="shared" si="5"/>
        <v>69</v>
      </c>
      <c r="L16" s="362">
        <f t="shared" si="6"/>
        <v>3</v>
      </c>
      <c r="M16" s="395">
        <f t="shared" si="7"/>
        <v>0.25</v>
      </c>
      <c r="N16" s="379">
        <f t="shared" si="8"/>
        <v>50</v>
      </c>
      <c r="O16" s="354">
        <f>O15</f>
        <v>1</v>
      </c>
      <c r="P16" s="396">
        <f>43560/(I16*Q16)</f>
        <v>2.5252173913043476</v>
      </c>
      <c r="Q16" s="391">
        <f t="shared" si="1"/>
        <v>17.25</v>
      </c>
    </row>
    <row r="17" spans="1:17" x14ac:dyDescent="0.2">
      <c r="A17" s="3" t="str">
        <f>'4   Earthwork'!B83</f>
        <v>Rip liners</v>
      </c>
      <c r="B17" s="3" t="str">
        <f>'4   Earthwork'!C83</f>
        <v xml:space="preserve">Upper Creek Containment Pond 1 </v>
      </c>
      <c r="C17" s="357" t="str">
        <f>'4   Earthwork'!D83</f>
        <v>-</v>
      </c>
      <c r="D17" s="356" t="str">
        <f>'3   Material'!G83</f>
        <v>D11T w/ ripper</v>
      </c>
      <c r="E17" s="382">
        <f>'4   Earthwork'!E83</f>
        <v>1.1299999999999999</v>
      </c>
      <c r="F17" s="372">
        <f>E17*43560*J17/12/27</f>
        <v>2734.6</v>
      </c>
      <c r="G17" s="393">
        <f>N17/(((I17/(5280*O17/60))+M17)*P17)</f>
        <v>1.7049160884777326</v>
      </c>
      <c r="H17" s="383">
        <f>E17/G17</f>
        <v>0.66278921739130414</v>
      </c>
      <c r="I17" s="394">
        <f>'3   Material'!E83</f>
        <v>1000</v>
      </c>
      <c r="J17" s="394">
        <f t="shared" si="4"/>
        <v>18</v>
      </c>
      <c r="K17" s="375">
        <f t="shared" si="5"/>
        <v>69</v>
      </c>
      <c r="L17" s="362">
        <f t="shared" si="6"/>
        <v>3</v>
      </c>
      <c r="M17" s="395">
        <f t="shared" si="7"/>
        <v>0.25</v>
      </c>
      <c r="N17" s="379">
        <f t="shared" si="8"/>
        <v>50</v>
      </c>
      <c r="O17" s="354">
        <f>O16</f>
        <v>1</v>
      </c>
      <c r="P17" s="396">
        <f>43560/(I17*Q17)</f>
        <v>2.5252173913043476</v>
      </c>
      <c r="Q17" s="391">
        <f>K17*L17/12</f>
        <v>17.25</v>
      </c>
    </row>
    <row r="18" spans="1:17" x14ac:dyDescent="0.2">
      <c r="A18" s="3"/>
      <c r="B18" s="3"/>
      <c r="C18" s="3"/>
      <c r="D18" s="14"/>
      <c r="E18" s="84"/>
      <c r="F18" s="84"/>
      <c r="G18" s="103"/>
      <c r="H18" s="84"/>
      <c r="I18" s="104"/>
      <c r="J18" s="109"/>
      <c r="K18" s="105"/>
      <c r="L18" s="106"/>
      <c r="M18" s="107"/>
      <c r="N18" s="88"/>
    </row>
    <row r="19" spans="1:17" x14ac:dyDescent="0.2">
      <c r="A19" s="3"/>
      <c r="B19" s="3"/>
      <c r="C19" s="3"/>
      <c r="D19" s="14"/>
      <c r="E19" s="84"/>
      <c r="F19" s="84"/>
      <c r="G19" s="103"/>
      <c r="H19" s="84"/>
      <c r="I19" s="104"/>
      <c r="J19" s="109"/>
      <c r="K19" s="105"/>
      <c r="L19" s="106"/>
      <c r="M19" s="107"/>
      <c r="N19" s="88"/>
    </row>
  </sheetData>
  <printOptions horizontalCentered="1"/>
  <pageMargins left="0.25" right="0.25" top="0.75" bottom="0.75" header="0.3" footer="0.3"/>
  <pageSetup scale="45" orientation="landscape" r:id="rId1"/>
  <headerFooter alignWithMargins="0">
    <oddFooter>&amp;C&amp;F
&amp;   Stockpile Sheet 7 
&amp;
Page &amp;P of &amp;N</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Button 3">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2" r:id="rId5" name="Button 4">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3" r:id="rId6" name="Button 5">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4" r:id="rId7" name="Button 6">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5" r:id="rId8" name="Button 7">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6" r:id="rId9" name="Button 8">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7" r:id="rId10" name="Button 9">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7178" r:id="rId11" name="Button 10">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Q5"/>
  <sheetViews>
    <sheetView defaultGridColor="0" view="pageBreakPreview" colorId="22" zoomScale="75" zoomScaleNormal="75" zoomScaleSheetLayoutView="75" workbookViewId="0">
      <selection activeCell="A16" sqref="A16"/>
    </sheetView>
  </sheetViews>
  <sheetFormatPr defaultColWidth="9.77734375" defaultRowHeight="15" x14ac:dyDescent="0.2"/>
  <cols>
    <col min="1" max="1" width="18.5546875" style="4" customWidth="1"/>
    <col min="2" max="2" width="10.88671875" style="4" customWidth="1"/>
    <col min="3" max="3" width="10.33203125" style="4" customWidth="1"/>
    <col min="4" max="4" width="8.6640625" style="4" customWidth="1"/>
    <col min="5" max="5" width="7.44140625" style="4" customWidth="1"/>
    <col min="6" max="6" width="10.88671875" style="4" customWidth="1"/>
    <col min="7" max="7" width="9.77734375" style="4" customWidth="1"/>
    <col min="8" max="8" width="8.21875" style="4" customWidth="1"/>
    <col min="9" max="9" width="6.88671875" style="4" customWidth="1"/>
    <col min="10" max="10" width="10.77734375" style="4" customWidth="1"/>
    <col min="11" max="11" width="6.33203125" style="4" customWidth="1"/>
    <col min="12" max="12" width="10" style="4" customWidth="1"/>
    <col min="13" max="13" width="7.21875" style="4" customWidth="1"/>
    <col min="14" max="14" width="7.109375" style="4" customWidth="1"/>
    <col min="15" max="16" width="6.109375" style="4" customWidth="1"/>
    <col min="17" max="17" width="7.5546875" style="4" customWidth="1"/>
    <col min="18" max="16384" width="9.77734375" style="4"/>
  </cols>
  <sheetData>
    <row r="1" spans="1:17" x14ac:dyDescent="0.2">
      <c r="A1" s="1"/>
      <c r="B1" s="14"/>
      <c r="C1" s="14"/>
      <c r="D1" s="14"/>
      <c r="E1" s="14"/>
      <c r="F1" s="3"/>
      <c r="H1" s="3"/>
      <c r="I1" s="3"/>
      <c r="J1" s="2" t="str">
        <f>'1 General'!C1</f>
        <v>Cobre</v>
      </c>
      <c r="K1" s="3"/>
      <c r="L1" s="3"/>
      <c r="M1" s="3"/>
      <c r="N1" s="3"/>
      <c r="O1" s="3"/>
      <c r="P1" s="3"/>
      <c r="Q1" s="3"/>
    </row>
    <row r="2" spans="1:17" x14ac:dyDescent="0.2">
      <c r="A2" s="1"/>
      <c r="B2" s="14"/>
      <c r="C2" s="14"/>
      <c r="D2" s="14"/>
      <c r="E2" s="14"/>
      <c r="F2" s="3"/>
      <c r="H2" s="3"/>
      <c r="I2" s="3"/>
      <c r="J2" s="2" t="s">
        <v>123</v>
      </c>
      <c r="K2" s="3"/>
      <c r="L2" s="3"/>
      <c r="M2" s="3"/>
      <c r="N2" s="3"/>
      <c r="O2" s="3"/>
      <c r="P2" s="3"/>
      <c r="Q2" s="3"/>
    </row>
    <row r="3" spans="1:17" x14ac:dyDescent="0.2">
      <c r="A3" s="78" t="s">
        <v>124</v>
      </c>
      <c r="B3" s="14"/>
      <c r="C3" s="14"/>
      <c r="D3" s="14"/>
      <c r="E3" s="14"/>
      <c r="F3" s="3"/>
      <c r="H3" s="3"/>
      <c r="I3" s="3"/>
      <c r="J3" s="79">
        <f>'1 General'!C3</f>
        <v>41978</v>
      </c>
      <c r="K3" s="3"/>
      <c r="L3" s="3"/>
      <c r="M3" s="3"/>
      <c r="N3" s="3"/>
      <c r="O3" s="3"/>
      <c r="P3" s="3"/>
      <c r="Q3" s="3"/>
    </row>
    <row r="5" spans="1:17" ht="26.25" x14ac:dyDescent="0.4">
      <c r="A5" s="348" t="s">
        <v>14</v>
      </c>
      <c r="B5" s="80"/>
      <c r="C5" s="14"/>
      <c r="D5" s="3"/>
      <c r="E5" s="81"/>
      <c r="F5" s="3"/>
      <c r="G5" s="3"/>
      <c r="I5" s="3"/>
      <c r="J5" s="3"/>
      <c r="K5" s="3"/>
      <c r="L5" s="3"/>
      <c r="M5" s="3"/>
      <c r="N5" s="3"/>
      <c r="O5" s="3"/>
      <c r="P5" s="3"/>
      <c r="Q5" s="3"/>
    </row>
  </sheetData>
  <printOptions horizontalCentered="1"/>
  <pageMargins left="0.75" right="0.75" top="1" bottom="1" header="0.5" footer="0.5"/>
  <pageSetup scale="84" orientation="landscape" r:id="rId1"/>
  <headerFooter alignWithMargins="0">
    <oddFooter>&amp;C&amp;F
&amp;   Stockpile Sheet 8 
&amp;
Page &amp;P of &amp;N</oddFooter>
  </headerFooter>
  <colBreaks count="1" manualBreakCount="1">
    <brk id="7" max="1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Button 2">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195" r:id="rId5" name="Button 3">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196" r:id="rId6" name="Button 4">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197" r:id="rId7" name="Button 5">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198" r:id="rId8" name="Button 6">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199" r:id="rId9" name="Button 7">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00" r:id="rId10" name="Button 8">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01" r:id="rId11" name="Button 9">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02" r:id="rId12" name="Button 10">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X50"/>
  <sheetViews>
    <sheetView defaultGridColor="0" view="pageBreakPreview" colorId="22" zoomScale="55" zoomScaleNormal="75" zoomScaleSheetLayoutView="55" workbookViewId="0">
      <selection activeCell="A16" sqref="A16"/>
    </sheetView>
  </sheetViews>
  <sheetFormatPr defaultColWidth="9.77734375" defaultRowHeight="15" x14ac:dyDescent="0.2"/>
  <cols>
    <col min="1" max="1" width="15.33203125" style="4" customWidth="1"/>
    <col min="2" max="2" width="55.44140625" style="4" customWidth="1"/>
    <col min="3" max="3" width="30.21875" style="4" bestFit="1" customWidth="1"/>
    <col min="4" max="4" width="9.5546875" style="4" customWidth="1"/>
    <col min="5" max="5" width="10.5546875" style="4" customWidth="1"/>
    <col min="6" max="6" width="10.88671875" style="4" customWidth="1"/>
    <col min="7" max="7" width="8.44140625" style="4" customWidth="1"/>
    <col min="8" max="8" width="10.6640625" style="4" customWidth="1"/>
    <col min="9" max="9" width="9.6640625" style="4" customWidth="1"/>
    <col min="10" max="10" width="9.44140625" style="4" customWidth="1"/>
    <col min="11" max="11" width="8.21875" style="4" customWidth="1"/>
    <col min="12" max="12" width="9.21875" style="4" customWidth="1"/>
    <col min="13" max="13" width="8.109375" style="4" customWidth="1"/>
    <col min="14" max="16" width="11.77734375" style="4" customWidth="1"/>
    <col min="17" max="17" width="9.33203125" style="110" customWidth="1"/>
    <col min="18" max="19" width="10" style="110" customWidth="1"/>
    <col min="20" max="20" width="9.6640625" style="4" customWidth="1"/>
    <col min="21" max="27" width="10.77734375" style="4" customWidth="1"/>
    <col min="28" max="28" width="9.33203125" style="4" customWidth="1"/>
    <col min="29" max="29" width="9.88671875" style="4" customWidth="1"/>
    <col min="30" max="30" width="9.6640625" style="4" customWidth="1"/>
    <col min="31" max="31" width="8.5546875" style="4" customWidth="1"/>
    <col min="32" max="32" width="7.77734375" style="4" customWidth="1"/>
    <col min="33" max="33" width="8.33203125" style="4" customWidth="1"/>
    <col min="34" max="34" width="9.21875" style="4" customWidth="1"/>
    <col min="35" max="35" width="7.5546875" style="4" customWidth="1"/>
    <col min="36" max="36" width="11.88671875" style="4" customWidth="1"/>
    <col min="37" max="38" width="13.5546875" style="4" customWidth="1"/>
    <col min="39" max="39" width="13.6640625" style="4" customWidth="1"/>
    <col min="40" max="40" width="13.44140625" style="4" customWidth="1"/>
    <col min="41" max="41" width="11.5546875" style="4" customWidth="1"/>
    <col min="42" max="16384" width="9.77734375" style="4"/>
  </cols>
  <sheetData>
    <row r="1" spans="1:76" ht="13.9" customHeight="1" x14ac:dyDescent="0.2">
      <c r="A1" s="1"/>
      <c r="B1" s="14"/>
      <c r="C1" s="14"/>
      <c r="D1" s="14"/>
      <c r="E1" s="14"/>
      <c r="F1" s="14"/>
      <c r="G1" s="14"/>
      <c r="H1" s="14"/>
      <c r="J1" s="3"/>
      <c r="K1" s="3"/>
      <c r="L1" s="3"/>
      <c r="M1" s="3"/>
      <c r="N1" s="3"/>
      <c r="O1" s="3"/>
      <c r="P1" s="3"/>
      <c r="Q1" s="111"/>
      <c r="R1" s="111"/>
      <c r="S1" s="111"/>
      <c r="T1" s="3"/>
      <c r="U1" s="3"/>
      <c r="V1" s="3"/>
      <c r="W1" s="2" t="str">
        <f>'1 General'!$C$1</f>
        <v>Cobre</v>
      </c>
      <c r="X1" s="3"/>
      <c r="Y1" s="3"/>
      <c r="Z1" s="3"/>
      <c r="AA1" s="3"/>
      <c r="AB1" s="3"/>
      <c r="AC1" s="3"/>
      <c r="AD1" s="3"/>
      <c r="AE1" s="3"/>
      <c r="AF1" s="3"/>
      <c r="AG1" s="3"/>
      <c r="AH1" s="3"/>
      <c r="AI1" s="3"/>
      <c r="AJ1" s="3"/>
      <c r="AK1" s="3"/>
      <c r="AL1" s="3"/>
      <c r="AM1" s="3"/>
      <c r="AN1" s="3"/>
      <c r="AO1" s="2" t="str">
        <f>'1 General'!$C$1</f>
        <v>Cobre</v>
      </c>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row>
    <row r="2" spans="1:76" ht="13.9" customHeight="1" x14ac:dyDescent="0.25">
      <c r="A2" s="437"/>
      <c r="B2" s="14"/>
      <c r="C2" s="14"/>
      <c r="D2" s="14"/>
      <c r="E2" s="14"/>
      <c r="F2" s="14"/>
      <c r="G2" s="14"/>
      <c r="H2" s="14"/>
      <c r="J2" s="3"/>
      <c r="K2" s="3"/>
      <c r="L2" s="3"/>
      <c r="M2" s="3"/>
      <c r="Q2" s="111"/>
      <c r="R2" s="111"/>
      <c r="S2" s="111"/>
      <c r="T2" s="3"/>
      <c r="U2" s="3"/>
      <c r="V2" s="3"/>
      <c r="W2" s="2" t="s">
        <v>138</v>
      </c>
      <c r="X2" s="3"/>
      <c r="Y2" s="3"/>
      <c r="Z2" s="3"/>
      <c r="AA2" s="3"/>
      <c r="AB2" s="3"/>
      <c r="AC2" s="3"/>
      <c r="AD2" s="3"/>
      <c r="AE2" s="3"/>
      <c r="AF2" s="3"/>
      <c r="AG2" s="3"/>
      <c r="AH2" s="3"/>
      <c r="AI2" s="3"/>
      <c r="AJ2" s="3"/>
      <c r="AK2" s="3"/>
      <c r="AL2" s="3"/>
      <c r="AM2" s="3"/>
      <c r="AN2" s="3"/>
      <c r="AO2" s="2" t="s">
        <v>138</v>
      </c>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row>
    <row r="3" spans="1:76" ht="13.9" customHeight="1" x14ac:dyDescent="0.2">
      <c r="A3" s="78" t="s">
        <v>139</v>
      </c>
      <c r="B3" s="78"/>
      <c r="C3" s="78"/>
      <c r="D3" s="14"/>
      <c r="E3" s="14"/>
      <c r="F3" s="14"/>
      <c r="G3" s="14"/>
      <c r="H3" s="14"/>
      <c r="J3" s="3"/>
      <c r="K3" s="3"/>
      <c r="L3" s="3"/>
      <c r="M3" s="3"/>
      <c r="N3" s="3"/>
      <c r="O3" s="3"/>
      <c r="P3" s="3"/>
      <c r="Q3" s="111"/>
      <c r="R3" s="111"/>
      <c r="S3" s="111"/>
      <c r="T3" s="3"/>
      <c r="U3" s="3"/>
      <c r="V3" s="3"/>
      <c r="W3" s="79">
        <f>'1 General'!$C$3</f>
        <v>41978</v>
      </c>
      <c r="X3" s="3"/>
      <c r="Y3" s="3"/>
      <c r="Z3" s="3"/>
      <c r="AA3" s="3"/>
      <c r="AB3" s="3"/>
      <c r="AC3" s="3"/>
      <c r="AD3" s="3"/>
      <c r="AE3" s="3"/>
      <c r="AF3" s="3"/>
      <c r="AG3" s="3"/>
      <c r="AH3" s="3"/>
      <c r="AI3" s="3"/>
      <c r="AJ3" s="3"/>
      <c r="AK3" s="3"/>
      <c r="AL3" s="3"/>
      <c r="AM3" s="3"/>
      <c r="AN3" s="3"/>
      <c r="AO3" s="79">
        <f>'1 General'!$C$3</f>
        <v>41978</v>
      </c>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76" ht="13.9" customHeight="1" x14ac:dyDescent="0.2">
      <c r="A4" s="14"/>
      <c r="B4" s="14"/>
      <c r="C4" s="14"/>
      <c r="D4" s="14"/>
      <c r="E4" s="14"/>
      <c r="F4" s="14"/>
      <c r="G4" s="14"/>
      <c r="H4" s="14"/>
      <c r="I4" s="2"/>
      <c r="J4" s="3"/>
      <c r="K4" s="3"/>
      <c r="L4" s="3"/>
      <c r="M4" s="3"/>
      <c r="N4" s="3"/>
      <c r="O4" s="3"/>
      <c r="P4" s="3"/>
      <c r="Q4" s="111"/>
      <c r="R4" s="111"/>
      <c r="S4" s="111"/>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row>
    <row r="5" spans="1:76" ht="13.9" customHeight="1" x14ac:dyDescent="0.25">
      <c r="A5" s="112" t="s">
        <v>140</v>
      </c>
      <c r="B5" s="112"/>
      <c r="C5" s="14"/>
      <c r="D5" s="113"/>
      <c r="E5" s="114"/>
      <c r="F5" s="3"/>
      <c r="G5" s="3"/>
      <c r="H5" s="81"/>
      <c r="I5" s="3"/>
      <c r="J5" s="14"/>
      <c r="K5" s="14"/>
      <c r="L5" s="14"/>
      <c r="M5" s="84"/>
      <c r="N5" s="84"/>
      <c r="O5" s="84"/>
      <c r="P5" s="84"/>
      <c r="Q5" s="115"/>
      <c r="R5" s="115"/>
      <c r="S5" s="115"/>
      <c r="T5" s="116"/>
      <c r="U5" s="84"/>
      <c r="V5" s="84"/>
      <c r="W5" s="84"/>
      <c r="X5" s="116"/>
      <c r="Y5" s="116"/>
      <c r="Z5" s="116"/>
      <c r="AA5" s="116"/>
      <c r="AB5" s="116"/>
      <c r="AC5" s="116"/>
      <c r="AD5" s="116"/>
      <c r="AE5" s="116"/>
      <c r="AF5" s="117"/>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row>
    <row r="6" spans="1:76" ht="13.9" customHeight="1" x14ac:dyDescent="0.25">
      <c r="A6" s="114" t="s">
        <v>141</v>
      </c>
      <c r="B6" s="114"/>
      <c r="C6" s="14"/>
      <c r="D6" s="3"/>
      <c r="E6" s="3"/>
      <c r="F6" s="113"/>
      <c r="G6" s="114"/>
      <c r="H6" s="81"/>
      <c r="I6" s="3"/>
      <c r="J6" s="14"/>
      <c r="K6" s="14"/>
      <c r="L6" s="14"/>
      <c r="M6" s="84"/>
      <c r="N6" s="84"/>
      <c r="O6" s="84"/>
      <c r="P6" s="84"/>
      <c r="Q6" s="115"/>
      <c r="R6" s="115"/>
      <c r="S6" s="115"/>
      <c r="T6" s="116"/>
      <c r="U6" s="84"/>
      <c r="V6" s="84"/>
      <c r="W6" s="84"/>
      <c r="X6" s="116"/>
      <c r="Y6" s="116"/>
      <c r="Z6" s="116"/>
      <c r="AA6" s="116"/>
      <c r="AB6" s="116"/>
      <c r="AC6" s="116"/>
      <c r="AD6" s="116"/>
      <c r="AE6" s="116"/>
      <c r="AF6" s="117"/>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ht="13.9" customHeight="1" x14ac:dyDescent="0.25">
      <c r="A7" s="114" t="s">
        <v>142</v>
      </c>
      <c r="B7" s="114"/>
      <c r="C7" s="14"/>
      <c r="D7" s="3"/>
      <c r="E7" s="3"/>
      <c r="F7" s="113"/>
      <c r="G7" s="114"/>
      <c r="H7" s="81"/>
      <c r="I7" s="3"/>
      <c r="K7" s="14"/>
      <c r="L7" s="14"/>
      <c r="M7" s="84"/>
      <c r="O7" s="84"/>
      <c r="P7" s="84"/>
      <c r="Q7" s="115"/>
      <c r="R7" s="115"/>
      <c r="S7" s="115"/>
      <c r="T7" s="116"/>
      <c r="U7" s="84"/>
      <c r="V7" s="84"/>
      <c r="W7" s="84"/>
      <c r="X7" s="116"/>
      <c r="Y7" s="116"/>
      <c r="Z7" s="116"/>
      <c r="AA7" s="116"/>
      <c r="AB7" s="116"/>
      <c r="AC7" s="116"/>
      <c r="AD7" s="116"/>
      <c r="AE7" s="116"/>
      <c r="AF7" s="117"/>
      <c r="AG7" s="3"/>
      <c r="AH7" s="3"/>
      <c r="AI7" s="3"/>
      <c r="AJ7" s="471"/>
      <c r="AK7" s="471"/>
      <c r="AL7" s="471"/>
      <c r="AM7" s="471"/>
      <c r="AN7" s="471"/>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76" x14ac:dyDescent="0.2">
      <c r="A8" s="66"/>
      <c r="B8" s="66"/>
      <c r="C8" s="66"/>
      <c r="D8" s="371"/>
      <c r="E8" s="66"/>
      <c r="F8" s="162"/>
      <c r="G8" s="162"/>
      <c r="H8" s="317"/>
      <c r="I8" s="317"/>
      <c r="J8" s="317" t="s">
        <v>62</v>
      </c>
      <c r="K8" s="317"/>
      <c r="L8" s="317"/>
      <c r="M8" s="317"/>
      <c r="N8" s="317"/>
      <c r="O8" s="317"/>
      <c r="P8" s="317"/>
      <c r="Q8" s="332"/>
      <c r="R8" s="332"/>
      <c r="S8" s="332"/>
      <c r="T8" s="317"/>
      <c r="U8" s="317"/>
      <c r="V8" s="317"/>
      <c r="W8" s="317"/>
      <c r="X8" s="149" t="s">
        <v>131</v>
      </c>
      <c r="Y8" s="149" t="s">
        <v>131</v>
      </c>
      <c r="Z8" s="149" t="s">
        <v>131</v>
      </c>
      <c r="AA8" s="149" t="s">
        <v>143</v>
      </c>
      <c r="AB8" s="149" t="s">
        <v>143</v>
      </c>
      <c r="AC8" s="149" t="s">
        <v>143</v>
      </c>
      <c r="AD8" s="317"/>
      <c r="AE8" s="317"/>
      <c r="AF8" s="317"/>
      <c r="AG8" s="317"/>
      <c r="AH8" s="317"/>
      <c r="AI8" s="317"/>
      <c r="AJ8" s="152"/>
      <c r="AK8" s="317"/>
      <c r="AL8" s="317"/>
      <c r="AM8" s="317"/>
      <c r="AN8" s="317"/>
      <c r="AO8" s="317"/>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76" x14ac:dyDescent="0.2">
      <c r="A9" s="66"/>
      <c r="B9" s="66"/>
      <c r="C9" s="317"/>
      <c r="D9" s="371"/>
      <c r="E9" s="66"/>
      <c r="F9" s="162" t="s">
        <v>144</v>
      </c>
      <c r="G9" s="162" t="s">
        <v>145</v>
      </c>
      <c r="H9" s="317"/>
      <c r="I9" s="317"/>
      <c r="J9" s="317"/>
      <c r="K9" s="317"/>
      <c r="L9" s="317" t="s">
        <v>126</v>
      </c>
      <c r="M9" s="317" t="s">
        <v>63</v>
      </c>
      <c r="N9" s="317" t="s">
        <v>131</v>
      </c>
      <c r="O9" s="317" t="s">
        <v>131</v>
      </c>
      <c r="P9" s="317" t="s">
        <v>131</v>
      </c>
      <c r="Q9" s="317" t="s">
        <v>131</v>
      </c>
      <c r="R9" s="317" t="s">
        <v>131</v>
      </c>
      <c r="S9" s="317" t="s">
        <v>131</v>
      </c>
      <c r="T9" s="317"/>
      <c r="U9" s="317" t="s">
        <v>131</v>
      </c>
      <c r="V9" s="317" t="s">
        <v>131</v>
      </c>
      <c r="W9" s="317" t="s">
        <v>131</v>
      </c>
      <c r="X9" s="149" t="s">
        <v>97</v>
      </c>
      <c r="Y9" s="149" t="s">
        <v>97</v>
      </c>
      <c r="Z9" s="149" t="s">
        <v>97</v>
      </c>
      <c r="AA9" s="149" t="s">
        <v>97</v>
      </c>
      <c r="AB9" s="149" t="s">
        <v>97</v>
      </c>
      <c r="AC9" s="149" t="s">
        <v>97</v>
      </c>
      <c r="AD9" s="317"/>
      <c r="AE9" s="317"/>
      <c r="AF9" s="317"/>
      <c r="AG9" s="317" t="s">
        <v>146</v>
      </c>
      <c r="AH9" s="317" t="s">
        <v>147</v>
      </c>
      <c r="AI9" s="317"/>
      <c r="AJ9" s="317" t="s">
        <v>148</v>
      </c>
      <c r="AK9" s="317" t="s">
        <v>148</v>
      </c>
      <c r="AL9" s="317" t="s">
        <v>148</v>
      </c>
      <c r="AM9" s="317" t="s">
        <v>148</v>
      </c>
      <c r="AN9" s="317" t="s">
        <v>149</v>
      </c>
      <c r="AO9" s="317" t="s">
        <v>149</v>
      </c>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6" x14ac:dyDescent="0.2">
      <c r="A10" s="66"/>
      <c r="B10" s="317"/>
      <c r="C10" s="317"/>
      <c r="D10" s="317"/>
      <c r="E10" s="317"/>
      <c r="F10" s="317" t="s">
        <v>129</v>
      </c>
      <c r="G10" s="317" t="s">
        <v>111</v>
      </c>
      <c r="H10" s="317"/>
      <c r="I10" s="317" t="s">
        <v>68</v>
      </c>
      <c r="J10" s="317" t="s">
        <v>150</v>
      </c>
      <c r="K10" s="317" t="s">
        <v>127</v>
      </c>
      <c r="L10" s="317" t="s">
        <v>151</v>
      </c>
      <c r="M10" s="317" t="s">
        <v>131</v>
      </c>
      <c r="N10" s="317" t="s">
        <v>81</v>
      </c>
      <c r="O10" s="317" t="s">
        <v>81</v>
      </c>
      <c r="P10" s="317" t="s">
        <v>81</v>
      </c>
      <c r="Q10" s="332" t="s">
        <v>22</v>
      </c>
      <c r="R10" s="332" t="s">
        <v>22</v>
      </c>
      <c r="S10" s="332" t="s">
        <v>22</v>
      </c>
      <c r="T10" s="317" t="s">
        <v>132</v>
      </c>
      <c r="U10" s="317" t="s">
        <v>81</v>
      </c>
      <c r="V10" s="317" t="s">
        <v>81</v>
      </c>
      <c r="W10" s="317" t="s">
        <v>81</v>
      </c>
      <c r="X10" s="149" t="s">
        <v>22</v>
      </c>
      <c r="Y10" s="149" t="s">
        <v>22</v>
      </c>
      <c r="Z10" s="149" t="s">
        <v>22</v>
      </c>
      <c r="AA10" s="149" t="s">
        <v>22</v>
      </c>
      <c r="AB10" s="149" t="s">
        <v>22</v>
      </c>
      <c r="AC10" s="149" t="s">
        <v>22</v>
      </c>
      <c r="AD10" s="317" t="s">
        <v>131</v>
      </c>
      <c r="AE10" s="317" t="s">
        <v>143</v>
      </c>
      <c r="AF10" s="317" t="s">
        <v>152</v>
      </c>
      <c r="AG10" s="317" t="s">
        <v>153</v>
      </c>
      <c r="AH10" s="317" t="s">
        <v>153</v>
      </c>
      <c r="AI10" s="317" t="s">
        <v>73</v>
      </c>
      <c r="AJ10" s="317" t="s">
        <v>135</v>
      </c>
      <c r="AK10" s="317" t="s">
        <v>135</v>
      </c>
      <c r="AL10" s="317" t="s">
        <v>135</v>
      </c>
      <c r="AM10" s="317" t="s">
        <v>136</v>
      </c>
      <c r="AN10" s="317" t="s">
        <v>136</v>
      </c>
      <c r="AO10" s="317" t="s">
        <v>136</v>
      </c>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x14ac:dyDescent="0.2">
      <c r="A11" s="317" t="s">
        <v>75</v>
      </c>
      <c r="B11" s="317" t="s">
        <v>440</v>
      </c>
      <c r="C11" s="317" t="s">
        <v>21</v>
      </c>
      <c r="D11" s="317" t="s">
        <v>23</v>
      </c>
      <c r="E11" s="317" t="s">
        <v>53</v>
      </c>
      <c r="F11" s="317" t="s">
        <v>77</v>
      </c>
      <c r="G11" s="317" t="s">
        <v>154</v>
      </c>
      <c r="H11" s="317" t="s">
        <v>76</v>
      </c>
      <c r="I11" s="317" t="s">
        <v>77</v>
      </c>
      <c r="J11" s="317" t="s">
        <v>133</v>
      </c>
      <c r="K11" s="317" t="s">
        <v>133</v>
      </c>
      <c r="L11" s="317" t="s">
        <v>155</v>
      </c>
      <c r="M11" s="317" t="s">
        <v>81</v>
      </c>
      <c r="N11" s="317" t="s">
        <v>156</v>
      </c>
      <c r="O11" s="317" t="s">
        <v>157</v>
      </c>
      <c r="P11" s="317" t="s">
        <v>158</v>
      </c>
      <c r="Q11" s="332" t="s">
        <v>156</v>
      </c>
      <c r="R11" s="332" t="s">
        <v>157</v>
      </c>
      <c r="S11" s="332" t="s">
        <v>158</v>
      </c>
      <c r="T11" s="317" t="s">
        <v>134</v>
      </c>
      <c r="U11" s="317" t="s">
        <v>156</v>
      </c>
      <c r="V11" s="317" t="s">
        <v>157</v>
      </c>
      <c r="W11" s="317" t="s">
        <v>158</v>
      </c>
      <c r="X11" s="149" t="s">
        <v>156</v>
      </c>
      <c r="Y11" s="149" t="s">
        <v>157</v>
      </c>
      <c r="Z11" s="149" t="s">
        <v>158</v>
      </c>
      <c r="AA11" s="149" t="s">
        <v>156</v>
      </c>
      <c r="AB11" s="149" t="s">
        <v>157</v>
      </c>
      <c r="AC11" s="149" t="s">
        <v>158</v>
      </c>
      <c r="AD11" s="317" t="s">
        <v>77</v>
      </c>
      <c r="AE11" s="317" t="s">
        <v>77</v>
      </c>
      <c r="AF11" s="317" t="s">
        <v>77</v>
      </c>
      <c r="AG11" s="317" t="s">
        <v>77</v>
      </c>
      <c r="AH11" s="317" t="s">
        <v>77</v>
      </c>
      <c r="AI11" s="317" t="s">
        <v>83</v>
      </c>
      <c r="AJ11" s="317" t="s">
        <v>156</v>
      </c>
      <c r="AK11" s="317" t="s">
        <v>157</v>
      </c>
      <c r="AL11" s="317" t="s">
        <v>158</v>
      </c>
      <c r="AM11" s="317" t="s">
        <v>156</v>
      </c>
      <c r="AN11" s="317" t="s">
        <v>157</v>
      </c>
      <c r="AO11" s="317" t="s">
        <v>158</v>
      </c>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row>
    <row r="12" spans="1:76" x14ac:dyDescent="0.2">
      <c r="A12" s="317"/>
      <c r="B12" s="317"/>
      <c r="C12" s="317"/>
      <c r="D12" s="317"/>
      <c r="E12" s="317" t="s">
        <v>87</v>
      </c>
      <c r="F12" s="317" t="s">
        <v>137</v>
      </c>
      <c r="G12" s="317"/>
      <c r="H12" s="317" t="s">
        <v>88</v>
      </c>
      <c r="I12" s="317" t="s">
        <v>159</v>
      </c>
      <c r="J12" s="317" t="s">
        <v>87</v>
      </c>
      <c r="K12" s="317" t="s">
        <v>87</v>
      </c>
      <c r="L12" s="317"/>
      <c r="M12" s="317" t="s">
        <v>91</v>
      </c>
      <c r="N12" s="317" t="s">
        <v>91</v>
      </c>
      <c r="O12" s="317" t="s">
        <v>91</v>
      </c>
      <c r="P12" s="317" t="s">
        <v>91</v>
      </c>
      <c r="Q12" s="332" t="s">
        <v>25</v>
      </c>
      <c r="R12" s="332" t="s">
        <v>25</v>
      </c>
      <c r="S12" s="332" t="s">
        <v>25</v>
      </c>
      <c r="T12" s="317" t="s">
        <v>25</v>
      </c>
      <c r="U12" s="149" t="s">
        <v>160</v>
      </c>
      <c r="V12" s="149" t="s">
        <v>160</v>
      </c>
      <c r="W12" s="149" t="s">
        <v>160</v>
      </c>
      <c r="X12" s="149" t="s">
        <v>25</v>
      </c>
      <c r="Y12" s="149" t="s">
        <v>25</v>
      </c>
      <c r="Z12" s="149" t="s">
        <v>25</v>
      </c>
      <c r="AA12" s="149" t="s">
        <v>25</v>
      </c>
      <c r="AB12" s="149" t="s">
        <v>25</v>
      </c>
      <c r="AC12" s="149" t="s">
        <v>25</v>
      </c>
      <c r="AD12" s="317" t="s">
        <v>137</v>
      </c>
      <c r="AE12" s="317" t="s">
        <v>137</v>
      </c>
      <c r="AF12" s="317" t="s">
        <v>137</v>
      </c>
      <c r="AG12" s="317" t="s">
        <v>137</v>
      </c>
      <c r="AH12" s="317" t="s">
        <v>137</v>
      </c>
      <c r="AI12" s="317" t="s">
        <v>92</v>
      </c>
      <c r="AJ12" s="398" t="s">
        <v>161</v>
      </c>
      <c r="AK12" s="398" t="s">
        <v>161</v>
      </c>
      <c r="AL12" s="398" t="s">
        <v>161</v>
      </c>
      <c r="AM12" s="398" t="s">
        <v>161</v>
      </c>
      <c r="AN12" s="398" t="s">
        <v>161</v>
      </c>
      <c r="AO12" s="398" t="s">
        <v>161</v>
      </c>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row>
    <row r="13" spans="1:76" ht="18.75" x14ac:dyDescent="0.3">
      <c r="A13" s="36"/>
      <c r="B13" s="36"/>
      <c r="C13" s="3"/>
      <c r="D13" s="3"/>
      <c r="E13" s="3"/>
      <c r="F13" s="3"/>
      <c r="G13" s="3"/>
      <c r="H13" s="3"/>
      <c r="I13" s="3"/>
      <c r="J13" s="3"/>
      <c r="K13" s="3"/>
      <c r="L13" s="3"/>
      <c r="M13" s="3"/>
      <c r="N13" s="3"/>
      <c r="O13" s="3"/>
      <c r="P13" s="3"/>
      <c r="Q13" s="111"/>
      <c r="R13" s="111"/>
      <c r="S13" s="111"/>
      <c r="T13" s="3"/>
      <c r="U13" s="43"/>
      <c r="V13" s="43"/>
      <c r="W13" s="43"/>
      <c r="X13" s="43"/>
      <c r="Y13" s="43"/>
      <c r="Z13" s="43"/>
      <c r="AA13" s="43"/>
      <c r="AB13" s="43"/>
      <c r="AC13" s="4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x14ac:dyDescent="0.2">
      <c r="A14" s="14" t="str">
        <f>'4   Earthwork'!B56</f>
        <v>Haul cover soil</v>
      </c>
      <c r="B14" s="14" t="str">
        <f>'4   Earthwork'!C56</f>
        <v>OB Stockpile 1 through 4, Topsoil Stockpile, South OB Stockpile</v>
      </c>
      <c r="C14" s="14" t="str">
        <f>'4   Earthwork'!D56</f>
        <v xml:space="preserve">SWRDF Top </v>
      </c>
      <c r="D14" s="356" t="str">
        <f>'3   Material'!G56</f>
        <v>777F</v>
      </c>
      <c r="E14" s="372">
        <f>'4   Earthwork'!I56</f>
        <v>412368.00000000006</v>
      </c>
      <c r="F14" s="366">
        <f t="shared" ref="F14:F34" si="0">SUM(AD14:AH14)</f>
        <v>7.4655898274440275</v>
      </c>
      <c r="G14" s="362">
        <f>IF(E14=0,0,Optimum!$AC12)</f>
        <v>2</v>
      </c>
      <c r="H14" s="372">
        <f>AI14*L14*'10   Loader'!F11*G14/F14</f>
        <v>937.63522531970796</v>
      </c>
      <c r="I14" s="375">
        <f>IF(E14=0,0,IF(E14/H14&lt;'10   Loader'!$I11,'10   Loader'!$I11,E14/H14))</f>
        <v>439.79576370906273</v>
      </c>
      <c r="J14" s="373">
        <v>54.6</v>
      </c>
      <c r="K14" s="373">
        <v>78.599999999999994</v>
      </c>
      <c r="L14" s="375">
        <f>IF(TRUNC(J14/'10   Loader'!F11)&lt;TRUNC(K14/'10   Loader'!F11),TRUNC(K14/'10   Loader'!F11),TRUNC(J14/'10   Loader'!F11))</f>
        <v>5</v>
      </c>
      <c r="M14" s="362">
        <f t="shared" ref="M14:M24" si="1">SUM(N14:P14)</f>
        <v>3630</v>
      </c>
      <c r="N14" s="402">
        <v>3630</v>
      </c>
      <c r="O14" s="402" t="s">
        <v>26</v>
      </c>
      <c r="P14" s="402" t="s">
        <v>26</v>
      </c>
      <c r="Q14" s="404">
        <v>-2.8E-3</v>
      </c>
      <c r="R14" s="403" t="s">
        <v>26</v>
      </c>
      <c r="S14" s="404" t="s">
        <v>26</v>
      </c>
      <c r="T14" s="405">
        <v>2.5000000000000001E-2</v>
      </c>
      <c r="U14" s="361">
        <f t="shared" ref="U14:U34" si="2">N14*0.3048</f>
        <v>1106.424</v>
      </c>
      <c r="V14" s="361">
        <f t="shared" ref="V14:V34" si="3">O14*0.3048</f>
        <v>0</v>
      </c>
      <c r="W14" s="361">
        <f t="shared" ref="W14:W34" si="4">P14*0.3048</f>
        <v>0</v>
      </c>
      <c r="X14" s="408">
        <f t="shared" ref="X14:X34" si="5">IF(N14=0,0,IF(Q14+T14&lt;0,0,Q14+T14))</f>
        <v>2.2200000000000001E-2</v>
      </c>
      <c r="Y14" s="408">
        <f t="shared" ref="Y14:Y34" si="6">IF(O14=0,0,IF(R14+T14&lt;0,0,R14+T14))</f>
        <v>0</v>
      </c>
      <c r="Z14" s="408">
        <f t="shared" ref="Z14:Z34" si="7">IF(P14=0,0,IF(S14+T14&lt;0,0,S14+T14))</f>
        <v>0</v>
      </c>
      <c r="AA14" s="408">
        <f t="shared" ref="AA14:AA34" si="8">IF(N14=0,0,IF((T14-Q14)&lt;0,0,T14-Q14))</f>
        <v>2.7800000000000002E-2</v>
      </c>
      <c r="AB14" s="408">
        <f t="shared" ref="AB14:AB34" si="9">IF(O14=0,0,IF((T14-R14)&lt;0,0,T14-R14))</f>
        <v>0</v>
      </c>
      <c r="AC14" s="408">
        <f t="shared" ref="AC14:AC34" si="10">IF(P14=0,0,IF((T14-S14)&lt;0,0,T14-S14))</f>
        <v>0</v>
      </c>
      <c r="AD14" s="373">
        <f t="shared" ref="AD14:AD23" si="11">(AJ14*U14+AK14*V14+W14*AL14)</f>
        <v>1.4198560114398897</v>
      </c>
      <c r="AE14" s="373">
        <f t="shared" ref="AE14:AE23" si="12">(AM14*U14+AN14*V14+W14*AO14)</f>
        <v>0.99573381600413757</v>
      </c>
      <c r="AF14" s="373">
        <f>'10   Loader'!G11*L14</f>
        <v>3.25</v>
      </c>
      <c r="AG14" s="390">
        <v>0.7</v>
      </c>
      <c r="AH14" s="390">
        <v>1.1000000000000001</v>
      </c>
      <c r="AI14" s="379">
        <v>50</v>
      </c>
      <c r="AJ14" s="401">
        <f>-1.6825*X14^3 + 0.4592*X14^2 + 0.0079*X14+ 0.0009</f>
        <v>1.2832838147399999E-3</v>
      </c>
      <c r="AK14" s="401">
        <f>-1.6825*Y14^3 + 0.4592*Y14^2 + 0.0079*Y14+ 0.0009</f>
        <v>8.9999999999999998E-4</v>
      </c>
      <c r="AL14" s="401">
        <f>-1.6825*Z14^3 + 0.4592*Z14^2 + 0.0079*Z14+ 0.0009</f>
        <v>8.9999999999999998E-4</v>
      </c>
      <c r="AM14" s="401">
        <f>-6.2135*AA14^4 + 1.0448*AA14^3 + 0.1016*AA14^2 - 0.0035*AA14 + 0.0009</f>
        <v>8.9995681222039439E-4</v>
      </c>
      <c r="AN14" s="401">
        <f>-6.2135*AB14^4 + 1.0448*AB14^3 + 0.1016*AB14^2 - 0.0035*AB14 + 0.0009</f>
        <v>8.9999999999999998E-4</v>
      </c>
      <c r="AO14" s="401">
        <f>-6.2135*AC14^4 + 1.0448*AC14^3 + 0.1016*AC14^2 - 0.0035*AC14 + 0.0009</f>
        <v>8.9999999999999998E-4</v>
      </c>
      <c r="AP14" s="3"/>
      <c r="AQ14" s="3"/>
      <c r="AR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6" x14ac:dyDescent="0.2">
      <c r="A15" s="14" t="str">
        <f>'4   Earthwork'!B57</f>
        <v>Haul cover soil</v>
      </c>
      <c r="B15" s="14" t="str">
        <f>'4   Earthwork'!C57</f>
        <v>OB Stockpile 1 through 4, Topsoil Stockpile, South OB Stockpile</v>
      </c>
      <c r="C15" s="14" t="str">
        <f>'4   Earthwork'!D57</f>
        <v>SWRDF Outslopes</v>
      </c>
      <c r="D15" s="356" t="str">
        <f>'3   Material'!G57</f>
        <v>777F</v>
      </c>
      <c r="E15" s="372">
        <f>'4   Earthwork'!I57</f>
        <v>1237104.0000000002</v>
      </c>
      <c r="F15" s="366">
        <f t="shared" si="0"/>
        <v>7.4655898274440275</v>
      </c>
      <c r="G15" s="362">
        <f>IF(E15=0,0,Optimum!$AC13)</f>
        <v>2</v>
      </c>
      <c r="H15" s="372">
        <f>AI15*L15*'10   Loader'!F12*G15/F15</f>
        <v>937.63522531970796</v>
      </c>
      <c r="I15" s="375">
        <f>IF(E15=0,0,IF(E15/H15&lt;'10   Loader'!$I12,'10   Loader'!$I12,E15/H15))</f>
        <v>1319.3872911271883</v>
      </c>
      <c r="J15" s="373">
        <v>54.6</v>
      </c>
      <c r="K15" s="373">
        <v>78.599999999999994</v>
      </c>
      <c r="L15" s="375">
        <f>IF(TRUNC(J15/'10   Loader'!F12)&lt;TRUNC(K15/'10   Loader'!F12),TRUNC(K15/'10   Loader'!F12),TRUNC(J15/'10   Loader'!F12))</f>
        <v>5</v>
      </c>
      <c r="M15" s="362">
        <f t="shared" si="1"/>
        <v>3630</v>
      </c>
      <c r="N15" s="402">
        <v>3630</v>
      </c>
      <c r="O15" s="402" t="s">
        <v>26</v>
      </c>
      <c r="P15" s="402" t="s">
        <v>26</v>
      </c>
      <c r="Q15" s="404">
        <v>-2.8E-3</v>
      </c>
      <c r="R15" s="403" t="s">
        <v>26</v>
      </c>
      <c r="S15" s="404" t="s">
        <v>26</v>
      </c>
      <c r="T15" s="405">
        <v>2.5000000000000001E-2</v>
      </c>
      <c r="U15" s="361">
        <f t="shared" si="2"/>
        <v>1106.424</v>
      </c>
      <c r="V15" s="361">
        <f t="shared" si="3"/>
        <v>0</v>
      </c>
      <c r="W15" s="361">
        <f t="shared" si="4"/>
        <v>0</v>
      </c>
      <c r="X15" s="408">
        <f t="shared" si="5"/>
        <v>2.2200000000000001E-2</v>
      </c>
      <c r="Y15" s="408">
        <f t="shared" si="6"/>
        <v>0</v>
      </c>
      <c r="Z15" s="408">
        <f t="shared" si="7"/>
        <v>0</v>
      </c>
      <c r="AA15" s="408">
        <f t="shared" si="8"/>
        <v>2.7800000000000002E-2</v>
      </c>
      <c r="AB15" s="408">
        <f t="shared" si="9"/>
        <v>0</v>
      </c>
      <c r="AC15" s="408">
        <f t="shared" si="10"/>
        <v>0</v>
      </c>
      <c r="AD15" s="373">
        <f t="shared" si="11"/>
        <v>1.4198560114398897</v>
      </c>
      <c r="AE15" s="373">
        <f t="shared" si="12"/>
        <v>0.99573381600413757</v>
      </c>
      <c r="AF15" s="373">
        <f>'10   Loader'!G12*L15</f>
        <v>3.25</v>
      </c>
      <c r="AG15" s="390">
        <v>0.7</v>
      </c>
      <c r="AH15" s="390">
        <v>1.1000000000000001</v>
      </c>
      <c r="AI15" s="379">
        <v>50</v>
      </c>
      <c r="AJ15" s="401">
        <f t="shared" ref="AJ15:AL34" si="13">-1.6825*X15^3 + 0.4592*X15^2 + 0.0079*X15+ 0.0009</f>
        <v>1.2832838147399999E-3</v>
      </c>
      <c r="AK15" s="401">
        <f t="shared" si="13"/>
        <v>8.9999999999999998E-4</v>
      </c>
      <c r="AL15" s="401">
        <f t="shared" si="13"/>
        <v>8.9999999999999998E-4</v>
      </c>
      <c r="AM15" s="401">
        <f t="shared" ref="AM15:AO34" si="14">-6.2135*AA15^4 + 1.0448*AA15^3 + 0.1016*AA15^2 - 0.0035*AA15 + 0.0009</f>
        <v>8.9995681222039439E-4</v>
      </c>
      <c r="AN15" s="401">
        <f t="shared" si="14"/>
        <v>8.9999999999999998E-4</v>
      </c>
      <c r="AO15" s="401">
        <f t="shared" si="14"/>
        <v>8.9999999999999998E-4</v>
      </c>
      <c r="AP15" s="3"/>
      <c r="AQ15" s="3"/>
      <c r="AR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1:76" x14ac:dyDescent="0.2">
      <c r="A16" s="14" t="str">
        <f>'4   Earthwork'!B58</f>
        <v>Haul cover soil</v>
      </c>
      <c r="B16" s="14" t="str">
        <f>'4   Earthwork'!C58</f>
        <v>NOBS</v>
      </c>
      <c r="C16" s="14" t="str">
        <f>'4   Earthwork'!D58</f>
        <v xml:space="preserve">SWRDF Top </v>
      </c>
      <c r="D16" s="356" t="str">
        <f>'3   Material'!G58</f>
        <v>777F</v>
      </c>
      <c r="E16" s="372">
        <f>'4   Earthwork'!I58</f>
        <v>119547.99999999999</v>
      </c>
      <c r="F16" s="366">
        <f t="shared" si="0"/>
        <v>15.33327285909788</v>
      </c>
      <c r="G16" s="362">
        <f>IF(E16=0,0,Optimum!$AC14)</f>
        <v>4</v>
      </c>
      <c r="H16" s="372">
        <f>AI16*L16*'10   Loader'!F13*G16/F16</f>
        <v>913.04707929287304</v>
      </c>
      <c r="I16" s="375">
        <f>IF(E16=0,0,IF(E16/H16&lt;'10   Loader'!$I13,'10   Loader'!$I13,E16/H16))</f>
        <v>130.93300741138808</v>
      </c>
      <c r="J16" s="373">
        <v>54.6</v>
      </c>
      <c r="K16" s="373">
        <v>78.599999999999994</v>
      </c>
      <c r="L16" s="375">
        <f>IF(TRUNC(J16/'10   Loader'!F13)&lt;TRUNC(K16/'10   Loader'!F13),TRUNC(K16/'10   Loader'!F13),TRUNC(J16/'10   Loader'!F13))</f>
        <v>5</v>
      </c>
      <c r="M16" s="362">
        <f t="shared" si="1"/>
        <v>12559</v>
      </c>
      <c r="N16" s="362">
        <v>2310</v>
      </c>
      <c r="O16" s="402">
        <v>7312</v>
      </c>
      <c r="P16" s="402">
        <v>2937</v>
      </c>
      <c r="Q16" s="399">
        <v>-8.8700000000000001E-2</v>
      </c>
      <c r="R16" s="405">
        <v>-9.5999999999999992E-3</v>
      </c>
      <c r="S16" s="404">
        <v>4.0899999999999999E-2</v>
      </c>
      <c r="T16" s="405">
        <v>2.5000000000000001E-2</v>
      </c>
      <c r="U16" s="361">
        <f t="shared" si="2"/>
        <v>704.08800000000008</v>
      </c>
      <c r="V16" s="361">
        <f t="shared" si="3"/>
        <v>2228.6976</v>
      </c>
      <c r="W16" s="361">
        <f t="shared" si="4"/>
        <v>895.19760000000008</v>
      </c>
      <c r="X16" s="408">
        <f t="shared" si="5"/>
        <v>0</v>
      </c>
      <c r="Y16" s="408">
        <f t="shared" si="6"/>
        <v>1.5400000000000002E-2</v>
      </c>
      <c r="Z16" s="408">
        <f t="shared" si="7"/>
        <v>6.59E-2</v>
      </c>
      <c r="AA16" s="408">
        <f t="shared" si="8"/>
        <v>0.1137</v>
      </c>
      <c r="AB16" s="408">
        <f t="shared" si="9"/>
        <v>3.4599999999999999E-2</v>
      </c>
      <c r="AC16" s="408">
        <f t="shared" si="10"/>
        <v>0</v>
      </c>
      <c r="AD16" s="373">
        <f t="shared" si="11"/>
        <v>5.7655625760371736</v>
      </c>
      <c r="AE16" s="373">
        <f t="shared" si="12"/>
        <v>4.5177102830607083</v>
      </c>
      <c r="AF16" s="373">
        <f>'10   Loader'!G13*L16</f>
        <v>3.25</v>
      </c>
      <c r="AG16" s="390">
        <v>0.7</v>
      </c>
      <c r="AH16" s="390">
        <v>1.1000000000000001</v>
      </c>
      <c r="AI16" s="379">
        <v>50</v>
      </c>
      <c r="AJ16" s="401">
        <f t="shared" si="13"/>
        <v>8.9999999999999998E-4</v>
      </c>
      <c r="AK16" s="401">
        <f t="shared" si="13"/>
        <v>1.1244189378200001E-3</v>
      </c>
      <c r="AL16" s="401">
        <f t="shared" si="13"/>
        <v>2.9333116933325E-3</v>
      </c>
      <c r="AM16" s="401">
        <f t="shared" si="14"/>
        <v>2.3127999712726425E-3</v>
      </c>
      <c r="AN16" s="401">
        <f t="shared" si="14"/>
        <v>9.3490374687319432E-4</v>
      </c>
      <c r="AO16" s="401">
        <f t="shared" si="14"/>
        <v>8.9999999999999998E-4</v>
      </c>
      <c r="AP16" s="3"/>
      <c r="AQ16" s="3"/>
      <c r="AR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1:76" x14ac:dyDescent="0.2">
      <c r="A17" s="14" t="str">
        <f>'4   Earthwork'!B59</f>
        <v>Haul cover soil</v>
      </c>
      <c r="B17" s="14" t="str">
        <f>'4   Earthwork'!C59</f>
        <v>NOBS</v>
      </c>
      <c r="C17" s="14" t="str">
        <f>'4   Earthwork'!D59</f>
        <v>Hanover Mountain Deposit</v>
      </c>
      <c r="D17" s="356" t="str">
        <f>'3   Material'!G59</f>
        <v>777F</v>
      </c>
      <c r="E17" s="372">
        <f>'4   Earthwork'!I59</f>
        <v>451571.99999999994</v>
      </c>
      <c r="F17" s="366">
        <f t="shared" si="0"/>
        <v>11.502460781502835</v>
      </c>
      <c r="G17" s="362">
        <f>IF(E17=0,0,Optimum!$AC15)</f>
        <v>3</v>
      </c>
      <c r="H17" s="372">
        <f>AI17*L17*'10   Loader'!F14*G17/F17</f>
        <v>912.84814610149363</v>
      </c>
      <c r="I17" s="375">
        <f>IF(E17=0,0,IF(E17/H17&lt;'10   Loader'!$I14,'10   Loader'!$I14,E17/H17))</f>
        <v>494.68468762140924</v>
      </c>
      <c r="J17" s="373">
        <v>54.6</v>
      </c>
      <c r="K17" s="373">
        <v>78.599999999999994</v>
      </c>
      <c r="L17" s="375">
        <f>IF(TRUNC(J17/'10   Loader'!F14)&lt;TRUNC(K17/'10   Loader'!F14),TRUNC(K17/'10   Loader'!F14),TRUNC(J17/'10   Loader'!F14))</f>
        <v>5</v>
      </c>
      <c r="M17" s="362">
        <f t="shared" si="1"/>
        <v>5707</v>
      </c>
      <c r="N17" s="362">
        <v>1759</v>
      </c>
      <c r="O17" s="402">
        <v>2466</v>
      </c>
      <c r="P17" s="402">
        <v>1482</v>
      </c>
      <c r="Q17" s="399">
        <v>-9.9500000000000005E-2</v>
      </c>
      <c r="R17" s="405">
        <v>-8.1100000000000005E-2</v>
      </c>
      <c r="S17" s="404">
        <v>6.7500000000000004E-2</v>
      </c>
      <c r="T17" s="405">
        <v>2.5000000000000001E-2</v>
      </c>
      <c r="U17" s="361">
        <f t="shared" si="2"/>
        <v>536.14319999999998</v>
      </c>
      <c r="V17" s="361">
        <f t="shared" si="3"/>
        <v>751.63679999999999</v>
      </c>
      <c r="W17" s="361">
        <f t="shared" si="4"/>
        <v>451.71360000000004</v>
      </c>
      <c r="X17" s="408">
        <f t="shared" si="5"/>
        <v>0</v>
      </c>
      <c r="Y17" s="408">
        <f t="shared" si="6"/>
        <v>0</v>
      </c>
      <c r="Z17" s="408">
        <f t="shared" si="7"/>
        <v>9.2499999999999999E-2</v>
      </c>
      <c r="AA17" s="408">
        <f t="shared" si="8"/>
        <v>0.1245</v>
      </c>
      <c r="AB17" s="408">
        <f t="shared" si="9"/>
        <v>0.1061</v>
      </c>
      <c r="AC17" s="408">
        <f t="shared" si="10"/>
        <v>0</v>
      </c>
      <c r="AD17" s="373">
        <f t="shared" si="11"/>
        <v>3.0689194279111875</v>
      </c>
      <c r="AE17" s="373">
        <f>(AM17*U17+AN17*V17+W17*AO17)</f>
        <v>3.3835413535916494</v>
      </c>
      <c r="AF17" s="373">
        <f>'10   Loader'!G14*L17</f>
        <v>3.25</v>
      </c>
      <c r="AG17" s="390">
        <v>0.7</v>
      </c>
      <c r="AH17" s="390">
        <v>1.1000000000000001</v>
      </c>
      <c r="AI17" s="379">
        <v>50</v>
      </c>
      <c r="AJ17" s="401">
        <f t="shared" si="13"/>
        <v>8.9999999999999998E-4</v>
      </c>
      <c r="AK17" s="401">
        <f t="shared" si="13"/>
        <v>8.9999999999999998E-4</v>
      </c>
      <c r="AL17" s="401">
        <f t="shared" si="13"/>
        <v>4.2281601171875001E-3</v>
      </c>
      <c r="AM17" s="401">
        <f t="shared" si="14"/>
        <v>2.562469189386656E-3</v>
      </c>
      <c r="AN17" s="401">
        <f t="shared" si="14"/>
        <v>2.1328767863580947E-3</v>
      </c>
      <c r="AO17" s="401">
        <f t="shared" si="14"/>
        <v>8.9999999999999998E-4</v>
      </c>
      <c r="AP17" s="3"/>
      <c r="AQ17" s="3"/>
      <c r="AR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76" x14ac:dyDescent="0.2">
      <c r="A18" s="14" t="str">
        <f>'4   Earthwork'!B60</f>
        <v>Haul cover soil</v>
      </c>
      <c r="B18" s="14" t="str">
        <f>'4   Earthwork'!C60</f>
        <v>OB Stockpile 1 through 3, Topsoil Stockpile, South OB Stockpile</v>
      </c>
      <c r="C18" s="14" t="str">
        <f>'4   Earthwork'!D60</f>
        <v>Pearson-Barnes Mine Area</v>
      </c>
      <c r="D18" s="356" t="str">
        <f>'3   Material'!G60</f>
        <v>777F</v>
      </c>
      <c r="E18" s="372">
        <f>'4   Earthwork'!I60</f>
        <v>57596.000000000007</v>
      </c>
      <c r="F18" s="366">
        <f t="shared" si="0"/>
        <v>5.7578541608145777</v>
      </c>
      <c r="G18" s="362">
        <f>IF(E18=0,0,Optimum!$AC16)</f>
        <v>2</v>
      </c>
      <c r="H18" s="372">
        <f>AI18*L18*'10   Loader'!F15*G18/F18</f>
        <v>1215.7306879425535</v>
      </c>
      <c r="I18" s="375">
        <f>IF(E18=0,0,IF(E18/H18&lt;'10   Loader'!$I15,'10   Loader'!$I15,E18/H18))</f>
        <v>53.482000000000006</v>
      </c>
      <c r="J18" s="373">
        <v>54.6</v>
      </c>
      <c r="K18" s="373">
        <v>78.599999999999994</v>
      </c>
      <c r="L18" s="375">
        <f>IF(TRUNC(J18/'10   Loader'!F15)&lt;TRUNC(K18/'10   Loader'!F15),TRUNC(K18/'10   Loader'!F15),TRUNC(J18/'10   Loader'!F15))</f>
        <v>5</v>
      </c>
      <c r="M18" s="362">
        <f>SUM(N18:P18)</f>
        <v>600</v>
      </c>
      <c r="N18" s="362">
        <v>600</v>
      </c>
      <c r="O18" s="402" t="s">
        <v>26</v>
      </c>
      <c r="P18" s="402" t="s">
        <v>26</v>
      </c>
      <c r="Q18" s="399">
        <v>4.1700000000000001E-2</v>
      </c>
      <c r="R18" s="405" t="s">
        <v>26</v>
      </c>
      <c r="S18" s="404" t="s">
        <v>26</v>
      </c>
      <c r="T18" s="405">
        <v>2.5000000000000001E-2</v>
      </c>
      <c r="U18" s="361">
        <f t="shared" si="2"/>
        <v>182.88</v>
      </c>
      <c r="V18" s="361">
        <f t="shared" si="3"/>
        <v>0</v>
      </c>
      <c r="W18" s="361">
        <f t="shared" si="4"/>
        <v>0</v>
      </c>
      <c r="X18" s="408">
        <f t="shared" si="5"/>
        <v>6.6700000000000009E-2</v>
      </c>
      <c r="Y18" s="408">
        <f t="shared" si="6"/>
        <v>0</v>
      </c>
      <c r="Z18" s="408">
        <f t="shared" si="7"/>
        <v>0</v>
      </c>
      <c r="AA18" s="408">
        <f t="shared" si="8"/>
        <v>0</v>
      </c>
      <c r="AB18" s="408">
        <f t="shared" si="9"/>
        <v>0</v>
      </c>
      <c r="AC18" s="408">
        <f t="shared" si="10"/>
        <v>0</v>
      </c>
      <c r="AD18" s="373">
        <f>(AJ18*U18+AK18*V18+W18*AL18)</f>
        <v>0.54326216081457734</v>
      </c>
      <c r="AE18" s="373">
        <f>(AM18*U18+AN18*V18+W18*AO18)</f>
        <v>0.16459199999999999</v>
      </c>
      <c r="AF18" s="373">
        <f>'10   Loader'!G15*L18</f>
        <v>3.25</v>
      </c>
      <c r="AG18" s="390">
        <v>0.7</v>
      </c>
      <c r="AH18" s="390">
        <v>1.1000000000000001</v>
      </c>
      <c r="AI18" s="379">
        <v>50</v>
      </c>
      <c r="AJ18" s="401">
        <f t="shared" si="13"/>
        <v>2.9705936177525007E-3</v>
      </c>
      <c r="AK18" s="401">
        <f t="shared" si="13"/>
        <v>8.9999999999999998E-4</v>
      </c>
      <c r="AL18" s="401">
        <f t="shared" si="13"/>
        <v>8.9999999999999998E-4</v>
      </c>
      <c r="AM18" s="401">
        <f t="shared" si="14"/>
        <v>8.9999999999999998E-4</v>
      </c>
      <c r="AN18" s="401">
        <f t="shared" si="14"/>
        <v>8.9999999999999998E-4</v>
      </c>
      <c r="AO18" s="401">
        <f t="shared" si="14"/>
        <v>8.9999999999999998E-4</v>
      </c>
      <c r="AP18" s="3"/>
      <c r="AQ18" s="3"/>
      <c r="AR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1:76" x14ac:dyDescent="0.2">
      <c r="A19" s="14" t="str">
        <f>'4   Earthwork'!B61</f>
        <v>Haul cover soil</v>
      </c>
      <c r="B19" s="14" t="str">
        <f>'4   Earthwork'!C61</f>
        <v>OB-4 Stockpile</v>
      </c>
      <c r="C19" s="14" t="str">
        <f>'4   Earthwork'!D61</f>
        <v>Low Grade WRF</v>
      </c>
      <c r="D19" s="356" t="str">
        <f>'3   Material'!G61</f>
        <v>777F</v>
      </c>
      <c r="E19" s="372">
        <f>'4   Earthwork'!I61</f>
        <v>44899.066666666658</v>
      </c>
      <c r="F19" s="366">
        <f t="shared" si="0"/>
        <v>6.004843150000001</v>
      </c>
      <c r="G19" s="362">
        <f>IF(E19=0,0,Optimum!$AC17)</f>
        <v>2</v>
      </c>
      <c r="H19" s="372">
        <f>AI19*L19*'10   Loader'!F16*G19/F19</f>
        <v>1165.7257025939134</v>
      </c>
      <c r="I19" s="375">
        <f>IF(E19=0,0,IF(E19/H19&lt;'10   Loader'!$I16,'10   Loader'!$I16,E19/H19))</f>
        <v>41.691990476190469</v>
      </c>
      <c r="J19" s="373">
        <v>54.6</v>
      </c>
      <c r="K19" s="373">
        <v>78.599999999999994</v>
      </c>
      <c r="L19" s="375">
        <f>IF(TRUNC(J19/'10   Loader'!F16)&lt;TRUNC(K19/'10   Loader'!F16),TRUNC(K19/'10   Loader'!F16),TRUNC(J19/'10   Loader'!F16))</f>
        <v>5</v>
      </c>
      <c r="M19" s="362">
        <f t="shared" si="1"/>
        <v>1000</v>
      </c>
      <c r="N19" s="362">
        <v>1000</v>
      </c>
      <c r="O19" s="402" t="s">
        <v>26</v>
      </c>
      <c r="P19" s="402" t="s">
        <v>26</v>
      </c>
      <c r="Q19" s="399">
        <v>2.5000000000000001E-2</v>
      </c>
      <c r="R19" s="405" t="s">
        <v>26</v>
      </c>
      <c r="S19" s="404" t="s">
        <v>26</v>
      </c>
      <c r="T19" s="405">
        <v>2.5000000000000001E-2</v>
      </c>
      <c r="U19" s="361">
        <f t="shared" si="2"/>
        <v>304.8</v>
      </c>
      <c r="V19" s="361">
        <f t="shared" si="3"/>
        <v>0</v>
      </c>
      <c r="W19" s="361">
        <f t="shared" si="4"/>
        <v>0</v>
      </c>
      <c r="X19" s="408">
        <f t="shared" si="5"/>
        <v>0.05</v>
      </c>
      <c r="Y19" s="408">
        <f t="shared" si="6"/>
        <v>0</v>
      </c>
      <c r="Z19" s="408">
        <f t="shared" si="7"/>
        <v>0</v>
      </c>
      <c r="AA19" s="408">
        <f t="shared" si="8"/>
        <v>0</v>
      </c>
      <c r="AB19" s="408">
        <f t="shared" si="9"/>
        <v>0</v>
      </c>
      <c r="AC19" s="408">
        <f t="shared" si="10"/>
        <v>0</v>
      </c>
      <c r="AD19" s="373">
        <f t="shared" si="11"/>
        <v>0.68052315000000008</v>
      </c>
      <c r="AE19" s="373">
        <f t="shared" si="12"/>
        <v>0.27432000000000001</v>
      </c>
      <c r="AF19" s="373">
        <f>'10   Loader'!G16*L19</f>
        <v>3.25</v>
      </c>
      <c r="AG19" s="390">
        <v>0.7</v>
      </c>
      <c r="AH19" s="390">
        <v>1.1000000000000001</v>
      </c>
      <c r="AI19" s="379">
        <v>50</v>
      </c>
      <c r="AJ19" s="401">
        <f t="shared" si="13"/>
        <v>2.2326875000000003E-3</v>
      </c>
      <c r="AK19" s="401">
        <f t="shared" si="13"/>
        <v>8.9999999999999998E-4</v>
      </c>
      <c r="AL19" s="401">
        <f t="shared" si="13"/>
        <v>8.9999999999999998E-4</v>
      </c>
      <c r="AM19" s="401">
        <f t="shared" si="14"/>
        <v>8.9999999999999998E-4</v>
      </c>
      <c r="AN19" s="401">
        <f t="shared" si="14"/>
        <v>8.9999999999999998E-4</v>
      </c>
      <c r="AO19" s="401">
        <f t="shared" si="14"/>
        <v>8.9999999999999998E-4</v>
      </c>
      <c r="AP19" s="3"/>
      <c r="AQ19" s="3"/>
      <c r="AR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1:76" x14ac:dyDescent="0.2">
      <c r="A20" s="14" t="str">
        <f>'4   Earthwork'!B62</f>
        <v>Haul cover soil</v>
      </c>
      <c r="B20" s="14" t="str">
        <f>'4   Earthwork'!C62</f>
        <v>NOBS</v>
      </c>
      <c r="C20" s="14" t="str">
        <f>'4   Earthwork'!D62</f>
        <v>MTI Reclaim Pond</v>
      </c>
      <c r="D20" s="356" t="str">
        <f>'3   Material'!G62</f>
        <v>777F</v>
      </c>
      <c r="E20" s="372">
        <f>'4   Earthwork'!I62</f>
        <v>159720</v>
      </c>
      <c r="F20" s="366">
        <f t="shared" si="0"/>
        <v>12.156146740553433</v>
      </c>
      <c r="G20" s="362">
        <f>IF(E20=0,0,Optimum!$AC18)</f>
        <v>4</v>
      </c>
      <c r="H20" s="372">
        <f>AI20*L20*'10   Loader'!F17*G20/F20</f>
        <v>1151.6807339364696</v>
      </c>
      <c r="I20" s="375">
        <f>IF(E20=0,0,IF(E20/H20&lt;'10   Loader'!$I17,'10   Loader'!$I17,E20/H20))</f>
        <v>148.31142857142856</v>
      </c>
      <c r="J20" s="373">
        <v>54.6</v>
      </c>
      <c r="K20" s="373">
        <v>78.599999999999994</v>
      </c>
      <c r="L20" s="375">
        <f>IF(TRUNC(J20/'10   Loader'!F17)&lt;TRUNC(K20/'10   Loader'!F17),TRUNC(K20/'10   Loader'!F17),TRUNC(J20/'10   Loader'!F17))</f>
        <v>5</v>
      </c>
      <c r="M20" s="362">
        <f t="shared" si="1"/>
        <v>7193</v>
      </c>
      <c r="N20" s="406">
        <v>2310</v>
      </c>
      <c r="O20" s="406">
        <v>1940</v>
      </c>
      <c r="P20" s="406">
        <v>2943</v>
      </c>
      <c r="Q20" s="407">
        <v>-8.8700000000000001E-2</v>
      </c>
      <c r="R20" s="407">
        <v>1.55E-2</v>
      </c>
      <c r="S20" s="407">
        <v>3.5700000000000003E-2</v>
      </c>
      <c r="T20" s="405">
        <v>2.5000000000000001E-2</v>
      </c>
      <c r="U20" s="361">
        <f t="shared" si="2"/>
        <v>704.08800000000008</v>
      </c>
      <c r="V20" s="361">
        <f t="shared" si="3"/>
        <v>591.31200000000001</v>
      </c>
      <c r="W20" s="361">
        <f t="shared" si="4"/>
        <v>897.02640000000008</v>
      </c>
      <c r="X20" s="408">
        <f t="shared" si="5"/>
        <v>0</v>
      </c>
      <c r="Y20" s="408">
        <f t="shared" si="6"/>
        <v>4.0500000000000001E-2</v>
      </c>
      <c r="Z20" s="408">
        <f t="shared" si="7"/>
        <v>6.0700000000000004E-2</v>
      </c>
      <c r="AA20" s="408">
        <f t="shared" si="8"/>
        <v>0.1137</v>
      </c>
      <c r="AB20" s="408">
        <f t="shared" si="9"/>
        <v>9.5000000000000015E-3</v>
      </c>
      <c r="AC20" s="408">
        <f t="shared" si="10"/>
        <v>0</v>
      </c>
      <c r="AD20" s="373">
        <f t="shared" si="11"/>
        <v>4.1519668593842862</v>
      </c>
      <c r="AE20" s="373">
        <f t="shared" si="12"/>
        <v>2.9541798811691478</v>
      </c>
      <c r="AF20" s="373">
        <f>'10   Loader'!G17*L20</f>
        <v>3.25</v>
      </c>
      <c r="AG20" s="390">
        <v>0.7</v>
      </c>
      <c r="AH20" s="390">
        <v>1.1000000000000001</v>
      </c>
      <c r="AI20" s="379">
        <v>50</v>
      </c>
      <c r="AJ20" s="401">
        <f t="shared" si="13"/>
        <v>8.9999999999999998E-4</v>
      </c>
      <c r="AK20" s="401">
        <f t="shared" si="13"/>
        <v>1.8613841146874999E-3</v>
      </c>
      <c r="AL20" s="401">
        <f t="shared" si="13"/>
        <v>2.6951591344025003E-3</v>
      </c>
      <c r="AM20" s="401">
        <f t="shared" si="14"/>
        <v>2.3127999712726425E-3</v>
      </c>
      <c r="AN20" s="401">
        <f t="shared" si="14"/>
        <v>8.7676457605415624E-4</v>
      </c>
      <c r="AO20" s="401">
        <f t="shared" si="14"/>
        <v>8.9999999999999998E-4</v>
      </c>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row>
    <row r="21" spans="1:76" x14ac:dyDescent="0.2">
      <c r="A21" s="14" t="str">
        <f>'4   Earthwork'!B63</f>
        <v>Haul cover soil</v>
      </c>
      <c r="B21" s="14" t="str">
        <f>'4   Earthwork'!C63</f>
        <v>NOBS</v>
      </c>
      <c r="C21" s="14" t="str">
        <f>'4   Earthwork'!D63</f>
        <v>MTI  Top</v>
      </c>
      <c r="D21" s="356" t="str">
        <f>'3   Material'!G63</f>
        <v>777F</v>
      </c>
      <c r="E21" s="372">
        <f>'4   Earthwork'!I63</f>
        <v>190284.10000000003</v>
      </c>
      <c r="F21" s="366">
        <f t="shared" si="0"/>
        <v>12.156146740553433</v>
      </c>
      <c r="G21" s="362">
        <f>IF(E21=0,0,Optimum!$AC19)</f>
        <v>4</v>
      </c>
      <c r="H21" s="372">
        <f>AI21*L21*'10   Loader'!F18*G21/F21</f>
        <v>1151.6807339364696</v>
      </c>
      <c r="I21" s="375">
        <f>IF(E21=0,0,IF(E21/H21&lt;'10   Loader'!$I18,'10   Loader'!$I18,E21/H21))</f>
        <v>176.69237857142861</v>
      </c>
      <c r="J21" s="373">
        <v>54.6</v>
      </c>
      <c r="K21" s="373">
        <v>78.599999999999994</v>
      </c>
      <c r="L21" s="375">
        <f>IF(TRUNC(J21/'10   Loader'!F18)&lt;TRUNC(K21/'10   Loader'!F18),TRUNC(K21/'10   Loader'!F18),TRUNC(J21/'10   Loader'!F18))</f>
        <v>5</v>
      </c>
      <c r="M21" s="362">
        <f t="shared" si="1"/>
        <v>7193</v>
      </c>
      <c r="N21" s="406">
        <v>2310</v>
      </c>
      <c r="O21" s="406">
        <v>1940</v>
      </c>
      <c r="P21" s="406">
        <v>2943</v>
      </c>
      <c r="Q21" s="407">
        <v>-8.8700000000000001E-2</v>
      </c>
      <c r="R21" s="407">
        <v>1.55E-2</v>
      </c>
      <c r="S21" s="407">
        <v>3.5700000000000003E-2</v>
      </c>
      <c r="T21" s="405">
        <v>2.5000000000000001E-2</v>
      </c>
      <c r="U21" s="361">
        <f t="shared" si="2"/>
        <v>704.08800000000008</v>
      </c>
      <c r="V21" s="361">
        <f t="shared" si="3"/>
        <v>591.31200000000001</v>
      </c>
      <c r="W21" s="361">
        <f t="shared" si="4"/>
        <v>897.02640000000008</v>
      </c>
      <c r="X21" s="408">
        <f t="shared" si="5"/>
        <v>0</v>
      </c>
      <c r="Y21" s="408">
        <f t="shared" si="6"/>
        <v>4.0500000000000001E-2</v>
      </c>
      <c r="Z21" s="408">
        <f t="shared" si="7"/>
        <v>6.0700000000000004E-2</v>
      </c>
      <c r="AA21" s="408">
        <f t="shared" si="8"/>
        <v>0.1137</v>
      </c>
      <c r="AB21" s="408">
        <f t="shared" si="9"/>
        <v>9.5000000000000015E-3</v>
      </c>
      <c r="AC21" s="408">
        <f t="shared" si="10"/>
        <v>0</v>
      </c>
      <c r="AD21" s="373">
        <f t="shared" si="11"/>
        <v>4.1519668593842862</v>
      </c>
      <c r="AE21" s="373">
        <f t="shared" si="12"/>
        <v>2.9541798811691478</v>
      </c>
      <c r="AF21" s="373">
        <f>'10   Loader'!G18*L21</f>
        <v>3.25</v>
      </c>
      <c r="AG21" s="390">
        <v>0.7</v>
      </c>
      <c r="AH21" s="390">
        <v>1.1000000000000001</v>
      </c>
      <c r="AI21" s="379">
        <v>50</v>
      </c>
      <c r="AJ21" s="401">
        <f t="shared" si="13"/>
        <v>8.9999999999999998E-4</v>
      </c>
      <c r="AK21" s="401">
        <f t="shared" si="13"/>
        <v>1.8613841146874999E-3</v>
      </c>
      <c r="AL21" s="401">
        <f t="shared" si="13"/>
        <v>2.6951591344025003E-3</v>
      </c>
      <c r="AM21" s="401">
        <f t="shared" si="14"/>
        <v>2.3127999712726425E-3</v>
      </c>
      <c r="AN21" s="401">
        <f t="shared" si="14"/>
        <v>8.7676457605415624E-4</v>
      </c>
      <c r="AO21" s="401">
        <f t="shared" si="14"/>
        <v>8.9999999999999998E-4</v>
      </c>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row>
    <row r="22" spans="1:76" x14ac:dyDescent="0.2">
      <c r="A22" s="14" t="str">
        <f>'4   Earthwork'!B64</f>
        <v>Haul cover soil</v>
      </c>
      <c r="B22" s="14" t="str">
        <f>'4   Earthwork'!C64</f>
        <v>NOBS</v>
      </c>
      <c r="C22" s="14" t="str">
        <f>'4   Earthwork'!D64</f>
        <v>MTI  Outslope</v>
      </c>
      <c r="D22" s="356" t="str">
        <f>'3   Material'!G64</f>
        <v>777F</v>
      </c>
      <c r="E22" s="372">
        <f>'4   Earthwork'!I64</f>
        <v>175837.19999999998</v>
      </c>
      <c r="F22" s="366">
        <f>SUM(AD22:AH22)</f>
        <v>12.156146740553433</v>
      </c>
      <c r="G22" s="362">
        <f>IF(E22=0,0,Optimum!$AC20)</f>
        <v>4</v>
      </c>
      <c r="H22" s="372">
        <f>AI22*L22*'10   Loader'!F19*G22/F22</f>
        <v>1151.6807339364696</v>
      </c>
      <c r="I22" s="375">
        <f>IF(E22=0,0,IF(E22/H22&lt;'10   Loader'!$I19,'10   Loader'!$I19,E22/H22))</f>
        <v>163.2774</v>
      </c>
      <c r="J22" s="373">
        <v>54.6</v>
      </c>
      <c r="K22" s="373">
        <v>78.599999999999994</v>
      </c>
      <c r="L22" s="375">
        <f>IF(TRUNC(J22/'10   Loader'!F19)&lt;TRUNC(K22/'10   Loader'!F19),TRUNC(K22/'10   Loader'!F19),TRUNC(J22/'10   Loader'!F19))</f>
        <v>5</v>
      </c>
      <c r="M22" s="362">
        <f t="shared" ref="M22" si="15">SUM(N22:P22)</f>
        <v>7193</v>
      </c>
      <c r="N22" s="406">
        <v>2310</v>
      </c>
      <c r="O22" s="406">
        <v>1940</v>
      </c>
      <c r="P22" s="406">
        <v>2943</v>
      </c>
      <c r="Q22" s="407">
        <v>-8.8700000000000001E-2</v>
      </c>
      <c r="R22" s="407">
        <v>1.55E-2</v>
      </c>
      <c r="S22" s="407">
        <v>3.5700000000000003E-2</v>
      </c>
      <c r="T22" s="405">
        <v>2.5000000000000001E-2</v>
      </c>
      <c r="U22" s="361">
        <f t="shared" ref="U22" si="16">N22*0.3048</f>
        <v>704.08800000000008</v>
      </c>
      <c r="V22" s="361">
        <f t="shared" ref="V22" si="17">O22*0.3048</f>
        <v>591.31200000000001</v>
      </c>
      <c r="W22" s="361">
        <f t="shared" ref="W22" si="18">P22*0.3048</f>
        <v>897.02640000000008</v>
      </c>
      <c r="X22" s="408">
        <f t="shared" ref="X22" si="19">IF(N22=0,0,IF(Q22+T22&lt;0,0,Q22+T22))</f>
        <v>0</v>
      </c>
      <c r="Y22" s="408">
        <f t="shared" ref="Y22" si="20">IF(O22=0,0,IF(R22+T22&lt;0,0,R22+T22))</f>
        <v>4.0500000000000001E-2</v>
      </c>
      <c r="Z22" s="408">
        <f t="shared" ref="Z22" si="21">IF(P22=0,0,IF(S22+T22&lt;0,0,S22+T22))</f>
        <v>6.0700000000000004E-2</v>
      </c>
      <c r="AA22" s="408">
        <f t="shared" ref="AA22" si="22">IF(N22=0,0,IF((T22-Q22)&lt;0,0,T22-Q22))</f>
        <v>0.1137</v>
      </c>
      <c r="AB22" s="408">
        <f t="shared" ref="AB22" si="23">IF(O22=0,0,IF((T22-R22)&lt;0,0,T22-R22))</f>
        <v>9.5000000000000015E-3</v>
      </c>
      <c r="AC22" s="408">
        <f t="shared" ref="AC22" si="24">IF(P22=0,0,IF((T22-S22)&lt;0,0,T22-S22))</f>
        <v>0</v>
      </c>
      <c r="AD22" s="373">
        <f t="shared" ref="AD22" si="25">(AJ22*U22+AK22*V22+W22*AL22)</f>
        <v>4.1519668593842862</v>
      </c>
      <c r="AE22" s="373">
        <f t="shared" ref="AE22" si="26">(AM22*U22+AN22*V22+W22*AO22)</f>
        <v>2.9541798811691478</v>
      </c>
      <c r="AF22" s="373">
        <f>'10   Loader'!G19*L22</f>
        <v>3.25</v>
      </c>
      <c r="AG22" s="390">
        <v>0.7</v>
      </c>
      <c r="AH22" s="390">
        <v>1.1000000000000001</v>
      </c>
      <c r="AI22" s="379">
        <v>50</v>
      </c>
      <c r="AJ22" s="401">
        <f t="shared" ref="AJ22" si="27">-1.6825*X22^3 + 0.4592*X22^2 + 0.0079*X22+ 0.0009</f>
        <v>8.9999999999999998E-4</v>
      </c>
      <c r="AK22" s="401">
        <f t="shared" ref="AK22" si="28">-1.6825*Y22^3 + 0.4592*Y22^2 + 0.0079*Y22+ 0.0009</f>
        <v>1.8613841146874999E-3</v>
      </c>
      <c r="AL22" s="401">
        <f t="shared" ref="AL22" si="29">-1.6825*Z22^3 + 0.4592*Z22^2 + 0.0079*Z22+ 0.0009</f>
        <v>2.6951591344025003E-3</v>
      </c>
      <c r="AM22" s="401">
        <f t="shared" ref="AM22" si="30">-6.2135*AA22^4 + 1.0448*AA22^3 + 0.1016*AA22^2 - 0.0035*AA22 + 0.0009</f>
        <v>2.3127999712726425E-3</v>
      </c>
      <c r="AN22" s="401">
        <f t="shared" ref="AN22" si="31">-6.2135*AB22^4 + 1.0448*AB22^3 + 0.1016*AB22^2 - 0.0035*AB22 + 0.0009</f>
        <v>8.7676457605415624E-4</v>
      </c>
      <c r="AO22" s="401">
        <f t="shared" ref="AO22" si="32">-6.2135*AC22^4 + 1.0448*AC22^3 + 0.1016*AC22^2 - 0.0035*AC22 + 0.0009</f>
        <v>8.9999999999999998E-4</v>
      </c>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76" s="370" customFormat="1" ht="30" customHeight="1" x14ac:dyDescent="0.2">
      <c r="A23" s="368" t="str">
        <f>'4   Earthwork'!B65</f>
        <v>Haul cover soil</v>
      </c>
      <c r="B23" s="400" t="str">
        <f>'4   Earthwork'!C65</f>
        <v>Reclaim Pond Outlet Channel</v>
      </c>
      <c r="C23" s="368" t="str">
        <f>'4   Earthwork'!D65</f>
        <v>MTI  Top</v>
      </c>
      <c r="D23" s="356" t="str">
        <f>'3   Material'!G65</f>
        <v>777F</v>
      </c>
      <c r="E23" s="372">
        <f>'4   Earthwork'!I65</f>
        <v>71559.899999999994</v>
      </c>
      <c r="F23" s="366">
        <f t="shared" si="0"/>
        <v>5.9398048196430491</v>
      </c>
      <c r="G23" s="362">
        <f>IF(E23=0,0,Optimum!$AC21)</f>
        <v>2</v>
      </c>
      <c r="H23" s="372">
        <f>AI23*L23*'10   Loader'!F20*G23/F23</f>
        <v>1178.4899020336265</v>
      </c>
      <c r="I23" s="375">
        <f>IF(E23=0,0,IF(E23/H23&lt;'10   Loader'!$I20,'10   Loader'!$I20,E23/H23))</f>
        <v>66.448478571428566</v>
      </c>
      <c r="J23" s="373">
        <v>54.6</v>
      </c>
      <c r="K23" s="373">
        <v>78.599999999999994</v>
      </c>
      <c r="L23" s="375">
        <f>IF(TRUNC(J23/'10   Loader'!F20)&lt;TRUNC(K23/'10   Loader'!F20),TRUNC(K23/'10   Loader'!F20),TRUNC(J23/'10   Loader'!F20))</f>
        <v>5</v>
      </c>
      <c r="M23" s="362">
        <f t="shared" si="1"/>
        <v>1172</v>
      </c>
      <c r="N23" s="406">
        <v>1172</v>
      </c>
      <c r="O23" s="406" t="s">
        <v>26</v>
      </c>
      <c r="P23" s="406" t="s">
        <v>26</v>
      </c>
      <c r="Q23" s="407">
        <v>8.5000000000000006E-3</v>
      </c>
      <c r="R23" s="407" t="s">
        <v>26</v>
      </c>
      <c r="S23" s="407" t="s">
        <v>26</v>
      </c>
      <c r="T23" s="405">
        <v>2.5000000000000001E-2</v>
      </c>
      <c r="U23" s="361">
        <f t="shared" si="2"/>
        <v>357.22560000000004</v>
      </c>
      <c r="V23" s="361">
        <f t="shared" si="3"/>
        <v>0</v>
      </c>
      <c r="W23" s="361">
        <f t="shared" si="4"/>
        <v>0</v>
      </c>
      <c r="X23" s="408">
        <f t="shared" si="5"/>
        <v>3.3500000000000002E-2</v>
      </c>
      <c r="Y23" s="408">
        <f t="shared" si="6"/>
        <v>0</v>
      </c>
      <c r="Z23" s="408">
        <f t="shared" si="7"/>
        <v>0</v>
      </c>
      <c r="AA23" s="408">
        <f t="shared" si="8"/>
        <v>1.6500000000000001E-2</v>
      </c>
      <c r="AB23" s="408">
        <f t="shared" si="9"/>
        <v>0</v>
      </c>
      <c r="AC23" s="408">
        <f t="shared" si="10"/>
        <v>0</v>
      </c>
      <c r="AD23" s="373">
        <f t="shared" si="11"/>
        <v>0.57753840937845313</v>
      </c>
      <c r="AE23" s="373">
        <f t="shared" si="12"/>
        <v>0.31226641026459578</v>
      </c>
      <c r="AF23" s="373">
        <f>'10   Loader'!G20*L23</f>
        <v>3.25</v>
      </c>
      <c r="AG23" s="390">
        <v>0.7</v>
      </c>
      <c r="AH23" s="390">
        <v>1.1000000000000001</v>
      </c>
      <c r="AI23" s="379">
        <v>50</v>
      </c>
      <c r="AJ23" s="401">
        <f t="shared" si="13"/>
        <v>1.6167329815625002E-3</v>
      </c>
      <c r="AK23" s="401">
        <f t="shared" si="13"/>
        <v>8.9999999999999998E-4</v>
      </c>
      <c r="AL23" s="401">
        <f t="shared" si="13"/>
        <v>8.9999999999999998E-4</v>
      </c>
      <c r="AM23" s="401">
        <f t="shared" si="14"/>
        <v>8.7414342719165626E-4</v>
      </c>
      <c r="AN23" s="401">
        <f t="shared" si="14"/>
        <v>8.9999999999999998E-4</v>
      </c>
      <c r="AO23" s="401">
        <f t="shared" si="14"/>
        <v>8.9999999999999998E-4</v>
      </c>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row>
    <row r="24" spans="1:76" x14ac:dyDescent="0.2">
      <c r="A24" s="14" t="str">
        <f>'4   Earthwork'!B66</f>
        <v>Haul cover soil</v>
      </c>
      <c r="B24" s="14" t="str">
        <f>'4   Earthwork'!C66</f>
        <v>NOBS</v>
      </c>
      <c r="C24" s="14" t="str">
        <f>'4   Earthwork'!D66</f>
        <v>Tailing Pipeline Corridor</v>
      </c>
      <c r="D24" s="356" t="str">
        <f>'3   Material'!G66</f>
        <v>777F</v>
      </c>
      <c r="E24" s="372">
        <f>'4   Earthwork'!I66</f>
        <v>6998.64</v>
      </c>
      <c r="F24" s="366">
        <f t="shared" si="0"/>
        <v>12.156146740553433</v>
      </c>
      <c r="G24" s="362">
        <f>IF(E24=0,0,Optimum!$AC22)</f>
        <v>4</v>
      </c>
      <c r="H24" s="372">
        <f>AI24*L24*'10   Loader'!F21*G24/F24</f>
        <v>1151.6807339364696</v>
      </c>
      <c r="I24" s="375">
        <f>IF(E24=0,0,IF(E24/H24&lt;'10   Loader'!$I21,'10   Loader'!$I21,E24/H24))</f>
        <v>6.4987371428571432</v>
      </c>
      <c r="J24" s="373">
        <v>54.6</v>
      </c>
      <c r="K24" s="373">
        <v>78.599999999999994</v>
      </c>
      <c r="L24" s="375">
        <f>IF(TRUNC(J24/'10   Loader'!F21)&lt;TRUNC(K24/'10   Loader'!F21),TRUNC(K24/'10   Loader'!F21),TRUNC(J24/'10   Loader'!F21))</f>
        <v>5</v>
      </c>
      <c r="M24" s="362">
        <f t="shared" si="1"/>
        <v>7193</v>
      </c>
      <c r="N24" s="406">
        <v>2310</v>
      </c>
      <c r="O24" s="406">
        <v>1940</v>
      </c>
      <c r="P24" s="406">
        <v>2943</v>
      </c>
      <c r="Q24" s="407">
        <v>-8.8700000000000001E-2</v>
      </c>
      <c r="R24" s="407">
        <v>1.55E-2</v>
      </c>
      <c r="S24" s="407">
        <v>3.5700000000000003E-2</v>
      </c>
      <c r="T24" s="405">
        <v>2.5000000000000001E-2</v>
      </c>
      <c r="U24" s="361">
        <f t="shared" si="2"/>
        <v>704.08800000000008</v>
      </c>
      <c r="V24" s="361">
        <f t="shared" si="3"/>
        <v>591.31200000000001</v>
      </c>
      <c r="W24" s="361">
        <f t="shared" si="4"/>
        <v>897.02640000000008</v>
      </c>
      <c r="X24" s="408">
        <f t="shared" si="5"/>
        <v>0</v>
      </c>
      <c r="Y24" s="408">
        <f t="shared" si="6"/>
        <v>4.0500000000000001E-2</v>
      </c>
      <c r="Z24" s="408">
        <f t="shared" si="7"/>
        <v>6.0700000000000004E-2</v>
      </c>
      <c r="AA24" s="408">
        <f t="shared" si="8"/>
        <v>0.1137</v>
      </c>
      <c r="AB24" s="408">
        <f t="shared" si="9"/>
        <v>9.5000000000000015E-3</v>
      </c>
      <c r="AC24" s="408">
        <f t="shared" si="10"/>
        <v>0</v>
      </c>
      <c r="AD24" s="373">
        <f>(AJ24*U24+AK24*V24+W24*AL24)</f>
        <v>4.1519668593842862</v>
      </c>
      <c r="AE24" s="373">
        <f>(AM24*U24+AN24*V24+W24*AO24)</f>
        <v>2.9541798811691478</v>
      </c>
      <c r="AF24" s="373">
        <f>'10   Loader'!G21*L24</f>
        <v>3.25</v>
      </c>
      <c r="AG24" s="390">
        <v>0.7</v>
      </c>
      <c r="AH24" s="390">
        <v>1.1000000000000001</v>
      </c>
      <c r="AI24" s="379">
        <v>50</v>
      </c>
      <c r="AJ24" s="401">
        <f t="shared" si="13"/>
        <v>8.9999999999999998E-4</v>
      </c>
      <c r="AK24" s="401">
        <f t="shared" si="13"/>
        <v>1.8613841146874999E-3</v>
      </c>
      <c r="AL24" s="401">
        <f t="shared" si="13"/>
        <v>2.6951591344025003E-3</v>
      </c>
      <c r="AM24" s="401">
        <f t="shared" si="14"/>
        <v>2.3127999712726425E-3</v>
      </c>
      <c r="AN24" s="401">
        <f t="shared" si="14"/>
        <v>8.7676457605415624E-4</v>
      </c>
      <c r="AO24" s="401">
        <f t="shared" si="14"/>
        <v>8.9999999999999998E-4</v>
      </c>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1:76" x14ac:dyDescent="0.2">
      <c r="A25" s="14" t="str">
        <f>'4   Earthwork'!B67</f>
        <v>Haul cover soil</v>
      </c>
      <c r="B25" s="14" t="str">
        <f>'4   Earthwork'!C67</f>
        <v>NOBS</v>
      </c>
      <c r="C25" s="14" t="str">
        <f>'4   Earthwork'!D67</f>
        <v>Grape Gulch Pond #3</v>
      </c>
      <c r="D25" s="356" t="str">
        <f>'3   Material'!G67</f>
        <v>777F</v>
      </c>
      <c r="E25" s="372">
        <f>'4   Earthwork'!I67</f>
        <v>1839.1999999999998</v>
      </c>
      <c r="F25" s="366">
        <f t="shared" si="0"/>
        <v>8.7023441110985846</v>
      </c>
      <c r="G25" s="362">
        <f>IF(E25=0,0,Optimum!$AC23)</f>
        <v>3</v>
      </c>
      <c r="H25" s="372">
        <f>AI25*L25*'10   Loader'!F22*G25/F25</f>
        <v>1206.5714554551762</v>
      </c>
      <c r="I25" s="375">
        <f>IF(E25=0,0,IF(E25/H25&lt;'10   Loader'!$I22,'10   Loader'!$I22,E25/H25))</f>
        <v>1.7078285714285713</v>
      </c>
      <c r="J25" s="373">
        <v>54.6</v>
      </c>
      <c r="K25" s="373">
        <v>78.599999999999994</v>
      </c>
      <c r="L25" s="375">
        <f>IF(TRUNC(J25/'10   Loader'!F22)&lt;TRUNC(K25/'10   Loader'!F22),TRUNC(K25/'10   Loader'!F22),TRUNC(J25/'10   Loader'!F22))</f>
        <v>5</v>
      </c>
      <c r="M25" s="362">
        <f t="shared" ref="M25:M30" si="33">SUM(N25:P25)</f>
        <v>3856</v>
      </c>
      <c r="N25" s="362">
        <v>2310</v>
      </c>
      <c r="O25" s="362">
        <v>1546</v>
      </c>
      <c r="P25" s="362" t="s">
        <v>26</v>
      </c>
      <c r="Q25" s="399">
        <v>-8.8700000000000001E-2</v>
      </c>
      <c r="R25" s="399">
        <v>-7.7600000000000002E-2</v>
      </c>
      <c r="S25" s="409" t="s">
        <v>26</v>
      </c>
      <c r="T25" s="405">
        <v>2.5000000000000001E-2</v>
      </c>
      <c r="U25" s="361">
        <f t="shared" si="2"/>
        <v>704.08800000000008</v>
      </c>
      <c r="V25" s="361">
        <f t="shared" si="3"/>
        <v>471.2208</v>
      </c>
      <c r="W25" s="361">
        <f t="shared" si="4"/>
        <v>0</v>
      </c>
      <c r="X25" s="408">
        <f t="shared" si="5"/>
        <v>0</v>
      </c>
      <c r="Y25" s="408">
        <f t="shared" si="6"/>
        <v>0</v>
      </c>
      <c r="Z25" s="408">
        <f t="shared" si="7"/>
        <v>0</v>
      </c>
      <c r="AA25" s="408">
        <f t="shared" si="8"/>
        <v>0.1137</v>
      </c>
      <c r="AB25" s="408">
        <f t="shared" si="9"/>
        <v>0.1026</v>
      </c>
      <c r="AC25" s="408">
        <f t="shared" si="10"/>
        <v>0</v>
      </c>
      <c r="AD25" s="373">
        <f t="shared" ref="AD25:AD29" si="34">(AJ25*U25+AK25*V25+W25*AL25)</f>
        <v>1.0577779200000001</v>
      </c>
      <c r="AE25" s="373">
        <f t="shared" ref="AE25:AE29" si="35">(AM25*U25+AN25*V25+W25*AO25)</f>
        <v>2.5945661910985836</v>
      </c>
      <c r="AF25" s="373">
        <f>'10   Loader'!G22*L25</f>
        <v>3.25</v>
      </c>
      <c r="AG25" s="390">
        <v>0.7</v>
      </c>
      <c r="AH25" s="390">
        <v>1.1000000000000001</v>
      </c>
      <c r="AI25" s="379">
        <v>50</v>
      </c>
      <c r="AJ25" s="401">
        <f t="shared" si="13"/>
        <v>8.9999999999999998E-4</v>
      </c>
      <c r="AK25" s="401">
        <f t="shared" si="13"/>
        <v>8.9999999999999998E-4</v>
      </c>
      <c r="AL25" s="401">
        <f t="shared" si="13"/>
        <v>8.9999999999999998E-4</v>
      </c>
      <c r="AM25" s="401">
        <f t="shared" si="14"/>
        <v>2.3127999712726425E-3</v>
      </c>
      <c r="AN25" s="401">
        <f t="shared" si="14"/>
        <v>2.0503158708723621E-3</v>
      </c>
      <c r="AO25" s="401">
        <f t="shared" si="14"/>
        <v>8.9999999999999998E-4</v>
      </c>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1:76" x14ac:dyDescent="0.2">
      <c r="A26" s="14" t="str">
        <f>'4   Earthwork'!B68</f>
        <v>Haul cover soil</v>
      </c>
      <c r="B26" s="14" t="str">
        <f>'4   Earthwork'!C68</f>
        <v>NOBS</v>
      </c>
      <c r="C26" s="14" t="str">
        <f>'4   Earthwork'!D68</f>
        <v>Magnetite Seepage Pond</v>
      </c>
      <c r="D26" s="356" t="str">
        <f>'3   Material'!G68</f>
        <v>777F</v>
      </c>
      <c r="E26" s="372">
        <f>'4   Earthwork'!I68</f>
        <v>968</v>
      </c>
      <c r="F26" s="366">
        <f t="shared" si="0"/>
        <v>10.415835562589086</v>
      </c>
      <c r="G26" s="362">
        <f>IF(E26=0,0,Optimum!$AC24)</f>
        <v>3</v>
      </c>
      <c r="H26" s="372">
        <f>AI26*L26*'10   Loader'!F23*G26/F26</f>
        <v>1008.0804306966222</v>
      </c>
      <c r="I26" s="375">
        <f>IF(E26=0,0,IF(E26/H26&lt;'10   Loader'!$I23,'10   Loader'!$I23,E26/H26))</f>
        <v>0.96024084043678426</v>
      </c>
      <c r="J26" s="373">
        <v>54.6</v>
      </c>
      <c r="K26" s="373">
        <v>78.599999999999994</v>
      </c>
      <c r="L26" s="375">
        <f>IF(TRUNC(J26/'10   Loader'!F23)&lt;TRUNC(K26/'10   Loader'!F23),TRUNC(K26/'10   Loader'!F23),TRUNC(J26/'10   Loader'!F23))</f>
        <v>5</v>
      </c>
      <c r="M26" s="362">
        <f t="shared" si="33"/>
        <v>6480</v>
      </c>
      <c r="N26" s="362">
        <v>2310</v>
      </c>
      <c r="O26" s="362">
        <v>1940</v>
      </c>
      <c r="P26" s="362">
        <v>2230</v>
      </c>
      <c r="Q26" s="399">
        <v>-8.8700000000000001E-2</v>
      </c>
      <c r="R26" s="399">
        <v>1.55E-2</v>
      </c>
      <c r="S26" s="399">
        <v>-4.0399999999999998E-2</v>
      </c>
      <c r="T26" s="405">
        <v>2.5000000000000001E-2</v>
      </c>
      <c r="U26" s="361">
        <f t="shared" si="2"/>
        <v>704.08800000000008</v>
      </c>
      <c r="V26" s="361">
        <f t="shared" si="3"/>
        <v>591.31200000000001</v>
      </c>
      <c r="W26" s="361">
        <f t="shared" si="4"/>
        <v>679.70400000000006</v>
      </c>
      <c r="X26" s="408">
        <f t="shared" si="5"/>
        <v>0</v>
      </c>
      <c r="Y26" s="408">
        <f t="shared" si="6"/>
        <v>4.0500000000000001E-2</v>
      </c>
      <c r="Z26" s="408">
        <f t="shared" si="7"/>
        <v>0</v>
      </c>
      <c r="AA26" s="408">
        <f t="shared" si="8"/>
        <v>0.1137</v>
      </c>
      <c r="AB26" s="408">
        <f t="shared" si="9"/>
        <v>9.5000000000000015E-3</v>
      </c>
      <c r="AC26" s="408">
        <f t="shared" si="10"/>
        <v>6.54E-2</v>
      </c>
      <c r="AD26" s="373">
        <f t="shared" si="34"/>
        <v>2.3460715636240952</v>
      </c>
      <c r="AE26" s="373">
        <f t="shared" si="35"/>
        <v>3.0197639989649927</v>
      </c>
      <c r="AF26" s="373">
        <f>'10   Loader'!G23*L26</f>
        <v>3.25</v>
      </c>
      <c r="AG26" s="390">
        <v>0.7</v>
      </c>
      <c r="AH26" s="390">
        <v>1.1000000000000001</v>
      </c>
      <c r="AI26" s="379">
        <v>50</v>
      </c>
      <c r="AJ26" s="401">
        <f t="shared" si="13"/>
        <v>8.9999999999999998E-4</v>
      </c>
      <c r="AK26" s="401">
        <f t="shared" si="13"/>
        <v>1.8613841146874999E-3</v>
      </c>
      <c r="AL26" s="401">
        <f t="shared" si="13"/>
        <v>8.9999999999999998E-4</v>
      </c>
      <c r="AM26" s="401">
        <f t="shared" si="14"/>
        <v>2.3127999712726425E-3</v>
      </c>
      <c r="AN26" s="401">
        <f t="shared" si="14"/>
        <v>8.7676457605415624E-4</v>
      </c>
      <c r="AO26" s="401">
        <f t="shared" si="14"/>
        <v>1.2842470807819945E-3</v>
      </c>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x14ac:dyDescent="0.2">
      <c r="A27" s="14" t="str">
        <f>'4   Earthwork'!B69</f>
        <v>Haul cover soil</v>
      </c>
      <c r="B27" s="14" t="str">
        <f>'4   Earthwork'!C69</f>
        <v>OB Stockpile 1 through 3, Topsoil Stockpile, South OB Stockpile</v>
      </c>
      <c r="C27" s="14" t="str">
        <f>'4   Earthwork'!D69</f>
        <v>SWRF Dam 1</v>
      </c>
      <c r="D27" s="356" t="str">
        <f>'3   Material'!G69</f>
        <v>777F</v>
      </c>
      <c r="E27" s="372">
        <f>'4   Earthwork'!I69</f>
        <v>2516.7999999999997</v>
      </c>
      <c r="F27" s="366">
        <f t="shared" si="0"/>
        <v>7.4655898274440275</v>
      </c>
      <c r="G27" s="362">
        <f>IF(E27=0,0,Optimum!$AC25)</f>
        <v>2</v>
      </c>
      <c r="H27" s="372">
        <f>AI27*L27*'10   Loader'!F24*G27/F27</f>
        <v>937.63522531970796</v>
      </c>
      <c r="I27" s="375">
        <f>IF(E27=0,0,IF(E27/H27&lt;'10   Loader'!$I24,'10   Loader'!$I24,E27/H27))</f>
        <v>2.6841994968158751</v>
      </c>
      <c r="J27" s="373">
        <v>54.6</v>
      </c>
      <c r="K27" s="373">
        <v>78.599999999999994</v>
      </c>
      <c r="L27" s="375">
        <f>IF(TRUNC(J27/'10   Loader'!F24)&lt;TRUNC(K27/'10   Loader'!F24),TRUNC(K27/'10   Loader'!F24),TRUNC(J27/'10   Loader'!F24))</f>
        <v>5</v>
      </c>
      <c r="M27" s="362">
        <f t="shared" si="33"/>
        <v>3630</v>
      </c>
      <c r="N27" s="362">
        <v>3630</v>
      </c>
      <c r="O27" s="402" t="s">
        <v>26</v>
      </c>
      <c r="P27" s="402" t="s">
        <v>26</v>
      </c>
      <c r="Q27" s="404">
        <v>-2.8E-3</v>
      </c>
      <c r="R27" s="404" t="s">
        <v>26</v>
      </c>
      <c r="S27" s="403" t="s">
        <v>26</v>
      </c>
      <c r="T27" s="405">
        <v>2.5000000000000001E-2</v>
      </c>
      <c r="U27" s="361">
        <f t="shared" si="2"/>
        <v>1106.424</v>
      </c>
      <c r="V27" s="361">
        <f t="shared" si="3"/>
        <v>0</v>
      </c>
      <c r="W27" s="361">
        <f t="shared" si="4"/>
        <v>0</v>
      </c>
      <c r="X27" s="408">
        <f t="shared" si="5"/>
        <v>2.2200000000000001E-2</v>
      </c>
      <c r="Y27" s="408">
        <f t="shared" si="6"/>
        <v>0</v>
      </c>
      <c r="Z27" s="408">
        <f t="shared" si="7"/>
        <v>0</v>
      </c>
      <c r="AA27" s="408">
        <f t="shared" si="8"/>
        <v>2.7800000000000002E-2</v>
      </c>
      <c r="AB27" s="408">
        <f t="shared" si="9"/>
        <v>0</v>
      </c>
      <c r="AC27" s="408">
        <f t="shared" si="10"/>
        <v>0</v>
      </c>
      <c r="AD27" s="373">
        <f t="shared" si="34"/>
        <v>1.4198560114398897</v>
      </c>
      <c r="AE27" s="373">
        <f t="shared" si="35"/>
        <v>0.99573381600413757</v>
      </c>
      <c r="AF27" s="373">
        <f>'10   Loader'!G24*L27</f>
        <v>3.25</v>
      </c>
      <c r="AG27" s="390">
        <v>0.7</v>
      </c>
      <c r="AH27" s="390">
        <v>1.1000000000000001</v>
      </c>
      <c r="AI27" s="379">
        <v>50</v>
      </c>
      <c r="AJ27" s="401">
        <f t="shared" si="13"/>
        <v>1.2832838147399999E-3</v>
      </c>
      <c r="AK27" s="401">
        <f t="shared" si="13"/>
        <v>8.9999999999999998E-4</v>
      </c>
      <c r="AL27" s="401">
        <f t="shared" si="13"/>
        <v>8.9999999999999998E-4</v>
      </c>
      <c r="AM27" s="401">
        <f t="shared" si="14"/>
        <v>8.9995681222039439E-4</v>
      </c>
      <c r="AN27" s="401">
        <f t="shared" si="14"/>
        <v>8.9999999999999998E-4</v>
      </c>
      <c r="AO27" s="401">
        <f t="shared" si="14"/>
        <v>8.9999999999999998E-4</v>
      </c>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x14ac:dyDescent="0.2">
      <c r="A28" s="14" t="str">
        <f>'4   Earthwork'!B70</f>
        <v>Haul cover soil</v>
      </c>
      <c r="B28" s="14" t="str">
        <f>'4   Earthwork'!C70</f>
        <v>OB Stockpile 1 through 3, Topsoil Stockpile, South OB Stockpile</v>
      </c>
      <c r="C28" s="14" t="str">
        <f>'4   Earthwork'!D70</f>
        <v>SWRF Dam 2</v>
      </c>
      <c r="D28" s="356" t="str">
        <f>'3   Material'!G70</f>
        <v>777F</v>
      </c>
      <c r="E28" s="372">
        <f>'4   Earthwork'!I70</f>
        <v>1645.6000000000001</v>
      </c>
      <c r="F28" s="366">
        <f t="shared" si="0"/>
        <v>7.4655898274440275</v>
      </c>
      <c r="G28" s="362">
        <f>IF(E28=0,0,Optimum!$AC26)</f>
        <v>2</v>
      </c>
      <c r="H28" s="372">
        <f>AI28*L28*'10   Loader'!F25*G28/F28</f>
        <v>937.63522531970796</v>
      </c>
      <c r="I28" s="375">
        <f>IF(E28=0,0,IF(E28/H28&lt;'10   Loader'!$I25,'10   Loader'!$I25,E28/H28))</f>
        <v>1.7550535171488417</v>
      </c>
      <c r="J28" s="373">
        <v>54.6</v>
      </c>
      <c r="K28" s="373">
        <v>78.599999999999994</v>
      </c>
      <c r="L28" s="375">
        <f>IF(TRUNC(J28/'10   Loader'!F25)&lt;TRUNC(K28/'10   Loader'!F25),TRUNC(K28/'10   Loader'!F25),TRUNC(J28/'10   Loader'!F25))</f>
        <v>5</v>
      </c>
      <c r="M28" s="362">
        <f t="shared" si="33"/>
        <v>3630</v>
      </c>
      <c r="N28" s="362">
        <v>3630</v>
      </c>
      <c r="O28" s="402" t="s">
        <v>26</v>
      </c>
      <c r="P28" s="402" t="s">
        <v>26</v>
      </c>
      <c r="Q28" s="404">
        <v>-2.8E-3</v>
      </c>
      <c r="R28" s="404" t="s">
        <v>26</v>
      </c>
      <c r="S28" s="403" t="s">
        <v>26</v>
      </c>
      <c r="T28" s="405">
        <v>2.5000000000000001E-2</v>
      </c>
      <c r="U28" s="361">
        <f t="shared" si="2"/>
        <v>1106.424</v>
      </c>
      <c r="V28" s="361">
        <f t="shared" si="3"/>
        <v>0</v>
      </c>
      <c r="W28" s="361">
        <f t="shared" si="4"/>
        <v>0</v>
      </c>
      <c r="X28" s="408">
        <f t="shared" si="5"/>
        <v>2.2200000000000001E-2</v>
      </c>
      <c r="Y28" s="408">
        <f t="shared" si="6"/>
        <v>0</v>
      </c>
      <c r="Z28" s="408">
        <f t="shared" si="7"/>
        <v>0</v>
      </c>
      <c r="AA28" s="408">
        <f t="shared" si="8"/>
        <v>2.7800000000000002E-2</v>
      </c>
      <c r="AB28" s="408">
        <f t="shared" si="9"/>
        <v>0</v>
      </c>
      <c r="AC28" s="408">
        <f t="shared" si="10"/>
        <v>0</v>
      </c>
      <c r="AD28" s="373">
        <f t="shared" si="34"/>
        <v>1.4198560114398897</v>
      </c>
      <c r="AE28" s="373">
        <f t="shared" si="35"/>
        <v>0.99573381600413757</v>
      </c>
      <c r="AF28" s="373">
        <f>'10   Loader'!G25*L28</f>
        <v>3.25</v>
      </c>
      <c r="AG28" s="390">
        <v>0.7</v>
      </c>
      <c r="AH28" s="390">
        <v>1.1000000000000001</v>
      </c>
      <c r="AI28" s="379">
        <v>50</v>
      </c>
      <c r="AJ28" s="401">
        <f t="shared" si="13"/>
        <v>1.2832838147399999E-3</v>
      </c>
      <c r="AK28" s="401">
        <f t="shared" si="13"/>
        <v>8.9999999999999998E-4</v>
      </c>
      <c r="AL28" s="401">
        <f t="shared" si="13"/>
        <v>8.9999999999999998E-4</v>
      </c>
      <c r="AM28" s="401">
        <f t="shared" si="14"/>
        <v>8.9995681222039439E-4</v>
      </c>
      <c r="AN28" s="401">
        <f t="shared" si="14"/>
        <v>8.9999999999999998E-4</v>
      </c>
      <c r="AO28" s="401">
        <f t="shared" si="14"/>
        <v>8.9999999999999998E-4</v>
      </c>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x14ac:dyDescent="0.2">
      <c r="A29" s="14" t="str">
        <f>'4   Earthwork'!B71</f>
        <v>Haul cover soil</v>
      </c>
      <c r="B29" s="14" t="str">
        <f>'4   Earthwork'!C71</f>
        <v>OB Stockpile 1 through 3, Topsoil Stockpile, South OB Stockpile</v>
      </c>
      <c r="C29" s="14" t="str">
        <f>'4   Earthwork'!D71</f>
        <v>SWRF Dam 3</v>
      </c>
      <c r="D29" s="356" t="str">
        <f>'3   Material'!G71</f>
        <v>777F</v>
      </c>
      <c r="E29" s="372">
        <f>'4   Earthwork'!I71</f>
        <v>4065.6</v>
      </c>
      <c r="F29" s="366">
        <f t="shared" si="0"/>
        <v>7.4655898274440275</v>
      </c>
      <c r="G29" s="362">
        <f>IF(E29=0,0,Optimum!$AC27)</f>
        <v>2</v>
      </c>
      <c r="H29" s="372">
        <f>AI29*L29*'10   Loader'!F26*G29/F29</f>
        <v>937.63522531970796</v>
      </c>
      <c r="I29" s="375">
        <f>IF(E29=0,0,IF(E29/H29&lt;'10   Loader'!$I26,'10   Loader'!$I26,E29/H29))</f>
        <v>4.3360145717794909</v>
      </c>
      <c r="J29" s="373">
        <v>54.6</v>
      </c>
      <c r="K29" s="373">
        <v>78.599999999999994</v>
      </c>
      <c r="L29" s="375">
        <f>IF(TRUNC(J29/'10   Loader'!F26)&lt;TRUNC(K29/'10   Loader'!F26),TRUNC(K29/'10   Loader'!F26),TRUNC(J29/'10   Loader'!F26))</f>
        <v>5</v>
      </c>
      <c r="M29" s="362">
        <f t="shared" si="33"/>
        <v>3630</v>
      </c>
      <c r="N29" s="362">
        <v>3630</v>
      </c>
      <c r="O29" s="402" t="s">
        <v>26</v>
      </c>
      <c r="P29" s="402" t="s">
        <v>26</v>
      </c>
      <c r="Q29" s="399">
        <v>-2.8E-3</v>
      </c>
      <c r="R29" s="404" t="s">
        <v>26</v>
      </c>
      <c r="S29" s="403" t="s">
        <v>26</v>
      </c>
      <c r="T29" s="405">
        <v>2.5000000000000001E-2</v>
      </c>
      <c r="U29" s="361">
        <f t="shared" si="2"/>
        <v>1106.424</v>
      </c>
      <c r="V29" s="361">
        <f t="shared" si="3"/>
        <v>0</v>
      </c>
      <c r="W29" s="361">
        <f t="shared" si="4"/>
        <v>0</v>
      </c>
      <c r="X29" s="408">
        <f t="shared" si="5"/>
        <v>2.2200000000000001E-2</v>
      </c>
      <c r="Y29" s="408">
        <f t="shared" si="6"/>
        <v>0</v>
      </c>
      <c r="Z29" s="408">
        <f t="shared" si="7"/>
        <v>0</v>
      </c>
      <c r="AA29" s="408">
        <f t="shared" si="8"/>
        <v>2.7800000000000002E-2</v>
      </c>
      <c r="AB29" s="408">
        <f t="shared" si="9"/>
        <v>0</v>
      </c>
      <c r="AC29" s="408">
        <f t="shared" si="10"/>
        <v>0</v>
      </c>
      <c r="AD29" s="373">
        <f t="shared" si="34"/>
        <v>1.4198560114398897</v>
      </c>
      <c r="AE29" s="373">
        <f t="shared" si="35"/>
        <v>0.99573381600413757</v>
      </c>
      <c r="AF29" s="373">
        <f>'10   Loader'!G26*L29</f>
        <v>3.25</v>
      </c>
      <c r="AG29" s="390">
        <v>0.7</v>
      </c>
      <c r="AH29" s="390">
        <v>1.1000000000000001</v>
      </c>
      <c r="AI29" s="379">
        <v>50</v>
      </c>
      <c r="AJ29" s="401">
        <f t="shared" si="13"/>
        <v>1.2832838147399999E-3</v>
      </c>
      <c r="AK29" s="401">
        <f t="shared" si="13"/>
        <v>8.9999999999999998E-4</v>
      </c>
      <c r="AL29" s="401">
        <f t="shared" si="13"/>
        <v>8.9999999999999998E-4</v>
      </c>
      <c r="AM29" s="401">
        <f t="shared" si="14"/>
        <v>8.9995681222039439E-4</v>
      </c>
      <c r="AN29" s="401">
        <f t="shared" si="14"/>
        <v>8.9999999999999998E-4</v>
      </c>
      <c r="AO29" s="401">
        <f t="shared" si="14"/>
        <v>8.9999999999999998E-4</v>
      </c>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x14ac:dyDescent="0.2">
      <c r="A30" s="14" t="str">
        <f>'4   Earthwork'!B72</f>
        <v>Haul cover soil</v>
      </c>
      <c r="B30" s="14" t="str">
        <f>'4   Earthwork'!C72</f>
        <v>OB-4 Stockpile</v>
      </c>
      <c r="C30" s="14" t="str">
        <f>'4   Earthwork'!D72</f>
        <v>North Tailings Decant Pond</v>
      </c>
      <c r="D30" s="356" t="str">
        <f>'3   Material'!G72</f>
        <v>777F</v>
      </c>
      <c r="E30" s="372">
        <f>'4   Earthwork'!I72</f>
        <v>2226.4</v>
      </c>
      <c r="F30" s="366">
        <f t="shared" si="0"/>
        <v>6.004843150000001</v>
      </c>
      <c r="G30" s="362">
        <f>IF(E30=0,0,Optimum!$AC28)</f>
        <v>2</v>
      </c>
      <c r="H30" s="372">
        <f>AI30*L30*'10   Loader'!F27*G30/F30</f>
        <v>1165.7257025939134</v>
      </c>
      <c r="I30" s="375">
        <f>IF(E30=0,0,IF(E30/H30&lt;'10   Loader'!$I27,'10   Loader'!$I27,E30/H30))</f>
        <v>2.0673714285714286</v>
      </c>
      <c r="J30" s="373">
        <v>54.6</v>
      </c>
      <c r="K30" s="373">
        <v>78.599999999999994</v>
      </c>
      <c r="L30" s="375">
        <f>IF(TRUNC(J30/'10   Loader'!F27)&lt;TRUNC(K30/'10   Loader'!F27),TRUNC(K30/'10   Loader'!F27),TRUNC(J30/'10   Loader'!F27))</f>
        <v>5</v>
      </c>
      <c r="M30" s="362">
        <f t="shared" si="33"/>
        <v>1000</v>
      </c>
      <c r="N30" s="377">
        <v>1000</v>
      </c>
      <c r="O30" s="386" t="s">
        <v>26</v>
      </c>
      <c r="P30" s="386" t="s">
        <v>26</v>
      </c>
      <c r="Q30" s="399">
        <v>2.5000000000000001E-2</v>
      </c>
      <c r="R30" s="404" t="s">
        <v>26</v>
      </c>
      <c r="S30" s="403" t="s">
        <v>26</v>
      </c>
      <c r="T30" s="405">
        <v>2.5000000000000001E-2</v>
      </c>
      <c r="U30" s="361">
        <f t="shared" si="2"/>
        <v>304.8</v>
      </c>
      <c r="V30" s="361">
        <f t="shared" si="3"/>
        <v>0</v>
      </c>
      <c r="W30" s="361">
        <f t="shared" si="4"/>
        <v>0</v>
      </c>
      <c r="X30" s="408">
        <f t="shared" si="5"/>
        <v>0.05</v>
      </c>
      <c r="Y30" s="408">
        <f t="shared" si="6"/>
        <v>0</v>
      </c>
      <c r="Z30" s="408">
        <f t="shared" si="7"/>
        <v>0</v>
      </c>
      <c r="AA30" s="408">
        <f t="shared" si="8"/>
        <v>0</v>
      </c>
      <c r="AB30" s="408">
        <f t="shared" si="9"/>
        <v>0</v>
      </c>
      <c r="AC30" s="408">
        <f t="shared" si="10"/>
        <v>0</v>
      </c>
      <c r="AD30" s="373">
        <f>(AJ30*U30+AK30*V30+W30*AL30)</f>
        <v>0.68052315000000008</v>
      </c>
      <c r="AE30" s="373">
        <f>(AM30*U30+AN30*V30+W30*AO30)</f>
        <v>0.27432000000000001</v>
      </c>
      <c r="AF30" s="373">
        <f>'10   Loader'!G27*L30</f>
        <v>3.25</v>
      </c>
      <c r="AG30" s="390">
        <v>0.7</v>
      </c>
      <c r="AH30" s="390">
        <v>1.1000000000000001</v>
      </c>
      <c r="AI30" s="379">
        <v>50</v>
      </c>
      <c r="AJ30" s="401">
        <f t="shared" si="13"/>
        <v>2.2326875000000003E-3</v>
      </c>
      <c r="AK30" s="401">
        <f t="shared" si="13"/>
        <v>8.9999999999999998E-4</v>
      </c>
      <c r="AL30" s="401">
        <f t="shared" si="13"/>
        <v>8.9999999999999998E-4</v>
      </c>
      <c r="AM30" s="401">
        <f t="shared" si="14"/>
        <v>8.9999999999999998E-4</v>
      </c>
      <c r="AN30" s="401">
        <f t="shared" si="14"/>
        <v>8.9999999999999998E-4</v>
      </c>
      <c r="AO30" s="401">
        <f t="shared" si="14"/>
        <v>8.9999999999999998E-4</v>
      </c>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x14ac:dyDescent="0.2">
      <c r="A31" s="14" t="str">
        <f>'4   Earthwork'!B73</f>
        <v>Haul cover soil</v>
      </c>
      <c r="B31" s="14" t="str">
        <f>'4   Earthwork'!C73</f>
        <v>OB-4 Stockpile</v>
      </c>
      <c r="C31" s="14" t="str">
        <f>'4   Earthwork'!D73</f>
        <v>East WRF Containment</v>
      </c>
      <c r="D31" s="356" t="str">
        <f>'3   Material'!G73</f>
        <v>777F</v>
      </c>
      <c r="E31" s="372">
        <f>'4   Earthwork'!I73</f>
        <v>2420</v>
      </c>
      <c r="F31" s="366">
        <f t="shared" si="0"/>
        <v>6.004843150000001</v>
      </c>
      <c r="G31" s="362">
        <f>IF(E31=0,0,Optimum!$AC29)</f>
        <v>2</v>
      </c>
      <c r="H31" s="372">
        <f>AI31*L31*'10   Loader'!F28*G31/F31</f>
        <v>1165.7257025939134</v>
      </c>
      <c r="I31" s="375">
        <f>IF(E31=0,0,IF(E31/H31&lt;'10   Loader'!$I28,'10   Loader'!$I28,E31/H31))</f>
        <v>2.2471428571428573</v>
      </c>
      <c r="J31" s="373">
        <v>54.6</v>
      </c>
      <c r="K31" s="373">
        <v>78.599999999999994</v>
      </c>
      <c r="L31" s="375">
        <f>IF(TRUNC(J31/'10   Loader'!F28)&lt;TRUNC(K31/'10   Loader'!F28),TRUNC(K31/'10   Loader'!F28),TRUNC(J31/'10   Loader'!F28))</f>
        <v>5</v>
      </c>
      <c r="M31" s="362">
        <f>SUM(N31:P31)</f>
        <v>1000</v>
      </c>
      <c r="N31" s="377">
        <v>1000</v>
      </c>
      <c r="O31" s="386" t="s">
        <v>26</v>
      </c>
      <c r="P31" s="386" t="s">
        <v>26</v>
      </c>
      <c r="Q31" s="399">
        <v>2.5000000000000001E-2</v>
      </c>
      <c r="R31" s="404" t="s">
        <v>26</v>
      </c>
      <c r="S31" s="403" t="s">
        <v>26</v>
      </c>
      <c r="T31" s="405">
        <v>2.5000000000000001E-2</v>
      </c>
      <c r="U31" s="361">
        <f t="shared" si="2"/>
        <v>304.8</v>
      </c>
      <c r="V31" s="361">
        <f t="shared" si="3"/>
        <v>0</v>
      </c>
      <c r="W31" s="361">
        <f t="shared" si="4"/>
        <v>0</v>
      </c>
      <c r="X31" s="408">
        <f t="shared" si="5"/>
        <v>0.05</v>
      </c>
      <c r="Y31" s="408">
        <f t="shared" si="6"/>
        <v>0</v>
      </c>
      <c r="Z31" s="408">
        <f t="shared" si="7"/>
        <v>0</v>
      </c>
      <c r="AA31" s="408">
        <f t="shared" si="8"/>
        <v>0</v>
      </c>
      <c r="AB31" s="408">
        <f t="shared" si="9"/>
        <v>0</v>
      </c>
      <c r="AC31" s="408">
        <f t="shared" si="10"/>
        <v>0</v>
      </c>
      <c r="AD31" s="373">
        <f>(AJ31*U31+AK31*V31+W31*AL31)</f>
        <v>0.68052315000000008</v>
      </c>
      <c r="AE31" s="373">
        <f>(AM31*U31+AN31*V31+W31*AO31)</f>
        <v>0.27432000000000001</v>
      </c>
      <c r="AF31" s="373">
        <f>'10   Loader'!G28*L31</f>
        <v>3.25</v>
      </c>
      <c r="AG31" s="390">
        <v>0.7</v>
      </c>
      <c r="AH31" s="390">
        <v>1.1000000000000001</v>
      </c>
      <c r="AI31" s="379">
        <v>50</v>
      </c>
      <c r="AJ31" s="401">
        <f t="shared" si="13"/>
        <v>2.2326875000000003E-3</v>
      </c>
      <c r="AK31" s="401">
        <f t="shared" si="13"/>
        <v>8.9999999999999998E-4</v>
      </c>
      <c r="AL31" s="401">
        <f t="shared" si="13"/>
        <v>8.9999999999999998E-4</v>
      </c>
      <c r="AM31" s="401">
        <f t="shared" si="14"/>
        <v>8.9999999999999998E-4</v>
      </c>
      <c r="AN31" s="401">
        <f t="shared" si="14"/>
        <v>8.9999999999999998E-4</v>
      </c>
      <c r="AO31" s="401">
        <f t="shared" si="14"/>
        <v>8.9999999999999998E-4</v>
      </c>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x14ac:dyDescent="0.2">
      <c r="A32" s="14" t="str">
        <f>'4   Earthwork'!B74</f>
        <v>Haul cover soil</v>
      </c>
      <c r="B32" s="14" t="str">
        <f>'4   Earthwork'!C74</f>
        <v>NOBS</v>
      </c>
      <c r="C32" s="14" t="str">
        <f>'4   Earthwork'!D74</f>
        <v xml:space="preserve">Blackman's Seep (Pond #2) </v>
      </c>
      <c r="D32" s="356" t="str">
        <f>'3   Material'!G74</f>
        <v>777F</v>
      </c>
      <c r="E32" s="372">
        <f>'4   Earthwork'!I74</f>
        <v>48.4</v>
      </c>
      <c r="F32" s="366">
        <f t="shared" si="0"/>
        <v>8.7023441110985846</v>
      </c>
      <c r="G32" s="362">
        <f>IF(E32=0,0,Optimum!$AC30)</f>
        <v>3</v>
      </c>
      <c r="H32" s="372">
        <f>AI32*L32*'10   Loader'!F29*G32/F32</f>
        <v>1206.5714554551762</v>
      </c>
      <c r="I32" s="375">
        <f>IF(E32=0,0,IF(E32/H32&lt;'10   Loader'!$I29,'10   Loader'!$I29,E32/H32))</f>
        <v>4.4942857142857146E-2</v>
      </c>
      <c r="J32" s="373">
        <v>54.6</v>
      </c>
      <c r="K32" s="373">
        <v>78.599999999999994</v>
      </c>
      <c r="L32" s="375">
        <f>IF(TRUNC(J32/'10   Loader'!F29)&lt;TRUNC(K32/'10   Loader'!F29),TRUNC(K32/'10   Loader'!F29),TRUNC(J32/'10   Loader'!F29))</f>
        <v>5</v>
      </c>
      <c r="M32" s="362">
        <f>SUM(N32:P32)</f>
        <v>3856</v>
      </c>
      <c r="N32" s="362">
        <v>2310</v>
      </c>
      <c r="O32" s="362">
        <v>1546</v>
      </c>
      <c r="P32" s="362" t="s">
        <v>26</v>
      </c>
      <c r="Q32" s="399">
        <v>-8.8700000000000001E-2</v>
      </c>
      <c r="R32" s="399">
        <v>-7.7600000000000002E-2</v>
      </c>
      <c r="S32" s="409" t="s">
        <v>26</v>
      </c>
      <c r="T32" s="405">
        <v>2.5000000000000001E-2</v>
      </c>
      <c r="U32" s="361">
        <f t="shared" si="2"/>
        <v>704.08800000000008</v>
      </c>
      <c r="V32" s="361">
        <f t="shared" si="3"/>
        <v>471.2208</v>
      </c>
      <c r="W32" s="361">
        <f t="shared" si="4"/>
        <v>0</v>
      </c>
      <c r="X32" s="408">
        <f t="shared" si="5"/>
        <v>0</v>
      </c>
      <c r="Y32" s="408">
        <f t="shared" si="6"/>
        <v>0</v>
      </c>
      <c r="Z32" s="408">
        <f t="shared" si="7"/>
        <v>0</v>
      </c>
      <c r="AA32" s="408">
        <f t="shared" si="8"/>
        <v>0.1137</v>
      </c>
      <c r="AB32" s="408">
        <f t="shared" si="9"/>
        <v>0.1026</v>
      </c>
      <c r="AC32" s="408">
        <f t="shared" si="10"/>
        <v>0</v>
      </c>
      <c r="AD32" s="373">
        <f>(AJ32*U32+AK32*V32+W32*AL32)</f>
        <v>1.0577779200000001</v>
      </c>
      <c r="AE32" s="373">
        <f>(AM32*U32+AN32*V32+W32*AO32)</f>
        <v>2.5945661910985836</v>
      </c>
      <c r="AF32" s="373">
        <f>'10   Loader'!G29*L32</f>
        <v>3.25</v>
      </c>
      <c r="AG32" s="390">
        <v>0.7</v>
      </c>
      <c r="AH32" s="390">
        <v>1.1000000000000001</v>
      </c>
      <c r="AI32" s="379">
        <v>50</v>
      </c>
      <c r="AJ32" s="401">
        <f t="shared" si="13"/>
        <v>8.9999999999999998E-4</v>
      </c>
      <c r="AK32" s="401">
        <f t="shared" si="13"/>
        <v>8.9999999999999998E-4</v>
      </c>
      <c r="AL32" s="401">
        <f t="shared" si="13"/>
        <v>8.9999999999999998E-4</v>
      </c>
      <c r="AM32" s="401">
        <f t="shared" si="14"/>
        <v>2.3127999712726425E-3</v>
      </c>
      <c r="AN32" s="401">
        <f t="shared" si="14"/>
        <v>2.0503158708723621E-3</v>
      </c>
      <c r="AO32" s="401">
        <f t="shared" si="14"/>
        <v>8.9999999999999998E-4</v>
      </c>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x14ac:dyDescent="0.2">
      <c r="A33" s="14" t="str">
        <f>'4   Earthwork'!B75</f>
        <v>Haul cover soil</v>
      </c>
      <c r="B33" s="14" t="str">
        <f>'4   Earthwork'!C75</f>
        <v>OB-4 Stockpile</v>
      </c>
      <c r="C33" s="14" t="str">
        <f>'4   Earthwork'!D75</f>
        <v>Decant Pond #4</v>
      </c>
      <c r="D33" s="356" t="str">
        <f>'3   Material'!G75</f>
        <v>777F</v>
      </c>
      <c r="E33" s="372">
        <f>'4   Earthwork'!I75</f>
        <v>3000.8</v>
      </c>
      <c r="F33" s="366">
        <f t="shared" si="0"/>
        <v>6.004843150000001</v>
      </c>
      <c r="G33" s="362">
        <f>IF(E33=0,0,Optimum!$AC31)</f>
        <v>2</v>
      </c>
      <c r="H33" s="372">
        <f>AI33*L33*'10   Loader'!F30*G33/F33</f>
        <v>1165.7257025939134</v>
      </c>
      <c r="I33" s="375">
        <f>IF(E33=0,0,IF(E33/H33&lt;'10   Loader'!$I30,'10   Loader'!$I30,E33/H33))</f>
        <v>2.786457142857143</v>
      </c>
      <c r="J33" s="373">
        <v>54.6</v>
      </c>
      <c r="K33" s="373">
        <v>78.599999999999994</v>
      </c>
      <c r="L33" s="375">
        <f>IF(TRUNC(J33/'10   Loader'!F30)&lt;TRUNC(K33/'10   Loader'!F30),TRUNC(K33/'10   Loader'!F30),TRUNC(J33/'10   Loader'!F30))</f>
        <v>5</v>
      </c>
      <c r="M33" s="362">
        <f>SUM(N33:P33)</f>
        <v>1000</v>
      </c>
      <c r="N33" s="362">
        <v>1000</v>
      </c>
      <c r="O33" s="362" t="s">
        <v>26</v>
      </c>
      <c r="P33" s="362" t="s">
        <v>26</v>
      </c>
      <c r="Q33" s="399">
        <v>2.5000000000000001E-2</v>
      </c>
      <c r="R33" s="399" t="s">
        <v>26</v>
      </c>
      <c r="S33" s="409" t="s">
        <v>26</v>
      </c>
      <c r="T33" s="405">
        <v>2.5000000000000001E-2</v>
      </c>
      <c r="U33" s="361">
        <f t="shared" si="2"/>
        <v>304.8</v>
      </c>
      <c r="V33" s="361">
        <f t="shared" si="3"/>
        <v>0</v>
      </c>
      <c r="W33" s="361">
        <f t="shared" si="4"/>
        <v>0</v>
      </c>
      <c r="X33" s="408">
        <f t="shared" si="5"/>
        <v>0.05</v>
      </c>
      <c r="Y33" s="408">
        <f t="shared" si="6"/>
        <v>0</v>
      </c>
      <c r="Z33" s="408">
        <f t="shared" si="7"/>
        <v>0</v>
      </c>
      <c r="AA33" s="408">
        <f t="shared" si="8"/>
        <v>0</v>
      </c>
      <c r="AB33" s="408">
        <f t="shared" si="9"/>
        <v>0</v>
      </c>
      <c r="AC33" s="408">
        <f t="shared" si="10"/>
        <v>0</v>
      </c>
      <c r="AD33" s="373">
        <f>(AJ33*U33+AK33*V33+W33*AL33)</f>
        <v>0.68052315000000008</v>
      </c>
      <c r="AE33" s="373">
        <f>(AM33*U33+AN33*V33+W33*AO33)</f>
        <v>0.27432000000000001</v>
      </c>
      <c r="AF33" s="373">
        <f>'10   Loader'!G30*L33</f>
        <v>3.25</v>
      </c>
      <c r="AG33" s="390">
        <v>0.7</v>
      </c>
      <c r="AH33" s="390">
        <v>1.1000000000000001</v>
      </c>
      <c r="AI33" s="379">
        <v>50</v>
      </c>
      <c r="AJ33" s="401">
        <f t="shared" si="13"/>
        <v>2.2326875000000003E-3</v>
      </c>
      <c r="AK33" s="401">
        <f t="shared" si="13"/>
        <v>8.9999999999999998E-4</v>
      </c>
      <c r="AL33" s="401">
        <f t="shared" si="13"/>
        <v>8.9999999999999998E-4</v>
      </c>
      <c r="AM33" s="401">
        <f t="shared" si="14"/>
        <v>8.9999999999999998E-4</v>
      </c>
      <c r="AN33" s="401">
        <f t="shared" si="14"/>
        <v>8.9999999999999998E-4</v>
      </c>
      <c r="AO33" s="401">
        <f t="shared" si="14"/>
        <v>8.9999999999999998E-4</v>
      </c>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1:76" x14ac:dyDescent="0.2">
      <c r="A34" s="14" t="str">
        <f>'4   Earthwork'!B76</f>
        <v>Haul cover soil</v>
      </c>
      <c r="B34" s="14" t="str">
        <f>'4   Earthwork'!C76</f>
        <v>NOBS</v>
      </c>
      <c r="C34" s="14" t="str">
        <f>'4   Earthwork'!D76</f>
        <v xml:space="preserve">Upper Creek Containment Pond 1 </v>
      </c>
      <c r="D34" s="356" t="str">
        <f>'3   Material'!G76</f>
        <v>777F</v>
      </c>
      <c r="E34" s="372">
        <f>'4   Earthwork'!I76</f>
        <v>5469.1999999999989</v>
      </c>
      <c r="F34" s="366">
        <f t="shared" si="0"/>
        <v>8.7023441110985846</v>
      </c>
      <c r="G34" s="362">
        <f>IF(E34=0,0,Optimum!$AC32)</f>
        <v>3</v>
      </c>
      <c r="H34" s="372">
        <f>AI34*L34*'10   Loader'!F31*G34/F34</f>
        <v>1206.5714554551762</v>
      </c>
      <c r="I34" s="375">
        <f>IF(E34=0,0,IF(E34/H34&lt;'10   Loader'!$I31,'10   Loader'!$I31,E34/H34))</f>
        <v>5.0785428571428559</v>
      </c>
      <c r="J34" s="373">
        <v>54.6</v>
      </c>
      <c r="K34" s="373">
        <v>78.599999999999994</v>
      </c>
      <c r="L34" s="375">
        <f>IF(TRUNC(J34/'10   Loader'!F31)&lt;TRUNC(K34/'10   Loader'!F31),TRUNC(K34/'10   Loader'!F31),TRUNC(J34/'10   Loader'!F31))</f>
        <v>5</v>
      </c>
      <c r="M34" s="362">
        <f>SUM(N34:P34)</f>
        <v>3856</v>
      </c>
      <c r="N34" s="362">
        <v>2310</v>
      </c>
      <c r="O34" s="362">
        <v>1546</v>
      </c>
      <c r="P34" s="362" t="s">
        <v>26</v>
      </c>
      <c r="Q34" s="399">
        <v>-8.8700000000000001E-2</v>
      </c>
      <c r="R34" s="399">
        <v>-7.7600000000000002E-2</v>
      </c>
      <c r="S34" s="409" t="s">
        <v>26</v>
      </c>
      <c r="T34" s="405">
        <v>2.5000000000000001E-2</v>
      </c>
      <c r="U34" s="361">
        <f t="shared" si="2"/>
        <v>704.08800000000008</v>
      </c>
      <c r="V34" s="361">
        <f t="shared" si="3"/>
        <v>471.2208</v>
      </c>
      <c r="W34" s="361">
        <f t="shared" si="4"/>
        <v>0</v>
      </c>
      <c r="X34" s="408">
        <f t="shared" si="5"/>
        <v>0</v>
      </c>
      <c r="Y34" s="408">
        <f t="shared" si="6"/>
        <v>0</v>
      </c>
      <c r="Z34" s="408">
        <f t="shared" si="7"/>
        <v>0</v>
      </c>
      <c r="AA34" s="408">
        <f t="shared" si="8"/>
        <v>0.1137</v>
      </c>
      <c r="AB34" s="408">
        <f t="shared" si="9"/>
        <v>0.1026</v>
      </c>
      <c r="AC34" s="408">
        <f t="shared" si="10"/>
        <v>0</v>
      </c>
      <c r="AD34" s="373">
        <f>(AJ34*U34+AK34*V34+W34*AL34)</f>
        <v>1.0577779200000001</v>
      </c>
      <c r="AE34" s="373">
        <f>(AM34*U34+AN34*V34+W34*AO34)</f>
        <v>2.5945661910985836</v>
      </c>
      <c r="AF34" s="373">
        <f>'10   Loader'!G31*L34</f>
        <v>3.25</v>
      </c>
      <c r="AG34" s="390">
        <v>0.7</v>
      </c>
      <c r="AH34" s="390">
        <v>1.1000000000000001</v>
      </c>
      <c r="AI34" s="379">
        <v>50</v>
      </c>
      <c r="AJ34" s="401">
        <f t="shared" si="13"/>
        <v>8.9999999999999998E-4</v>
      </c>
      <c r="AK34" s="401">
        <f t="shared" si="13"/>
        <v>8.9999999999999998E-4</v>
      </c>
      <c r="AL34" s="401">
        <f t="shared" si="13"/>
        <v>8.9999999999999998E-4</v>
      </c>
      <c r="AM34" s="401">
        <f t="shared" si="14"/>
        <v>2.3127999712726425E-3</v>
      </c>
      <c r="AN34" s="401">
        <f t="shared" si="14"/>
        <v>2.0503158708723621E-3</v>
      </c>
      <c r="AO34" s="401">
        <f t="shared" si="14"/>
        <v>8.9999999999999998E-4</v>
      </c>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x14ac:dyDescent="0.2">
      <c r="A35" s="334" t="s">
        <v>441</v>
      </c>
      <c r="B35" s="14"/>
      <c r="C35" s="14"/>
      <c r="D35" s="14"/>
      <c r="E35" s="84"/>
      <c r="F35" s="74"/>
      <c r="G35" s="106"/>
      <c r="H35" s="84"/>
      <c r="I35" s="86"/>
      <c r="J35" s="85"/>
      <c r="K35" s="85"/>
      <c r="L35" s="86"/>
      <c r="M35" s="106"/>
      <c r="N35" s="70"/>
      <c r="O35" s="70"/>
      <c r="P35" s="70"/>
      <c r="Q35" s="120"/>
      <c r="R35" s="120"/>
      <c r="S35" s="120"/>
      <c r="T35" s="120"/>
      <c r="U35" s="70"/>
      <c r="V35" s="70"/>
      <c r="W35" s="70"/>
      <c r="X35" s="118"/>
      <c r="Y35" s="118"/>
      <c r="Z35" s="118"/>
      <c r="AA35" s="118"/>
      <c r="AB35" s="118"/>
      <c r="AC35" s="118"/>
      <c r="AD35" s="85"/>
      <c r="AE35" s="85"/>
      <c r="AF35" s="85"/>
      <c r="AG35" s="119"/>
      <c r="AH35" s="119"/>
      <c r="AI35" s="88"/>
      <c r="AJ35" s="121"/>
      <c r="AK35" s="121"/>
      <c r="AL35" s="121"/>
      <c r="AM35" s="121"/>
      <c r="AN35" s="121"/>
      <c r="AO35" s="121"/>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row>
    <row r="36" spans="1:76" x14ac:dyDescent="0.2">
      <c r="A36" s="14"/>
      <c r="B36" s="14"/>
      <c r="C36" s="14"/>
      <c r="D36" s="14"/>
      <c r="E36" s="84"/>
      <c r="F36" s="74"/>
      <c r="G36" s="106"/>
      <c r="H36" s="84"/>
      <c r="I36" s="86"/>
      <c r="J36" s="85"/>
      <c r="K36" s="85"/>
      <c r="L36" s="86"/>
      <c r="M36" s="106"/>
      <c r="N36" s="70"/>
      <c r="O36" s="70"/>
      <c r="P36" s="70"/>
      <c r="Q36" s="120"/>
      <c r="R36" s="120"/>
      <c r="S36" s="120"/>
      <c r="T36" s="120"/>
      <c r="U36" s="70"/>
      <c r="V36" s="70"/>
      <c r="W36" s="70"/>
      <c r="X36" s="118"/>
      <c r="Y36" s="118"/>
      <c r="Z36" s="118"/>
      <c r="AA36" s="118"/>
      <c r="AB36" s="118"/>
      <c r="AC36" s="118"/>
      <c r="AD36" s="85"/>
      <c r="AE36" s="85"/>
      <c r="AF36" s="85"/>
      <c r="AG36" s="119"/>
      <c r="AH36" s="119"/>
      <c r="AI36" s="88"/>
      <c r="AJ36" s="121"/>
      <c r="AK36" s="121"/>
      <c r="AL36" s="121"/>
      <c r="AM36" s="121"/>
      <c r="AN36" s="121"/>
      <c r="AO36" s="121"/>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x14ac:dyDescent="0.2">
      <c r="Q37" s="120"/>
      <c r="R37" s="120"/>
      <c r="S37" s="120"/>
    </row>
    <row r="38" spans="1:76" x14ac:dyDescent="0.2">
      <c r="Q38" s="120"/>
      <c r="R38" s="120"/>
      <c r="S38" s="120"/>
    </row>
    <row r="39" spans="1:76" x14ac:dyDescent="0.2">
      <c r="Q39" s="120"/>
      <c r="R39" s="120"/>
      <c r="S39" s="120"/>
    </row>
    <row r="40" spans="1:76" x14ac:dyDescent="0.2">
      <c r="Q40" s="120"/>
      <c r="R40" s="120"/>
      <c r="S40" s="120"/>
    </row>
    <row r="41" spans="1:76" x14ac:dyDescent="0.2">
      <c r="Q41" s="120"/>
      <c r="R41" s="120"/>
      <c r="S41" s="120"/>
    </row>
    <row r="42" spans="1:76" x14ac:dyDescent="0.2">
      <c r="Q42" s="120"/>
      <c r="R42" s="120"/>
      <c r="S42" s="120"/>
    </row>
    <row r="43" spans="1:76" x14ac:dyDescent="0.2">
      <c r="Q43" s="120"/>
      <c r="R43" s="120"/>
      <c r="S43" s="120"/>
    </row>
    <row r="44" spans="1:76" x14ac:dyDescent="0.2">
      <c r="Q44" s="120"/>
      <c r="R44" s="120"/>
      <c r="S44" s="120"/>
    </row>
    <row r="45" spans="1:76" x14ac:dyDescent="0.2">
      <c r="Q45" s="120"/>
      <c r="R45" s="120"/>
      <c r="S45" s="120"/>
    </row>
    <row r="46" spans="1:76" x14ac:dyDescent="0.2">
      <c r="Q46" s="120"/>
      <c r="R46" s="120"/>
      <c r="S46" s="120"/>
    </row>
    <row r="47" spans="1:76" x14ac:dyDescent="0.2">
      <c r="Q47" s="120"/>
      <c r="R47" s="120"/>
      <c r="S47" s="120"/>
    </row>
    <row r="48" spans="1:76" x14ac:dyDescent="0.2">
      <c r="Q48" s="120"/>
      <c r="R48" s="120"/>
      <c r="S48" s="120"/>
    </row>
    <row r="49" spans="17:19" x14ac:dyDescent="0.2">
      <c r="Q49" s="120"/>
      <c r="R49" s="120"/>
      <c r="S49" s="120"/>
    </row>
    <row r="50" spans="17:19" x14ac:dyDescent="0.2">
      <c r="Q50" s="120"/>
      <c r="R50" s="120"/>
      <c r="S50" s="120"/>
    </row>
  </sheetData>
  <mergeCells count="1">
    <mergeCell ref="AJ7:AN7"/>
  </mergeCells>
  <printOptions horizontalCentered="1"/>
  <pageMargins left="0.25" right="0.25" top="0.75" bottom="0.75" header="0.3" footer="0.3"/>
  <pageSetup paperSize="119" scale="27" fitToWidth="2" orientation="landscape" r:id="rId1"/>
  <headerFooter alignWithMargins="0">
    <oddFooter>&amp;C&amp;F
&amp;   Stockpile Sheet 9 
&amp;
Page &amp;P of &amp;N</oddFooter>
  </headerFooter>
  <colBreaks count="1" manualBreakCount="1">
    <brk id="23"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31"/>
  <sheetViews>
    <sheetView defaultGridColor="0" view="pageBreakPreview" colorId="22" zoomScale="75" zoomScaleNormal="75" zoomScaleSheetLayoutView="75" workbookViewId="0">
      <selection activeCell="A16" sqref="A16"/>
    </sheetView>
  </sheetViews>
  <sheetFormatPr defaultColWidth="9.77734375" defaultRowHeight="15" x14ac:dyDescent="0.2"/>
  <cols>
    <col min="1" max="1" width="15.21875" style="4" customWidth="1"/>
    <col min="2" max="2" width="53.77734375" style="4" bestFit="1" customWidth="1"/>
    <col min="3" max="3" width="29.5546875" style="4" bestFit="1" customWidth="1"/>
    <col min="4" max="4" width="9.88671875" style="4" bestFit="1" customWidth="1"/>
    <col min="5" max="5" width="9.109375" style="4" bestFit="1" customWidth="1"/>
    <col min="6" max="6" width="8" style="4" bestFit="1" customWidth="1"/>
    <col min="7" max="7" width="6.77734375" style="4" bestFit="1" customWidth="1"/>
    <col min="8" max="8" width="10" style="4" bestFit="1" customWidth="1"/>
    <col min="9" max="9" width="6.88671875" style="4" bestFit="1" customWidth="1"/>
    <col min="10" max="10" width="9.77734375" style="4"/>
    <col min="11" max="11" width="8.109375" style="4" customWidth="1"/>
    <col min="12" max="12" width="10.6640625" style="4" customWidth="1"/>
    <col min="13" max="16384" width="9.77734375" style="4"/>
  </cols>
  <sheetData>
    <row r="1" spans="1:12" x14ac:dyDescent="0.2">
      <c r="A1" s="1"/>
      <c r="B1" s="1"/>
      <c r="C1" s="1"/>
      <c r="D1" s="1"/>
      <c r="E1" s="1"/>
      <c r="F1" s="1"/>
      <c r="G1" s="1"/>
      <c r="H1" s="1"/>
      <c r="L1" s="32" t="str">
        <f>'1 General'!C1</f>
        <v>Cobre</v>
      </c>
    </row>
    <row r="2" spans="1:12" ht="18" x14ac:dyDescent="0.25">
      <c r="A2" s="437"/>
      <c r="B2" s="1"/>
      <c r="C2" s="1"/>
      <c r="D2" s="1"/>
      <c r="E2" s="1"/>
      <c r="F2" s="1"/>
      <c r="G2" s="1"/>
      <c r="H2" s="1"/>
      <c r="L2" s="32" t="s">
        <v>162</v>
      </c>
    </row>
    <row r="3" spans="1:12" ht="15.75" x14ac:dyDescent="0.25">
      <c r="A3" s="122" t="s">
        <v>163</v>
      </c>
      <c r="B3" s="122"/>
      <c r="C3" s="122"/>
      <c r="D3" s="1"/>
      <c r="E3" s="1"/>
      <c r="F3" s="1"/>
      <c r="G3" s="1"/>
      <c r="H3" s="1"/>
      <c r="L3" s="30">
        <f>'1 General'!$C$3</f>
        <v>41978</v>
      </c>
    </row>
    <row r="5" spans="1:12" x14ac:dyDescent="0.2">
      <c r="A5" s="14"/>
      <c r="B5" s="14"/>
      <c r="C5" s="3"/>
      <c r="D5" s="80"/>
      <c r="E5" s="14"/>
      <c r="F5" s="3"/>
      <c r="G5" s="81"/>
      <c r="H5" s="3"/>
      <c r="I5" s="3"/>
      <c r="J5" s="3" t="s">
        <v>62</v>
      </c>
      <c r="K5" s="3"/>
      <c r="L5" s="3"/>
    </row>
    <row r="6" spans="1:12" x14ac:dyDescent="0.2">
      <c r="A6" s="14"/>
      <c r="B6" s="14"/>
      <c r="C6" s="3"/>
      <c r="D6" s="374"/>
      <c r="E6" s="356"/>
      <c r="F6" s="357" t="s">
        <v>125</v>
      </c>
      <c r="G6" s="376" t="s">
        <v>126</v>
      </c>
      <c r="H6" s="357"/>
      <c r="I6" s="357"/>
      <c r="J6" s="357" t="s">
        <v>164</v>
      </c>
      <c r="K6" s="357" t="s">
        <v>128</v>
      </c>
      <c r="L6" s="357"/>
    </row>
    <row r="7" spans="1:12" ht="15.75" x14ac:dyDescent="0.25">
      <c r="A7" s="3"/>
      <c r="B7" s="3"/>
      <c r="C7" s="123"/>
      <c r="D7" s="357"/>
      <c r="E7" s="357"/>
      <c r="F7" s="357" t="s">
        <v>128</v>
      </c>
      <c r="G7" s="357" t="s">
        <v>129</v>
      </c>
      <c r="H7" s="357"/>
      <c r="I7" s="357" t="s">
        <v>68</v>
      </c>
      <c r="J7" s="357" t="s">
        <v>128</v>
      </c>
      <c r="K7" s="357" t="s">
        <v>130</v>
      </c>
      <c r="L7" s="357" t="s">
        <v>73</v>
      </c>
    </row>
    <row r="8" spans="1:12" x14ac:dyDescent="0.2">
      <c r="A8" s="354" t="s">
        <v>75</v>
      </c>
      <c r="B8" s="355" t="s">
        <v>20</v>
      </c>
      <c r="C8" s="355" t="s">
        <v>21</v>
      </c>
      <c r="D8" s="357" t="s">
        <v>23</v>
      </c>
      <c r="E8" s="357" t="s">
        <v>53</v>
      </c>
      <c r="F8" s="357" t="s">
        <v>133</v>
      </c>
      <c r="G8" s="357" t="s">
        <v>77</v>
      </c>
      <c r="H8" s="357" t="s">
        <v>76</v>
      </c>
      <c r="I8" s="357" t="s">
        <v>77</v>
      </c>
      <c r="J8" s="357" t="s">
        <v>133</v>
      </c>
      <c r="K8" s="357" t="s">
        <v>54</v>
      </c>
      <c r="L8" s="357" t="s">
        <v>83</v>
      </c>
    </row>
    <row r="9" spans="1:12" x14ac:dyDescent="0.2">
      <c r="B9" s="3"/>
      <c r="C9" s="3"/>
      <c r="D9" s="357"/>
      <c r="E9" s="357" t="s">
        <v>87</v>
      </c>
      <c r="F9" s="357" t="s">
        <v>87</v>
      </c>
      <c r="G9" s="357" t="s">
        <v>137</v>
      </c>
      <c r="H9" s="357" t="s">
        <v>88</v>
      </c>
      <c r="I9" s="357" t="s">
        <v>89</v>
      </c>
      <c r="J9" s="357" t="s">
        <v>87</v>
      </c>
      <c r="K9" s="357"/>
      <c r="L9" s="357" t="s">
        <v>92</v>
      </c>
    </row>
    <row r="10" spans="1:12" ht="18.75" x14ac:dyDescent="0.3">
      <c r="A10" s="124"/>
      <c r="B10" s="36"/>
      <c r="C10" s="36"/>
      <c r="D10" s="357"/>
      <c r="E10" s="357"/>
      <c r="F10" s="357"/>
      <c r="G10" s="357"/>
      <c r="H10" s="357"/>
      <c r="I10" s="357"/>
      <c r="J10" s="357"/>
      <c r="K10" s="357"/>
      <c r="L10" s="357"/>
    </row>
    <row r="11" spans="1:12" x14ac:dyDescent="0.2">
      <c r="A11" s="3" t="str">
        <f>'4   Earthwork'!B35</f>
        <v>Load cover soil</v>
      </c>
      <c r="B11" s="3" t="str">
        <f>'4   Earthwork'!C35</f>
        <v>OB Stockpile 1 through 4, Topsoil Stockpile, South OB Stockpile</v>
      </c>
      <c r="C11" s="3" t="str">
        <f>'4   Earthwork'!D35</f>
        <v xml:space="preserve">SWRDF Top </v>
      </c>
      <c r="D11" s="357" t="str">
        <f>'3   Material'!G35</f>
        <v>992K</v>
      </c>
      <c r="E11" s="362">
        <f>'4   Earthwork'!I35</f>
        <v>412368.00000000006</v>
      </c>
      <c r="F11" s="377">
        <f t="shared" ref="F11:F20" si="0">J11*K11</f>
        <v>14</v>
      </c>
      <c r="G11" s="376">
        <v>0.65</v>
      </c>
      <c r="H11" s="362">
        <f t="shared" ref="H11:H31" si="1">F11/G11*L11</f>
        <v>1076.9230769230769</v>
      </c>
      <c r="I11" s="362">
        <f t="shared" ref="I11:I18" si="2">E11/H11</f>
        <v>382.91314285714293</v>
      </c>
      <c r="J11" s="379">
        <v>16</v>
      </c>
      <c r="K11" s="410">
        <v>0.875</v>
      </c>
      <c r="L11" s="379">
        <v>50</v>
      </c>
    </row>
    <row r="12" spans="1:12" x14ac:dyDescent="0.2">
      <c r="A12" s="3" t="str">
        <f>'4   Earthwork'!B36</f>
        <v>Load cover soil</v>
      </c>
      <c r="B12" s="3" t="str">
        <f>'4   Earthwork'!C36</f>
        <v>OB Stockpile 1 through 4, Topsoil Stockpile, South OB Stockpile</v>
      </c>
      <c r="C12" s="3" t="str">
        <f>'4   Earthwork'!D36</f>
        <v>SWRDF Outslopes</v>
      </c>
      <c r="D12" s="357" t="str">
        <f>'3   Material'!G36</f>
        <v>992K</v>
      </c>
      <c r="E12" s="362">
        <f>'4   Earthwork'!I36</f>
        <v>1237104.0000000002</v>
      </c>
      <c r="F12" s="377">
        <f t="shared" si="0"/>
        <v>14</v>
      </c>
      <c r="G12" s="376">
        <v>0.65</v>
      </c>
      <c r="H12" s="362">
        <f t="shared" si="1"/>
        <v>1076.9230769230769</v>
      </c>
      <c r="I12" s="362">
        <f t="shared" si="2"/>
        <v>1148.7394285714288</v>
      </c>
      <c r="J12" s="379">
        <v>16</v>
      </c>
      <c r="K12" s="410">
        <v>0.875</v>
      </c>
      <c r="L12" s="379">
        <v>50</v>
      </c>
    </row>
    <row r="13" spans="1:12" x14ac:dyDescent="0.2">
      <c r="A13" s="3" t="str">
        <f>'4   Earthwork'!B37</f>
        <v>Load cover soil</v>
      </c>
      <c r="B13" s="3" t="str">
        <f>'4   Earthwork'!C37</f>
        <v>NOBS</v>
      </c>
      <c r="C13" s="3" t="str">
        <f>'4   Earthwork'!D37</f>
        <v xml:space="preserve">SWRDF Top </v>
      </c>
      <c r="D13" s="357" t="str">
        <f>'3   Material'!G37</f>
        <v>992K</v>
      </c>
      <c r="E13" s="362">
        <f>'4   Earthwork'!I37</f>
        <v>119547.99999999999</v>
      </c>
      <c r="F13" s="377">
        <f t="shared" si="0"/>
        <v>14</v>
      </c>
      <c r="G13" s="376">
        <v>0.65</v>
      </c>
      <c r="H13" s="362">
        <f t="shared" si="1"/>
        <v>1076.9230769230769</v>
      </c>
      <c r="I13" s="362">
        <f t="shared" si="2"/>
        <v>111.00885714285712</v>
      </c>
      <c r="J13" s="379">
        <v>16</v>
      </c>
      <c r="K13" s="410">
        <v>0.875</v>
      </c>
      <c r="L13" s="379">
        <v>50</v>
      </c>
    </row>
    <row r="14" spans="1:12" x14ac:dyDescent="0.2">
      <c r="A14" s="3" t="str">
        <f>'4   Earthwork'!B38</f>
        <v>Load cover soil</v>
      </c>
      <c r="B14" s="3" t="str">
        <f>'4   Earthwork'!C38</f>
        <v>NOBS</v>
      </c>
      <c r="C14" s="3" t="str">
        <f>'4   Earthwork'!D38</f>
        <v>Hanover Mountain Deposit</v>
      </c>
      <c r="D14" s="357" t="str">
        <f>'3   Material'!G38</f>
        <v>992K</v>
      </c>
      <c r="E14" s="362">
        <f>'4   Earthwork'!I38</f>
        <v>451571.99999999994</v>
      </c>
      <c r="F14" s="377">
        <f t="shared" si="0"/>
        <v>14</v>
      </c>
      <c r="G14" s="376">
        <v>0.65</v>
      </c>
      <c r="H14" s="362">
        <f t="shared" si="1"/>
        <v>1076.9230769230769</v>
      </c>
      <c r="I14" s="362">
        <f t="shared" si="2"/>
        <v>419.31685714285709</v>
      </c>
      <c r="J14" s="379">
        <v>16</v>
      </c>
      <c r="K14" s="410">
        <v>0.875</v>
      </c>
      <c r="L14" s="379">
        <v>50</v>
      </c>
    </row>
    <row r="15" spans="1:12" x14ac:dyDescent="0.2">
      <c r="A15" s="3" t="str">
        <f>'4   Earthwork'!B39</f>
        <v>Load cover soil</v>
      </c>
      <c r="B15" s="3" t="str">
        <f>'4   Earthwork'!C39</f>
        <v>OB Stockpile 1 through 3, Topsoil Stockpile, South OB Stockpile</v>
      </c>
      <c r="C15" s="3" t="str">
        <f>'4   Earthwork'!D39</f>
        <v>Pearson-Barnes Mine Area</v>
      </c>
      <c r="D15" s="357" t="str">
        <f>'3   Material'!G39</f>
        <v>992K</v>
      </c>
      <c r="E15" s="362">
        <f>'4   Earthwork'!I39</f>
        <v>57596.000000000007</v>
      </c>
      <c r="F15" s="377">
        <f>J15*K15</f>
        <v>14</v>
      </c>
      <c r="G15" s="376">
        <v>0.65</v>
      </c>
      <c r="H15" s="362">
        <f t="shared" si="1"/>
        <v>1076.9230769230769</v>
      </c>
      <c r="I15" s="362">
        <f>E15/H15</f>
        <v>53.482000000000006</v>
      </c>
      <c r="J15" s="379">
        <v>16</v>
      </c>
      <c r="K15" s="410">
        <v>0.875</v>
      </c>
      <c r="L15" s="379">
        <v>50</v>
      </c>
    </row>
    <row r="16" spans="1:12" x14ac:dyDescent="0.2">
      <c r="A16" s="3" t="str">
        <f>'4   Earthwork'!B40</f>
        <v>Load cover soil</v>
      </c>
      <c r="B16" s="3" t="str">
        <f>'4   Earthwork'!C40</f>
        <v>OB-4 Stockpile</v>
      </c>
      <c r="C16" s="3" t="str">
        <f>'4   Earthwork'!D40</f>
        <v>Low Grade WRF</v>
      </c>
      <c r="D16" s="357" t="str">
        <f>'3   Material'!G40</f>
        <v>992K</v>
      </c>
      <c r="E16" s="362">
        <f>'4   Earthwork'!I40</f>
        <v>44899.066666666658</v>
      </c>
      <c r="F16" s="377">
        <f t="shared" si="0"/>
        <v>14</v>
      </c>
      <c r="G16" s="376">
        <v>0.65</v>
      </c>
      <c r="H16" s="362">
        <f t="shared" si="1"/>
        <v>1076.9230769230769</v>
      </c>
      <c r="I16" s="377">
        <f t="shared" si="2"/>
        <v>41.691990476190469</v>
      </c>
      <c r="J16" s="379">
        <v>16</v>
      </c>
      <c r="K16" s="410">
        <v>0.875</v>
      </c>
      <c r="L16" s="379">
        <v>50</v>
      </c>
    </row>
    <row r="17" spans="1:12" x14ac:dyDescent="0.2">
      <c r="A17" s="3" t="str">
        <f>'4   Earthwork'!B41</f>
        <v>Load cover soil</v>
      </c>
      <c r="B17" s="3" t="str">
        <f>'4   Earthwork'!C41</f>
        <v>NOBS</v>
      </c>
      <c r="C17" s="3" t="str">
        <f>'4   Earthwork'!D41</f>
        <v>MTI Reclaim Pond</v>
      </c>
      <c r="D17" s="357" t="str">
        <f>'3   Material'!G41</f>
        <v>992K</v>
      </c>
      <c r="E17" s="362">
        <f>'4   Earthwork'!I41</f>
        <v>159720</v>
      </c>
      <c r="F17" s="377">
        <f t="shared" si="0"/>
        <v>14</v>
      </c>
      <c r="G17" s="376">
        <v>0.65</v>
      </c>
      <c r="H17" s="362">
        <f t="shared" si="1"/>
        <v>1076.9230769230769</v>
      </c>
      <c r="I17" s="362">
        <f t="shared" si="2"/>
        <v>148.31142857142856</v>
      </c>
      <c r="J17" s="379">
        <v>16</v>
      </c>
      <c r="K17" s="410">
        <v>0.875</v>
      </c>
      <c r="L17" s="379">
        <v>50</v>
      </c>
    </row>
    <row r="18" spans="1:12" x14ac:dyDescent="0.2">
      <c r="A18" s="3" t="str">
        <f>'4   Earthwork'!B42</f>
        <v>Load cover soil</v>
      </c>
      <c r="B18" s="3" t="str">
        <f>'4   Earthwork'!C42</f>
        <v>NOBS</v>
      </c>
      <c r="C18" s="3" t="str">
        <f>'4   Earthwork'!D42</f>
        <v>MTI  Top</v>
      </c>
      <c r="D18" s="357" t="str">
        <f>'3   Material'!G42</f>
        <v>992K</v>
      </c>
      <c r="E18" s="362">
        <f>'4   Earthwork'!I42</f>
        <v>190284.10000000003</v>
      </c>
      <c r="F18" s="377">
        <f t="shared" si="0"/>
        <v>14</v>
      </c>
      <c r="G18" s="376">
        <v>0.65</v>
      </c>
      <c r="H18" s="362">
        <f t="shared" si="1"/>
        <v>1076.9230769230769</v>
      </c>
      <c r="I18" s="362">
        <f t="shared" si="2"/>
        <v>176.69237857142861</v>
      </c>
      <c r="J18" s="379">
        <v>16</v>
      </c>
      <c r="K18" s="410">
        <v>0.875</v>
      </c>
      <c r="L18" s="379">
        <v>50</v>
      </c>
    </row>
    <row r="19" spans="1:12" x14ac:dyDescent="0.2">
      <c r="A19" s="3" t="str">
        <f>'4   Earthwork'!B43</f>
        <v>Load cover soil</v>
      </c>
      <c r="B19" s="3" t="str">
        <f>'4   Earthwork'!C43</f>
        <v>NOBS</v>
      </c>
      <c r="C19" s="3" t="str">
        <f>'4   Earthwork'!D43</f>
        <v>MTI  Outslope</v>
      </c>
      <c r="D19" s="357" t="str">
        <f>'3   Material'!G43</f>
        <v>992K</v>
      </c>
      <c r="E19" s="362">
        <f>'4   Earthwork'!I43</f>
        <v>175837.19999999998</v>
      </c>
      <c r="F19" s="377">
        <f t="shared" ref="F19" si="3">J19*K19</f>
        <v>14</v>
      </c>
      <c r="G19" s="376">
        <v>0.65</v>
      </c>
      <c r="H19" s="362">
        <f t="shared" ref="H19" si="4">F19/G19*L19</f>
        <v>1076.9230769230769</v>
      </c>
      <c r="I19" s="362">
        <f>E19/H19</f>
        <v>163.2774</v>
      </c>
      <c r="J19" s="379">
        <v>16</v>
      </c>
      <c r="K19" s="410">
        <v>0.875</v>
      </c>
      <c r="L19" s="379">
        <v>50</v>
      </c>
    </row>
    <row r="20" spans="1:12" x14ac:dyDescent="0.2">
      <c r="A20" s="3" t="str">
        <f>'4   Earthwork'!B44</f>
        <v>Load cover soil</v>
      </c>
      <c r="B20" s="3" t="str">
        <f>'4   Earthwork'!C44</f>
        <v>Reclaim Pond Outlet Channel</v>
      </c>
      <c r="C20" s="3" t="str">
        <f>'4   Earthwork'!D44</f>
        <v>MTI  Top</v>
      </c>
      <c r="D20" s="357" t="str">
        <f>'3   Material'!G44</f>
        <v>992K</v>
      </c>
      <c r="E20" s="362">
        <f>'4   Earthwork'!I44</f>
        <v>71559.899999999994</v>
      </c>
      <c r="F20" s="377">
        <f t="shared" si="0"/>
        <v>14</v>
      </c>
      <c r="G20" s="376">
        <v>0.65</v>
      </c>
      <c r="H20" s="362">
        <f t="shared" si="1"/>
        <v>1076.9230769230769</v>
      </c>
      <c r="I20" s="362">
        <f>E20/H20</f>
        <v>66.448478571428566</v>
      </c>
      <c r="J20" s="379">
        <v>16</v>
      </c>
      <c r="K20" s="410">
        <v>0.875</v>
      </c>
      <c r="L20" s="379">
        <v>50</v>
      </c>
    </row>
    <row r="21" spans="1:12" x14ac:dyDescent="0.2">
      <c r="A21" s="3" t="str">
        <f>'4   Earthwork'!B45</f>
        <v>Load cover soil</v>
      </c>
      <c r="B21" s="3" t="str">
        <f>'4   Earthwork'!C45</f>
        <v>NOBS</v>
      </c>
      <c r="C21" s="3" t="str">
        <f>'4   Earthwork'!D45</f>
        <v>Tailing Pipeline Corridor</v>
      </c>
      <c r="D21" s="357" t="str">
        <f>'3   Material'!G45</f>
        <v>992K</v>
      </c>
      <c r="E21" s="362">
        <f>'4   Earthwork'!I45</f>
        <v>6998.64</v>
      </c>
      <c r="F21" s="377">
        <f>J21*K21</f>
        <v>14</v>
      </c>
      <c r="G21" s="376">
        <v>0.65</v>
      </c>
      <c r="H21" s="362">
        <f t="shared" si="1"/>
        <v>1076.9230769230769</v>
      </c>
      <c r="I21" s="362">
        <f>E21/H21</f>
        <v>6.4987371428571432</v>
      </c>
      <c r="J21" s="379">
        <v>16</v>
      </c>
      <c r="K21" s="410">
        <v>0.875</v>
      </c>
      <c r="L21" s="379">
        <v>50</v>
      </c>
    </row>
    <row r="22" spans="1:12" x14ac:dyDescent="0.2">
      <c r="A22" s="3" t="str">
        <f>'4   Earthwork'!B46</f>
        <v>Load cover soil</v>
      </c>
      <c r="B22" s="3" t="str">
        <f>'4   Earthwork'!C46</f>
        <v>NOBS</v>
      </c>
      <c r="C22" s="3" t="str">
        <f>'4   Earthwork'!D46</f>
        <v>Grape Gulch Pond #3</v>
      </c>
      <c r="D22" s="357" t="str">
        <f>'3   Material'!G46</f>
        <v>992K</v>
      </c>
      <c r="E22" s="362">
        <f>'4   Earthwork'!I46</f>
        <v>1839.1999999999998</v>
      </c>
      <c r="F22" s="377">
        <f t="shared" ref="F22:F27" si="5">J22*K22</f>
        <v>14</v>
      </c>
      <c r="G22" s="376">
        <v>0.65</v>
      </c>
      <c r="H22" s="362">
        <f t="shared" si="1"/>
        <v>1076.9230769230769</v>
      </c>
      <c r="I22" s="362">
        <f t="shared" ref="I22:I27" si="6">E22/H22</f>
        <v>1.7078285714285713</v>
      </c>
      <c r="J22" s="379">
        <v>16</v>
      </c>
      <c r="K22" s="410">
        <v>0.875</v>
      </c>
      <c r="L22" s="379">
        <v>50</v>
      </c>
    </row>
    <row r="23" spans="1:12" x14ac:dyDescent="0.2">
      <c r="A23" s="3" t="str">
        <f>'4   Earthwork'!B47</f>
        <v>Load cover soil</v>
      </c>
      <c r="B23" s="3" t="str">
        <f>'4   Earthwork'!C47</f>
        <v>NOBS</v>
      </c>
      <c r="C23" s="3" t="str">
        <f>'4   Earthwork'!D47</f>
        <v>Magnetite Seepage Pond</v>
      </c>
      <c r="D23" s="357" t="str">
        <f>'3   Material'!G47</f>
        <v>992K</v>
      </c>
      <c r="E23" s="362">
        <f>'4   Earthwork'!I47</f>
        <v>968</v>
      </c>
      <c r="F23" s="377">
        <f t="shared" si="5"/>
        <v>14</v>
      </c>
      <c r="G23" s="376">
        <v>0.65</v>
      </c>
      <c r="H23" s="362">
        <f t="shared" si="1"/>
        <v>1076.9230769230769</v>
      </c>
      <c r="I23" s="362">
        <f t="shared" si="6"/>
        <v>0.89885714285714291</v>
      </c>
      <c r="J23" s="379">
        <v>16</v>
      </c>
      <c r="K23" s="410">
        <v>0.875</v>
      </c>
      <c r="L23" s="379">
        <v>50</v>
      </c>
    </row>
    <row r="24" spans="1:12" x14ac:dyDescent="0.2">
      <c r="A24" s="3" t="str">
        <f>'4   Earthwork'!B48</f>
        <v>Load cover soil</v>
      </c>
      <c r="B24" s="3" t="str">
        <f>'4   Earthwork'!C48</f>
        <v>OB Stockpile 1 through 3, Topsoil Stockpile, South OB Stockpile</v>
      </c>
      <c r="C24" s="3" t="str">
        <f>'4   Earthwork'!D48</f>
        <v>SWRF Dam 1</v>
      </c>
      <c r="D24" s="357" t="str">
        <f>'3   Material'!G48</f>
        <v>992K</v>
      </c>
      <c r="E24" s="362">
        <f>'4   Earthwork'!I48</f>
        <v>2516.7999999999997</v>
      </c>
      <c r="F24" s="377">
        <f t="shared" si="5"/>
        <v>14</v>
      </c>
      <c r="G24" s="376">
        <v>0.65</v>
      </c>
      <c r="H24" s="362">
        <f t="shared" si="1"/>
        <v>1076.9230769230769</v>
      </c>
      <c r="I24" s="362">
        <f t="shared" si="6"/>
        <v>2.3370285714285712</v>
      </c>
      <c r="J24" s="379">
        <v>16</v>
      </c>
      <c r="K24" s="410">
        <v>0.875</v>
      </c>
      <c r="L24" s="379">
        <v>50</v>
      </c>
    </row>
    <row r="25" spans="1:12" x14ac:dyDescent="0.2">
      <c r="A25" s="3" t="str">
        <f>'4   Earthwork'!B49</f>
        <v>Load cover soil</v>
      </c>
      <c r="B25" s="3" t="str">
        <f>'4   Earthwork'!C49</f>
        <v>OB Stockpile 1 through 3, Topsoil Stockpile, South OB Stockpile</v>
      </c>
      <c r="C25" s="3" t="str">
        <f>'4   Earthwork'!D49</f>
        <v>SWRF Dam 2</v>
      </c>
      <c r="D25" s="357" t="str">
        <f>'3   Material'!G49</f>
        <v>992K</v>
      </c>
      <c r="E25" s="362">
        <f>'4   Earthwork'!I49</f>
        <v>1645.6000000000001</v>
      </c>
      <c r="F25" s="377">
        <f t="shared" si="5"/>
        <v>14</v>
      </c>
      <c r="G25" s="376">
        <v>0.65</v>
      </c>
      <c r="H25" s="362">
        <f t="shared" si="1"/>
        <v>1076.9230769230769</v>
      </c>
      <c r="I25" s="362">
        <f t="shared" si="6"/>
        <v>1.528057142857143</v>
      </c>
      <c r="J25" s="379">
        <v>16</v>
      </c>
      <c r="K25" s="410">
        <v>0.875</v>
      </c>
      <c r="L25" s="379">
        <v>50</v>
      </c>
    </row>
    <row r="26" spans="1:12" x14ac:dyDescent="0.2">
      <c r="A26" s="3" t="str">
        <f>'4   Earthwork'!B50</f>
        <v>Load cover soil</v>
      </c>
      <c r="B26" s="3" t="str">
        <f>'4   Earthwork'!C50</f>
        <v>OB Stockpile 1 through 3, Topsoil Stockpile, South OB Stockpile</v>
      </c>
      <c r="C26" s="3" t="str">
        <f>'4   Earthwork'!D50</f>
        <v>SWRF Dam 3</v>
      </c>
      <c r="D26" s="357" t="str">
        <f>'3   Material'!G50</f>
        <v>992K</v>
      </c>
      <c r="E26" s="362">
        <f>'4   Earthwork'!I50</f>
        <v>4065.6</v>
      </c>
      <c r="F26" s="377">
        <f t="shared" si="5"/>
        <v>14</v>
      </c>
      <c r="G26" s="376">
        <v>0.65</v>
      </c>
      <c r="H26" s="362">
        <f t="shared" si="1"/>
        <v>1076.9230769230769</v>
      </c>
      <c r="I26" s="362">
        <f t="shared" si="6"/>
        <v>3.7751999999999999</v>
      </c>
      <c r="J26" s="379">
        <v>16</v>
      </c>
      <c r="K26" s="410">
        <v>0.875</v>
      </c>
      <c r="L26" s="379">
        <v>50</v>
      </c>
    </row>
    <row r="27" spans="1:12" x14ac:dyDescent="0.2">
      <c r="A27" s="3" t="str">
        <f>'4   Earthwork'!B51</f>
        <v>Load cover soil</v>
      </c>
      <c r="B27" s="3" t="str">
        <f>'4   Earthwork'!C51</f>
        <v>OB-4 Stockpile</v>
      </c>
      <c r="C27" s="3" t="str">
        <f>'4   Earthwork'!D51</f>
        <v>North Tailings Decant Pond</v>
      </c>
      <c r="D27" s="357" t="str">
        <f>'3   Material'!G51</f>
        <v>992K</v>
      </c>
      <c r="E27" s="362">
        <f>'4   Earthwork'!I51</f>
        <v>2226.4</v>
      </c>
      <c r="F27" s="377">
        <f t="shared" si="5"/>
        <v>14</v>
      </c>
      <c r="G27" s="376">
        <v>0.65</v>
      </c>
      <c r="H27" s="362">
        <f t="shared" si="1"/>
        <v>1076.9230769230769</v>
      </c>
      <c r="I27" s="362">
        <f t="shared" si="6"/>
        <v>2.0673714285714286</v>
      </c>
      <c r="J27" s="379">
        <v>16</v>
      </c>
      <c r="K27" s="410">
        <v>0.875</v>
      </c>
      <c r="L27" s="379">
        <v>50</v>
      </c>
    </row>
    <row r="28" spans="1:12" x14ac:dyDescent="0.2">
      <c r="A28" s="3" t="str">
        <f>'4   Earthwork'!B52</f>
        <v>Load cover soil</v>
      </c>
      <c r="B28" s="3" t="str">
        <f>'4   Earthwork'!C52</f>
        <v>OB-4 Stockpile</v>
      </c>
      <c r="C28" s="3" t="str">
        <f>'4   Earthwork'!D52</f>
        <v>East WRF Containment</v>
      </c>
      <c r="D28" s="357" t="str">
        <f>'3   Material'!G52</f>
        <v>992K</v>
      </c>
      <c r="E28" s="362">
        <f>'4   Earthwork'!I52</f>
        <v>2420</v>
      </c>
      <c r="F28" s="377">
        <f>J28*K28</f>
        <v>14</v>
      </c>
      <c r="G28" s="376">
        <v>0.65</v>
      </c>
      <c r="H28" s="362">
        <f t="shared" si="1"/>
        <v>1076.9230769230769</v>
      </c>
      <c r="I28" s="362">
        <f>E28/H28</f>
        <v>2.2471428571428573</v>
      </c>
      <c r="J28" s="379">
        <v>16</v>
      </c>
      <c r="K28" s="410">
        <v>0.875</v>
      </c>
      <c r="L28" s="379">
        <v>50</v>
      </c>
    </row>
    <row r="29" spans="1:12" x14ac:dyDescent="0.2">
      <c r="A29" s="3" t="str">
        <f>'4   Earthwork'!B53</f>
        <v>Load cover soil</v>
      </c>
      <c r="B29" s="3" t="str">
        <f>'4   Earthwork'!C53</f>
        <v>NOBS</v>
      </c>
      <c r="C29" s="3" t="str">
        <f>'4   Earthwork'!D53</f>
        <v xml:space="preserve">Blackman's Seep (Pond #2) </v>
      </c>
      <c r="D29" s="357" t="str">
        <f>'3   Material'!G53</f>
        <v>992K</v>
      </c>
      <c r="E29" s="362">
        <f>'4   Earthwork'!I53</f>
        <v>48.4</v>
      </c>
      <c r="F29" s="377">
        <f>J29*K29</f>
        <v>14</v>
      </c>
      <c r="G29" s="376">
        <v>0.65</v>
      </c>
      <c r="H29" s="362">
        <f t="shared" si="1"/>
        <v>1076.9230769230769</v>
      </c>
      <c r="I29" s="366">
        <f>E29/H29</f>
        <v>4.4942857142857146E-2</v>
      </c>
      <c r="J29" s="379">
        <v>16</v>
      </c>
      <c r="K29" s="410">
        <v>0.875</v>
      </c>
      <c r="L29" s="379">
        <v>50</v>
      </c>
    </row>
    <row r="30" spans="1:12" x14ac:dyDescent="0.2">
      <c r="A30" s="3" t="str">
        <f>'4   Earthwork'!B54</f>
        <v>Load cover soil</v>
      </c>
      <c r="B30" s="3" t="str">
        <f>'4   Earthwork'!C54</f>
        <v>OB-4 Stockpile</v>
      </c>
      <c r="C30" s="3" t="str">
        <f>'4   Earthwork'!D54</f>
        <v>Decant Pond #4</v>
      </c>
      <c r="D30" s="357" t="str">
        <f>'3   Material'!G54</f>
        <v>992K</v>
      </c>
      <c r="E30" s="362">
        <f>'4   Earthwork'!I54</f>
        <v>3000.8</v>
      </c>
      <c r="F30" s="377">
        <f>J30*K30</f>
        <v>14</v>
      </c>
      <c r="G30" s="376">
        <v>0.65</v>
      </c>
      <c r="H30" s="362">
        <f t="shared" si="1"/>
        <v>1076.9230769230769</v>
      </c>
      <c r="I30" s="366">
        <f>E30/H30</f>
        <v>2.786457142857143</v>
      </c>
      <c r="J30" s="379">
        <v>16</v>
      </c>
      <c r="K30" s="410">
        <v>0.875</v>
      </c>
      <c r="L30" s="379">
        <v>50</v>
      </c>
    </row>
    <row r="31" spans="1:12" x14ac:dyDescent="0.2">
      <c r="A31" s="3" t="str">
        <f>'4   Earthwork'!B55</f>
        <v>Load cover soil</v>
      </c>
      <c r="B31" s="3" t="str">
        <f>'4   Earthwork'!C55</f>
        <v>NOBS</v>
      </c>
      <c r="C31" s="3" t="str">
        <f>'4   Earthwork'!D55</f>
        <v xml:space="preserve">Upper Creek Containment Pond 1 </v>
      </c>
      <c r="D31" s="357" t="str">
        <f>'3   Material'!G55</f>
        <v>992K</v>
      </c>
      <c r="E31" s="362">
        <f>'4   Earthwork'!I55</f>
        <v>5469.1999999999989</v>
      </c>
      <c r="F31" s="377">
        <f>J31*K31</f>
        <v>14</v>
      </c>
      <c r="G31" s="376">
        <v>0.65</v>
      </c>
      <c r="H31" s="362">
        <f t="shared" si="1"/>
        <v>1076.9230769230769</v>
      </c>
      <c r="I31" s="366">
        <f>E31/H31</f>
        <v>5.0785428571428559</v>
      </c>
      <c r="J31" s="379">
        <v>16</v>
      </c>
      <c r="K31" s="410">
        <v>0.875</v>
      </c>
      <c r="L31" s="379">
        <v>50</v>
      </c>
    </row>
  </sheetData>
  <printOptions horizontalCentered="1"/>
  <pageMargins left="0.75" right="0.75" top="1" bottom="1" header="0.5" footer="0.5"/>
  <pageSetup scale="57" orientation="landscape" r:id="rId1"/>
  <headerFooter alignWithMargins="0">
    <oddFooter>&amp;C&amp;F
&amp;   Stockpile Sheet 10 
&amp;
Page &amp;P of &amp;N</odd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Q10"/>
  <sheetViews>
    <sheetView defaultGridColor="0" view="pageBreakPreview" colorId="22" zoomScale="70" zoomScaleNormal="75" zoomScaleSheetLayoutView="70" workbookViewId="0">
      <selection activeCell="A16" sqref="A16"/>
    </sheetView>
  </sheetViews>
  <sheetFormatPr defaultColWidth="9.77734375" defaultRowHeight="15" x14ac:dyDescent="0.2"/>
  <cols>
    <col min="1" max="1" width="37.88671875" style="4" customWidth="1"/>
    <col min="2" max="2" width="28.77734375" style="4" customWidth="1"/>
    <col min="3" max="3" width="24.77734375" style="4" customWidth="1"/>
    <col min="4" max="4" width="10.21875" style="4" customWidth="1"/>
    <col min="5" max="5" width="9.44140625" style="4" customWidth="1"/>
    <col min="6" max="6" width="9.6640625" style="4" customWidth="1"/>
    <col min="7" max="7" width="10.33203125" style="4" customWidth="1"/>
    <col min="8" max="8" width="9.109375" style="4" customWidth="1"/>
    <col min="9" max="10" width="9.77734375" style="4" customWidth="1"/>
    <col min="11" max="11" width="7" style="4" customWidth="1"/>
    <col min="12" max="12" width="7.88671875" style="4" customWidth="1"/>
    <col min="13" max="13" width="9.77734375" style="4" customWidth="1"/>
    <col min="14" max="14" width="7.6640625" style="4" customWidth="1"/>
    <col min="15" max="15" width="8" style="4" customWidth="1"/>
    <col min="16" max="17" width="9.77734375" style="4" customWidth="1"/>
    <col min="18" max="18" width="11.109375" style="4" customWidth="1"/>
    <col min="19" max="19" width="12.109375" style="4" customWidth="1"/>
    <col min="20" max="20" width="11.5546875" style="4" customWidth="1"/>
    <col min="21" max="21" width="10.77734375" style="4" customWidth="1"/>
    <col min="22" max="22" width="11.6640625" style="4" customWidth="1"/>
    <col min="23" max="23" width="11.21875" style="4" customWidth="1"/>
    <col min="24" max="24" width="9.77734375" style="4" customWidth="1"/>
    <col min="25" max="25" width="9.77734375" style="4"/>
    <col min="26" max="36" width="9.77734375" style="4" customWidth="1"/>
    <col min="37" max="37" width="9.77734375" style="4"/>
    <col min="38" max="45" width="9.77734375" style="4" customWidth="1"/>
    <col min="46" max="46" width="9.77734375" style="4"/>
    <col min="47" max="48" width="9.77734375" style="4" customWidth="1"/>
    <col min="49" max="16384" width="9.77734375" style="4"/>
  </cols>
  <sheetData>
    <row r="1" spans="1:17" x14ac:dyDescent="0.2">
      <c r="A1" s="14"/>
      <c r="B1" s="14"/>
      <c r="C1" s="14"/>
      <c r="D1" s="14"/>
      <c r="E1" s="14"/>
      <c r="F1" s="3"/>
      <c r="G1" s="3"/>
      <c r="H1" s="2" t="str">
        <f>'1 General'!C1</f>
        <v>Cobre</v>
      </c>
      <c r="I1" s="3"/>
      <c r="J1" s="3"/>
      <c r="K1" s="3"/>
      <c r="L1" s="3"/>
      <c r="M1" s="3"/>
      <c r="N1" s="3"/>
      <c r="O1" s="3"/>
      <c r="P1" s="3"/>
      <c r="Q1" s="3"/>
    </row>
    <row r="2" spans="1:17" x14ac:dyDescent="0.2">
      <c r="A2" s="14"/>
      <c r="B2" s="14"/>
      <c r="C2" s="14"/>
      <c r="D2" s="14"/>
      <c r="E2" s="14"/>
      <c r="F2" s="3"/>
      <c r="G2" s="3"/>
      <c r="H2" s="2" t="s">
        <v>165</v>
      </c>
      <c r="I2" s="3"/>
      <c r="J2" s="3"/>
      <c r="K2" s="3"/>
      <c r="L2" s="3"/>
      <c r="M2" s="3"/>
      <c r="N2" s="3"/>
      <c r="O2" s="3"/>
      <c r="P2" s="3"/>
      <c r="Q2" s="3"/>
    </row>
    <row r="3" spans="1:17" x14ac:dyDescent="0.2">
      <c r="A3" s="78" t="s">
        <v>166</v>
      </c>
      <c r="B3" s="14"/>
      <c r="C3" s="14"/>
      <c r="D3" s="14"/>
      <c r="E3" s="14"/>
      <c r="F3" s="3"/>
      <c r="G3" s="3"/>
      <c r="H3" s="79">
        <f>'1 General'!$C$3</f>
        <v>41978</v>
      </c>
      <c r="I3" s="3"/>
      <c r="J3" s="3"/>
      <c r="K3" s="3"/>
      <c r="L3" s="3"/>
      <c r="M3" s="3"/>
      <c r="N3" s="3"/>
      <c r="O3" s="3"/>
      <c r="P3" s="3"/>
      <c r="Q3" s="3"/>
    </row>
    <row r="4" spans="1:17" x14ac:dyDescent="0.2">
      <c r="A4" s="14"/>
      <c r="B4" s="14"/>
      <c r="C4" s="14"/>
      <c r="D4" s="14"/>
      <c r="E4" s="14"/>
      <c r="F4" s="3"/>
      <c r="G4" s="3"/>
      <c r="H4" s="2"/>
      <c r="I4" s="3"/>
      <c r="J4" s="3"/>
      <c r="K4" s="3"/>
      <c r="L4" s="3"/>
      <c r="M4" s="3"/>
      <c r="N4" s="3"/>
      <c r="O4" s="3"/>
      <c r="P4" s="3"/>
      <c r="Q4" s="3"/>
    </row>
    <row r="5" spans="1:17" ht="26.25" x14ac:dyDescent="0.4">
      <c r="A5" s="348" t="s">
        <v>14</v>
      </c>
      <c r="B5" s="14"/>
      <c r="C5" s="125"/>
      <c r="D5" s="14"/>
      <c r="E5" s="14"/>
      <c r="F5" s="14"/>
      <c r="G5" s="2"/>
      <c r="H5" s="2"/>
      <c r="I5" s="3"/>
      <c r="J5" s="3"/>
      <c r="K5" s="3"/>
      <c r="L5" s="3"/>
      <c r="M5" s="3"/>
      <c r="N5" s="3"/>
      <c r="O5" s="3"/>
      <c r="P5" s="3"/>
      <c r="Q5" s="3"/>
    </row>
    <row r="6" spans="1:17" x14ac:dyDescent="0.2">
      <c r="A6" s="126"/>
      <c r="B6" s="38"/>
      <c r="C6" s="38"/>
      <c r="E6" s="68"/>
    </row>
    <row r="7" spans="1:17" x14ac:dyDescent="0.2">
      <c r="B7" s="38"/>
      <c r="C7" s="38"/>
      <c r="E7" s="68"/>
    </row>
    <row r="8" spans="1:17" x14ac:dyDescent="0.2">
      <c r="A8" s="84"/>
      <c r="B8" s="38"/>
      <c r="C8" s="38"/>
      <c r="E8" s="68"/>
    </row>
    <row r="9" spans="1:17" x14ac:dyDescent="0.2">
      <c r="A9" s="126"/>
      <c r="B9" s="38"/>
      <c r="E9" s="68"/>
    </row>
    <row r="10" spans="1:17" x14ac:dyDescent="0.2">
      <c r="A10" s="126"/>
      <c r="B10" s="38"/>
    </row>
  </sheetData>
  <printOptions horizontalCentered="1"/>
  <pageMargins left="0.75" right="0.75" top="1" bottom="1" header="0.5" footer="0.5"/>
  <pageSetup scale="72" orientation="landscape" r:id="rId1"/>
  <headerFooter alignWithMargins="0">
    <oddFooter>&amp;C&amp;F
&amp;   Stockpile Sheet 11 
&amp;
Page &amp;P of &amp;N</oddFooter>
  </headerFooter>
  <colBreaks count="2" manualBreakCount="2">
    <brk id="8" max="1048575" man="1"/>
    <brk id="16"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4" r:id="rId4" name="Button 10">
              <controlPr locked="0" defaultSize="0" autoFill="0" autoLine="0" autoPict="0">
                <anchor moveWithCells="1" sizeWithCells="1">
                  <from>
                    <xdr:col>0</xdr:col>
                    <xdr:colOff>0</xdr:colOff>
                    <xdr:row>5</xdr:row>
                    <xdr:rowOff>9525</xdr:rowOff>
                  </from>
                  <to>
                    <xdr:col>0</xdr:col>
                    <xdr:colOff>0</xdr:colOff>
                    <xdr:row>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0"/>
  <sheetViews>
    <sheetView defaultGridColor="0" view="pageBreakPreview" colorId="22" zoomScale="75" zoomScaleNormal="75" zoomScaleSheetLayoutView="75" workbookViewId="0">
      <selection activeCell="A16" sqref="A16"/>
    </sheetView>
  </sheetViews>
  <sheetFormatPr defaultColWidth="9.77734375" defaultRowHeight="15" x14ac:dyDescent="0.2"/>
  <cols>
    <col min="1" max="3" width="9.77734375" style="4"/>
    <col min="4" max="4" width="34.33203125" style="4" customWidth="1"/>
    <col min="5" max="6" width="9.77734375" style="4"/>
    <col min="7" max="7" width="10.5546875" style="4" customWidth="1"/>
    <col min="8" max="16384" width="9.77734375" style="4"/>
  </cols>
  <sheetData>
    <row r="1" spans="1:7" x14ac:dyDescent="0.2">
      <c r="A1" s="1"/>
      <c r="B1" s="1"/>
      <c r="C1" s="1"/>
      <c r="D1" s="1"/>
      <c r="E1" s="1"/>
      <c r="F1" s="1"/>
      <c r="G1" s="32" t="str">
        <f>'1 General'!C1</f>
        <v>Cobre</v>
      </c>
    </row>
    <row r="2" spans="1:7" x14ac:dyDescent="0.2">
      <c r="A2" s="1"/>
      <c r="B2" s="1"/>
      <c r="C2" s="1"/>
      <c r="D2" s="1"/>
      <c r="E2" s="1"/>
      <c r="F2" s="1"/>
      <c r="G2" s="32" t="s">
        <v>167</v>
      </c>
    </row>
    <row r="3" spans="1:7" ht="15.75" x14ac:dyDescent="0.25">
      <c r="A3" s="122" t="s">
        <v>168</v>
      </c>
      <c r="B3" s="1"/>
      <c r="C3" s="1"/>
      <c r="D3" s="1"/>
      <c r="E3" s="1"/>
      <c r="F3" s="1"/>
      <c r="G3" s="30">
        <f>'1 General'!$C$3</f>
        <v>41978</v>
      </c>
    </row>
    <row r="4" spans="1:7" ht="15.75" x14ac:dyDescent="0.25">
      <c r="A4" s="122"/>
    </row>
    <row r="5" spans="1:7" x14ac:dyDescent="0.2">
      <c r="C5" s="125"/>
    </row>
    <row r="6" spans="1:7" ht="26.25" x14ac:dyDescent="0.4">
      <c r="A6" s="348" t="s">
        <v>14</v>
      </c>
      <c r="C6" s="125"/>
    </row>
    <row r="7" spans="1:7" x14ac:dyDescent="0.2">
      <c r="C7" s="127"/>
    </row>
    <row r="8" spans="1:7" x14ac:dyDescent="0.2">
      <c r="A8"/>
    </row>
    <row r="9" spans="1:7" x14ac:dyDescent="0.2">
      <c r="A9"/>
    </row>
    <row r="10" spans="1:7" x14ac:dyDescent="0.2">
      <c r="A10" s="128"/>
    </row>
  </sheetData>
  <printOptions horizontalCentered="1"/>
  <pageMargins left="0.75" right="0.75" top="1" bottom="1" header="0.5" footer="0.5"/>
  <pageSetup orientation="landscape" r:id="rId1"/>
  <headerFooter alignWithMargins="0">
    <oddFooter>&amp;C&amp;F
&amp;   Stockpile Sheet 12 
&amp;
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T202"/>
  <sheetViews>
    <sheetView defaultGridColor="0" view="pageBreakPreview" topLeftCell="B1" colorId="22" zoomScale="55" zoomScaleNormal="55" zoomScaleSheetLayoutView="55" workbookViewId="0">
      <pane ySplit="7" topLeftCell="A134" activePane="bottomLeft" state="frozen"/>
      <selection activeCell="A16" sqref="A16"/>
      <selection pane="bottomLeft" activeCell="A16" sqref="A16"/>
    </sheetView>
  </sheetViews>
  <sheetFormatPr defaultColWidth="9.77734375" defaultRowHeight="15" x14ac:dyDescent="0.2"/>
  <cols>
    <col min="1" max="1" width="17.44140625" style="129" customWidth="1"/>
    <col min="2" max="2" width="2.77734375" style="4" customWidth="1"/>
    <col min="3" max="3" width="25.33203125" style="4" bestFit="1" customWidth="1"/>
    <col min="4" max="4" width="20.44140625" style="4" customWidth="1"/>
    <col min="5" max="5" width="59.6640625" style="4" bestFit="1" customWidth="1"/>
    <col min="6" max="6" width="31.77734375" style="4" customWidth="1"/>
    <col min="7" max="7" width="12.6640625" style="4" customWidth="1"/>
    <col min="8" max="8" width="12.77734375" style="4" customWidth="1"/>
    <col min="9" max="9" width="10.21875" style="91" customWidth="1"/>
    <col min="10" max="10" width="16.5546875" style="4" customWidth="1"/>
    <col min="11" max="11" width="15.33203125" style="4" customWidth="1"/>
    <col min="12" max="12" width="13.21875" style="4" customWidth="1"/>
    <col min="13" max="13" width="5.77734375" style="4" customWidth="1"/>
    <col min="14" max="14" width="8.88671875" style="4" customWidth="1"/>
    <col min="15" max="15" width="16.33203125" style="4" customWidth="1"/>
    <col min="16" max="16" width="10.21875" style="91" customWidth="1"/>
    <col min="17" max="17" width="12.21875" style="4" bestFit="1" customWidth="1"/>
    <col min="18" max="18" width="9.77734375" style="4"/>
    <col min="19" max="19" width="9.88671875" style="4" bestFit="1" customWidth="1"/>
    <col min="20" max="20" width="11.44140625" style="4" bestFit="1" customWidth="1"/>
    <col min="21" max="16384" width="9.77734375" style="4"/>
  </cols>
  <sheetData>
    <row r="1" spans="1:20" x14ac:dyDescent="0.2">
      <c r="B1" s="1"/>
      <c r="C1" s="14"/>
      <c r="D1" s="14"/>
      <c r="E1" s="14"/>
      <c r="H1" s="14"/>
      <c r="I1" s="88"/>
      <c r="J1" s="14"/>
      <c r="K1" s="14"/>
      <c r="L1" s="14"/>
      <c r="M1" s="14"/>
      <c r="N1" s="2" t="str">
        <f>'1 General'!C1</f>
        <v>Cobre</v>
      </c>
      <c r="O1" s="2"/>
    </row>
    <row r="2" spans="1:20" ht="18" x14ac:dyDescent="0.25">
      <c r="B2" s="437"/>
      <c r="C2" s="14"/>
      <c r="D2" s="14"/>
      <c r="E2" s="14"/>
      <c r="F2" s="14"/>
      <c r="G2" s="14"/>
      <c r="H2" s="14"/>
      <c r="I2" s="88"/>
      <c r="J2" s="14"/>
      <c r="K2" s="14"/>
      <c r="L2" s="14"/>
      <c r="M2" s="14"/>
      <c r="N2" s="2" t="s">
        <v>169</v>
      </c>
      <c r="O2" s="2"/>
    </row>
    <row r="3" spans="1:20" x14ac:dyDescent="0.2">
      <c r="B3" s="78" t="s">
        <v>170</v>
      </c>
      <c r="C3" s="78"/>
      <c r="D3" s="14"/>
      <c r="E3" s="14"/>
      <c r="F3" s="14"/>
      <c r="G3" s="14"/>
      <c r="H3" s="14"/>
      <c r="I3" s="88"/>
      <c r="J3" s="14"/>
      <c r="K3" s="14"/>
      <c r="L3" s="14"/>
      <c r="M3" s="14"/>
      <c r="N3" s="79">
        <f>'1 General'!$C$3</f>
        <v>41978</v>
      </c>
      <c r="O3" s="79"/>
    </row>
    <row r="4" spans="1:20" x14ac:dyDescent="0.2">
      <c r="B4" s="14"/>
      <c r="C4" s="14"/>
      <c r="D4" s="14"/>
      <c r="E4" s="14"/>
      <c r="F4" s="14"/>
      <c r="G4" s="14"/>
      <c r="H4" s="3"/>
      <c r="I4" s="87"/>
      <c r="J4" s="3"/>
      <c r="K4" s="14"/>
      <c r="L4" s="14"/>
      <c r="M4" s="14"/>
      <c r="N4" s="14"/>
      <c r="O4" s="14"/>
    </row>
    <row r="5" spans="1:20" x14ac:dyDescent="0.2">
      <c r="B5" s="14" t="s">
        <v>23</v>
      </c>
      <c r="C5" s="130"/>
      <c r="D5" s="14"/>
      <c r="E5" s="14"/>
      <c r="F5" s="14"/>
      <c r="G5" s="66" t="s">
        <v>171</v>
      </c>
      <c r="H5" s="66" t="s">
        <v>172</v>
      </c>
      <c r="I5" s="131" t="s">
        <v>173</v>
      </c>
      <c r="J5" s="66" t="s">
        <v>77</v>
      </c>
      <c r="K5" s="66" t="s">
        <v>66</v>
      </c>
      <c r="L5" s="66" t="s">
        <v>63</v>
      </c>
      <c r="M5" s="66" t="s">
        <v>174</v>
      </c>
      <c r="N5" s="2" t="s">
        <v>175</v>
      </c>
      <c r="O5" s="2" t="s">
        <v>176</v>
      </c>
      <c r="P5" s="131" t="s">
        <v>177</v>
      </c>
      <c r="S5" s="2" t="s">
        <v>176</v>
      </c>
      <c r="T5" s="131" t="s">
        <v>177</v>
      </c>
    </row>
    <row r="6" spans="1:20" x14ac:dyDescent="0.2">
      <c r="B6" s="14" t="s">
        <v>178</v>
      </c>
      <c r="C6" s="130"/>
      <c r="D6" s="14" t="s">
        <v>68</v>
      </c>
      <c r="E6" s="14" t="s">
        <v>20</v>
      </c>
      <c r="F6" s="14" t="s">
        <v>21</v>
      </c>
      <c r="G6" s="66" t="s">
        <v>179</v>
      </c>
      <c r="H6" s="66" t="s">
        <v>180</v>
      </c>
      <c r="I6" s="131" t="s">
        <v>181</v>
      </c>
      <c r="J6" s="66" t="s">
        <v>182</v>
      </c>
      <c r="K6" s="66" t="s">
        <v>180</v>
      </c>
      <c r="L6" s="66" t="s">
        <v>64</v>
      </c>
      <c r="M6" s="66" t="s">
        <v>175</v>
      </c>
      <c r="N6" s="2" t="s">
        <v>180</v>
      </c>
      <c r="O6" s="2" t="s">
        <v>183</v>
      </c>
      <c r="P6" s="131" t="s">
        <v>64</v>
      </c>
      <c r="S6" s="2" t="s">
        <v>183</v>
      </c>
      <c r="T6" s="131" t="s">
        <v>64</v>
      </c>
    </row>
    <row r="7" spans="1:20" ht="18.75" x14ac:dyDescent="0.3">
      <c r="B7" s="14"/>
      <c r="C7" s="132"/>
      <c r="D7" s="14"/>
      <c r="E7" s="14"/>
      <c r="F7" s="14"/>
      <c r="G7" s="66" t="s">
        <v>184</v>
      </c>
      <c r="H7" s="66" t="s">
        <v>184</v>
      </c>
      <c r="I7" s="131" t="s">
        <v>185</v>
      </c>
      <c r="J7" s="66" t="s">
        <v>159</v>
      </c>
      <c r="K7" s="66" t="s">
        <v>186</v>
      </c>
      <c r="L7" s="66"/>
      <c r="M7" s="66"/>
      <c r="N7" s="2" t="s">
        <v>187</v>
      </c>
      <c r="O7" s="2" t="s">
        <v>187</v>
      </c>
      <c r="P7" s="131" t="s">
        <v>88</v>
      </c>
      <c r="S7" s="2" t="s">
        <v>188</v>
      </c>
      <c r="T7" s="131" t="s">
        <v>189</v>
      </c>
    </row>
    <row r="8" spans="1:20" ht="15.75" x14ac:dyDescent="0.25">
      <c r="A8" s="344"/>
      <c r="B8" s="133" t="s">
        <v>190</v>
      </c>
      <c r="C8" s="14"/>
      <c r="D8" s="14"/>
      <c r="E8" s="14"/>
      <c r="F8" s="14"/>
      <c r="G8" s="134"/>
      <c r="H8" s="134"/>
      <c r="I8" s="88"/>
      <c r="J8" s="135"/>
      <c r="K8" s="126"/>
      <c r="L8" s="126"/>
      <c r="M8" s="14"/>
      <c r="N8" s="134"/>
      <c r="O8" s="134"/>
    </row>
    <row r="9" spans="1:20" x14ac:dyDescent="0.2">
      <c r="A9" s="345"/>
      <c r="B9" s="3"/>
      <c r="C9" s="14" t="str">
        <f>'5   Dozer'!D12</f>
        <v>D11T CD</v>
      </c>
      <c r="D9" s="126" t="str">
        <f>'5   Dozer'!A12</f>
        <v>Regrade Top</v>
      </c>
      <c r="E9" s="126" t="str">
        <f>'5   Dozer'!B12</f>
        <v>SWRDF</v>
      </c>
      <c r="F9" s="126" t="str">
        <f>'5   Dozer'!C12</f>
        <v>Top</v>
      </c>
      <c r="G9" s="203">
        <f t="shared" ref="G9:G33" si="0">$I$154</f>
        <v>509.12</v>
      </c>
      <c r="H9" s="203">
        <f t="shared" ref="H9:H33" si="1">$I$167</f>
        <v>47.58</v>
      </c>
      <c r="I9" s="88">
        <v>1</v>
      </c>
      <c r="J9" s="104">
        <f>'5   Dozer'!G12</f>
        <v>1486.2316467228929</v>
      </c>
      <c r="K9" s="116">
        <f t="shared" ref="K9:K53" si="2">(G9+H9)*J9*I9</f>
        <v>827385.15773063456</v>
      </c>
      <c r="L9" s="136">
        <f>'4   Earthwork'!G10</f>
        <v>666680</v>
      </c>
      <c r="M9" s="14" t="s">
        <v>191</v>
      </c>
      <c r="N9" s="137">
        <f t="shared" ref="N9:N29" si="3">IF(L9=0,"---",K9/L9)</f>
        <v>1.2410529155376411</v>
      </c>
      <c r="O9" s="137">
        <f t="shared" ref="O9" si="4">N9</f>
        <v>1.2410529155376411</v>
      </c>
      <c r="P9" s="91">
        <f t="shared" ref="P9:P11" si="5">IF(J9=0,"-",L9/J9)</f>
        <v>448.57072009603235</v>
      </c>
      <c r="S9" s="138">
        <f>IF(M9="cy", IF( K9 &lt;&gt;0,IF(O9&lt;&gt;0,O9/3300*2000,""),""),"")</f>
        <v>0.75215328214402488</v>
      </c>
      <c r="T9" s="138">
        <f t="shared" ref="T9:T18" si="6">IF(M9="cy", IF( K9 &lt;&gt;0,IF(P9&lt;&gt;0,P9*3300/2000,""),""),"")</f>
        <v>740.14168815845335</v>
      </c>
    </row>
    <row r="10" spans="1:20" x14ac:dyDescent="0.2">
      <c r="A10" s="156"/>
      <c r="B10" s="3"/>
      <c r="C10" s="14" t="str">
        <f>'5   Dozer'!D13</f>
        <v>D11T CD</v>
      </c>
      <c r="D10" s="126" t="str">
        <f>'5   Dozer'!A13</f>
        <v>Regrade Top</v>
      </c>
      <c r="E10" s="126" t="str">
        <f>'5   Dozer'!B13</f>
        <v xml:space="preserve">MTI </v>
      </c>
      <c r="F10" s="126" t="str">
        <f>'5   Dozer'!C13</f>
        <v>Top</v>
      </c>
      <c r="G10" s="203">
        <f t="shared" si="0"/>
        <v>509.12</v>
      </c>
      <c r="H10" s="203">
        <f t="shared" si="1"/>
        <v>47.58</v>
      </c>
      <c r="I10" s="88">
        <v>1</v>
      </c>
      <c r="J10" s="104">
        <f>'5   Dozer'!G13</f>
        <v>42.441408422280354</v>
      </c>
      <c r="K10" s="116">
        <f t="shared" ref="K10" si="7">(G10+H10)*J10*I10</f>
        <v>23627.132068683473</v>
      </c>
      <c r="L10" s="136">
        <f>'4   Earthwork'!G11</f>
        <v>50794.5</v>
      </c>
      <c r="M10" s="14" t="s">
        <v>191</v>
      </c>
      <c r="N10" s="137">
        <f t="shared" ref="N10" si="8">IF(L10=0,"---",K10/L10)</f>
        <v>0.46515138585247368</v>
      </c>
      <c r="O10" s="137">
        <f>N10</f>
        <v>0.46515138585247368</v>
      </c>
      <c r="P10" s="91">
        <f t="shared" ref="P10" si="9">IF(J10=0,"-",L10/J10)</f>
        <v>1196.8146649283804</v>
      </c>
      <c r="S10" s="138">
        <f>IF(M10="cy", IF( K10 &lt;&gt;0,IF(O10&lt;&gt;0,O10/3300*2000,""),""),"")</f>
        <v>0.28190993081968097</v>
      </c>
      <c r="T10" s="138">
        <f t="shared" ref="T10" si="10">IF(M10="cy", IF( K10 &lt;&gt;0,IF(P10&lt;&gt;0,P10*3300/2000,""),""),"")</f>
        <v>1974.7441971318274</v>
      </c>
    </row>
    <row r="11" spans="1:20" x14ac:dyDescent="0.2">
      <c r="A11" s="463"/>
      <c r="B11" s="3"/>
      <c r="C11" s="14" t="str">
        <f>'5   Dozer'!D14</f>
        <v>D11T CD</v>
      </c>
      <c r="D11" s="126" t="str">
        <f>'5   Dozer'!A14</f>
        <v>Regrade Outslope</v>
      </c>
      <c r="E11" s="126" t="str">
        <f>'5   Dozer'!B14</f>
        <v xml:space="preserve">MTI Reclaim Pond </v>
      </c>
      <c r="F11" s="126" t="str">
        <f>'5   Dozer'!C14</f>
        <v>Top and Outslope</v>
      </c>
      <c r="G11" s="203">
        <f t="shared" si="0"/>
        <v>509.12</v>
      </c>
      <c r="H11" s="203">
        <f t="shared" si="1"/>
        <v>47.58</v>
      </c>
      <c r="I11" s="88">
        <v>1</v>
      </c>
      <c r="J11" s="104">
        <f>'5   Dozer'!G14</f>
        <v>39.411553466065051</v>
      </c>
      <c r="K11" s="116">
        <f t="shared" si="2"/>
        <v>21940.411814558414</v>
      </c>
      <c r="L11" s="136">
        <f>'4   Earthwork'!G12</f>
        <v>67765</v>
      </c>
      <c r="M11" s="14" t="s">
        <v>191</v>
      </c>
      <c r="N11" s="137">
        <f t="shared" si="3"/>
        <v>0.32377203297511126</v>
      </c>
      <c r="O11" s="137">
        <f>N11</f>
        <v>0.32377203297511126</v>
      </c>
      <c r="P11" s="91">
        <f t="shared" si="5"/>
        <v>1719.4196635346643</v>
      </c>
      <c r="S11" s="138">
        <f>IF(M11="cy", IF( K11 &lt;&gt;0,IF(O11&lt;&gt;0,O11/2900*2000,""),""),"")</f>
        <v>0.22329105722421466</v>
      </c>
      <c r="T11" s="138">
        <f>IF(M11="cy", IF( K11 &lt;&gt;0,IF(P11&lt;&gt;0,P11*2900/2000,""),""),"")</f>
        <v>2493.1585121252633</v>
      </c>
    </row>
    <row r="12" spans="1:20" x14ac:dyDescent="0.2">
      <c r="A12" s="463"/>
      <c r="B12" s="3"/>
      <c r="C12" s="14" t="str">
        <f>'5   Dozer'!D15</f>
        <v>D11T CD</v>
      </c>
      <c r="D12" s="126" t="str">
        <f>'5   Dozer'!A15</f>
        <v>Regrade Outslope</v>
      </c>
      <c r="E12" s="126" t="str">
        <f>'5   Dozer'!B15</f>
        <v xml:space="preserve">MTI </v>
      </c>
      <c r="F12" s="126" t="str">
        <f>'5   Dozer'!C15</f>
        <v>Outslope</v>
      </c>
      <c r="G12" s="203">
        <f t="shared" si="0"/>
        <v>509.12</v>
      </c>
      <c r="H12" s="203">
        <f t="shared" si="1"/>
        <v>47.58</v>
      </c>
      <c r="I12" s="88">
        <v>1</v>
      </c>
      <c r="J12" s="104">
        <f>'5   Dozer'!G15</f>
        <v>105.50779832275505</v>
      </c>
      <c r="K12" s="116">
        <f t="shared" ref="K12" si="11">(G12+H12)*J12*I12</f>
        <v>58736.191326277738</v>
      </c>
      <c r="L12" s="136">
        <f>'4   Earthwork'!G13</f>
        <v>170294</v>
      </c>
      <c r="M12" s="14" t="s">
        <v>191</v>
      </c>
      <c r="N12" s="137">
        <f t="shared" ref="N12" si="12">IF(L12=0,"---",K12/L12)</f>
        <v>0.3449105154983601</v>
      </c>
      <c r="O12" s="137">
        <f>N12</f>
        <v>0.3449105154983601</v>
      </c>
      <c r="P12" s="91">
        <f t="shared" ref="P12" si="13">IF(J12=0,"-",L12/J12)</f>
        <v>1614.0418310982079</v>
      </c>
      <c r="S12" s="138">
        <f>IF(M12="cy", IF( K12 &lt;&gt;0,IF(O12&lt;&gt;0,O12/2900*2000,""),""),"")</f>
        <v>0.23786932103335179</v>
      </c>
      <c r="T12" s="138">
        <f>IF(M12="cy", IF( K12 &lt;&gt;0,IF(P12&lt;&gt;0,P12*2900/2000,""),""),"")</f>
        <v>2340.3606550924014</v>
      </c>
    </row>
    <row r="13" spans="1:20" x14ac:dyDescent="0.2">
      <c r="A13" s="463"/>
      <c r="B13" s="3"/>
      <c r="C13" s="14" t="str">
        <f>'5   Dozer'!D16</f>
        <v>D11T CD</v>
      </c>
      <c r="D13" s="126" t="str">
        <f>'5   Dozer'!A16</f>
        <v>Dozer Assist</v>
      </c>
      <c r="E13" s="126" t="str">
        <f>'5   Dozer'!B16</f>
        <v>OB Stockpile 1 through 4, Topsoil Stockpile, South OB Stockpile</v>
      </c>
      <c r="F13" s="126" t="str">
        <f>'5   Dozer'!C16</f>
        <v xml:space="preserve">SWRDF Top </v>
      </c>
      <c r="G13" s="203">
        <f t="shared" si="0"/>
        <v>509.12</v>
      </c>
      <c r="H13" s="203">
        <f t="shared" si="1"/>
        <v>47.58</v>
      </c>
      <c r="I13" s="88">
        <v>1</v>
      </c>
      <c r="J13" s="104">
        <f>'5   Dozer'!G16</f>
        <v>382.91314285714293</v>
      </c>
      <c r="K13" s="116">
        <f t="shared" si="2"/>
        <v>213167.74662857148</v>
      </c>
      <c r="L13" s="136">
        <f>'4   Earthwork'!G14</f>
        <v>412368.00000000006</v>
      </c>
      <c r="M13" s="14" t="s">
        <v>191</v>
      </c>
      <c r="N13" s="137">
        <f t="shared" si="3"/>
        <v>0.51693571428571428</v>
      </c>
      <c r="O13" s="137">
        <f>N13+N49+N72+N95</f>
        <v>1.9715491901655573</v>
      </c>
      <c r="P13" s="91">
        <f t="shared" ref="P13:P33" si="14">IF(J72=0,"-",L13/J72)</f>
        <v>937.63522531970796</v>
      </c>
      <c r="R13" s="4" t="s">
        <v>192</v>
      </c>
      <c r="S13" s="138">
        <f>IF(M13="cy", IF( K13 &lt;&gt;0,IF(O13&lt;&gt;0,O13/3300*2000,""),""),"")</f>
        <v>1.1948782970700347</v>
      </c>
      <c r="T13" s="138">
        <f t="shared" si="6"/>
        <v>1547.0981217775181</v>
      </c>
    </row>
    <row r="14" spans="1:20" x14ac:dyDescent="0.2">
      <c r="A14" s="463"/>
      <c r="B14" s="3"/>
      <c r="C14" s="14" t="str">
        <f>'5   Dozer'!D17</f>
        <v>D11T CD</v>
      </c>
      <c r="D14" s="126" t="str">
        <f>'5   Dozer'!A17</f>
        <v>Dozer Assist</v>
      </c>
      <c r="E14" s="126" t="str">
        <f>'5   Dozer'!B17</f>
        <v>OB Stockpile 1 through 4, Topsoil Stockpile, South OB Stockpile</v>
      </c>
      <c r="F14" s="126" t="str">
        <f>'5   Dozer'!C17</f>
        <v>SWRDF Outslopes</v>
      </c>
      <c r="G14" s="203">
        <f t="shared" si="0"/>
        <v>509.12</v>
      </c>
      <c r="H14" s="203">
        <f t="shared" si="1"/>
        <v>47.58</v>
      </c>
      <c r="I14" s="88">
        <v>1</v>
      </c>
      <c r="J14" s="104">
        <f>'5   Dozer'!G17</f>
        <v>1148.7394285714288</v>
      </c>
      <c r="K14" s="116">
        <f t="shared" si="2"/>
        <v>639503.23988571449</v>
      </c>
      <c r="L14" s="136">
        <f>'4   Earthwork'!G15</f>
        <v>1237104.0000000002</v>
      </c>
      <c r="M14" s="14" t="s">
        <v>191</v>
      </c>
      <c r="N14" s="137">
        <f t="shared" si="3"/>
        <v>0.51693571428571439</v>
      </c>
      <c r="O14" s="137">
        <f t="shared" ref="O14:O17" si="15">N14+N50+N73+N96</f>
        <v>1.8653452247992395</v>
      </c>
      <c r="P14" s="91">
        <f t="shared" si="14"/>
        <v>937.63522531970784</v>
      </c>
      <c r="R14" s="4" t="s">
        <v>192</v>
      </c>
      <c r="S14" s="138">
        <f t="shared" ref="S14:S18" si="16">IF(M14="cy", IF( K14 &lt;&gt;0,IF(O14&lt;&gt;0,O14/3300*2000,""),""),"")</f>
        <v>1.1305122574540845</v>
      </c>
      <c r="T14" s="138">
        <f t="shared" si="6"/>
        <v>1547.0981217775179</v>
      </c>
    </row>
    <row r="15" spans="1:20" x14ac:dyDescent="0.2">
      <c r="A15" s="463"/>
      <c r="B15" s="3"/>
      <c r="C15" s="14" t="str">
        <f>'5   Dozer'!D18</f>
        <v>D11T CD</v>
      </c>
      <c r="D15" s="126" t="str">
        <f>'5   Dozer'!A18</f>
        <v>Dozer Assist</v>
      </c>
      <c r="E15" s="126" t="str">
        <f>'5   Dozer'!B18</f>
        <v>NOBS</v>
      </c>
      <c r="F15" s="126" t="str">
        <f>'5   Dozer'!C18</f>
        <v xml:space="preserve">SWRDF Top </v>
      </c>
      <c r="G15" s="203">
        <f t="shared" si="0"/>
        <v>509.12</v>
      </c>
      <c r="H15" s="203">
        <f t="shared" si="1"/>
        <v>47.58</v>
      </c>
      <c r="I15" s="88">
        <v>1</v>
      </c>
      <c r="J15" s="104">
        <f>'5   Dozer'!G18</f>
        <v>111.00885714285712</v>
      </c>
      <c r="K15" s="116">
        <f t="shared" si="2"/>
        <v>61798.630771428565</v>
      </c>
      <c r="L15" s="136">
        <f>'4   Earthwork'!G16</f>
        <v>119547.99999999999</v>
      </c>
      <c r="M15" s="14" t="s">
        <v>191</v>
      </c>
      <c r="N15" s="137">
        <f t="shared" si="3"/>
        <v>0.51693571428571428</v>
      </c>
      <c r="O15" s="137">
        <f t="shared" si="15"/>
        <v>2.7415865230941128</v>
      </c>
      <c r="P15" s="91">
        <f t="shared" si="14"/>
        <v>913.04707929287304</v>
      </c>
      <c r="R15" s="4" t="s">
        <v>192</v>
      </c>
      <c r="S15" s="138">
        <f t="shared" si="16"/>
        <v>1.6615675897540076</v>
      </c>
      <c r="T15" s="138">
        <f t="shared" si="6"/>
        <v>1506.5276808332405</v>
      </c>
    </row>
    <row r="16" spans="1:20" x14ac:dyDescent="0.2">
      <c r="A16" s="463"/>
      <c r="B16" s="3"/>
      <c r="C16" s="14" t="str">
        <f>'5   Dozer'!D19</f>
        <v>D11T CD</v>
      </c>
      <c r="D16" s="126" t="str">
        <f>'5   Dozer'!A19</f>
        <v>Dozer Assist</v>
      </c>
      <c r="E16" s="126" t="str">
        <f>'5   Dozer'!B19</f>
        <v>NOBS</v>
      </c>
      <c r="F16" s="126" t="str">
        <f>'5   Dozer'!C19</f>
        <v>Hanover Mountain Deposit</v>
      </c>
      <c r="G16" s="203">
        <f t="shared" si="0"/>
        <v>509.12</v>
      </c>
      <c r="H16" s="203">
        <f t="shared" si="1"/>
        <v>47.58</v>
      </c>
      <c r="I16" s="88">
        <v>1</v>
      </c>
      <c r="J16" s="104">
        <f>'5   Dozer'!G19</f>
        <v>419.31685714285709</v>
      </c>
      <c r="K16" s="116">
        <f t="shared" si="2"/>
        <v>233433.69437142857</v>
      </c>
      <c r="L16" s="136">
        <f>'4   Earthwork'!G17</f>
        <v>451571.99999999994</v>
      </c>
      <c r="M16" s="14" t="s">
        <v>191</v>
      </c>
      <c r="N16" s="137">
        <f t="shared" si="3"/>
        <v>0.51693571428571439</v>
      </c>
      <c r="O16" s="137">
        <f t="shared" si="15"/>
        <v>2.3725929533039016</v>
      </c>
      <c r="P16" s="91">
        <f t="shared" si="14"/>
        <v>912.84814610149363</v>
      </c>
      <c r="R16" s="4" t="s">
        <v>192</v>
      </c>
      <c r="S16" s="138">
        <f t="shared" si="16"/>
        <v>1.4379351232144859</v>
      </c>
      <c r="T16" s="138">
        <f t="shared" si="6"/>
        <v>1506.1994410674645</v>
      </c>
    </row>
    <row r="17" spans="1:20" x14ac:dyDescent="0.2">
      <c r="A17" s="463"/>
      <c r="B17" s="3"/>
      <c r="C17" s="14" t="str">
        <f>'5   Dozer'!D20</f>
        <v>D11T CD</v>
      </c>
      <c r="D17" s="126" t="str">
        <f>'5   Dozer'!A20</f>
        <v>Dozer Assist</v>
      </c>
      <c r="E17" s="126" t="str">
        <f>'5   Dozer'!B20</f>
        <v>OB Stockpile 1 through 3, Topsoil Stockpile, South OB Stockpile</v>
      </c>
      <c r="F17" s="126" t="str">
        <f>'5   Dozer'!C20</f>
        <v>Pearson-Barnes Mine Area</v>
      </c>
      <c r="G17" s="203">
        <f t="shared" si="0"/>
        <v>509.12</v>
      </c>
      <c r="H17" s="203">
        <f t="shared" si="1"/>
        <v>47.58</v>
      </c>
      <c r="I17" s="88">
        <v>1</v>
      </c>
      <c r="J17" s="104">
        <f>'5   Dozer'!G20</f>
        <v>53.482000000000006</v>
      </c>
      <c r="K17" s="116">
        <f t="shared" si="2"/>
        <v>29773.429400000005</v>
      </c>
      <c r="L17" s="136">
        <f>'4   Earthwork'!G18</f>
        <v>57596.000000000007</v>
      </c>
      <c r="M17" s="14" t="s">
        <v>191</v>
      </c>
      <c r="N17" s="137">
        <f>IF(L17=0,"---",K17/L17)</f>
        <v>0.51693571428571428</v>
      </c>
      <c r="O17" s="137">
        <f t="shared" si="15"/>
        <v>1.9789737359571398</v>
      </c>
      <c r="P17" s="91">
        <f t="shared" si="14"/>
        <v>1076.9230769230769</v>
      </c>
      <c r="R17" s="4" t="s">
        <v>192</v>
      </c>
      <c r="S17" s="138">
        <f>IF(M17="cy", IF( K17 &lt;&gt;0,IF(O17&lt;&gt;0,O17/3300*2000,""),""),"")</f>
        <v>1.1993780217922059</v>
      </c>
      <c r="T17" s="138">
        <f>IF(M17="cy", IF( K17 &lt;&gt;0,IF(P17&lt;&gt;0,P17*3300/2000,""),""),"")</f>
        <v>1776.9230769230769</v>
      </c>
    </row>
    <row r="18" spans="1:20" x14ac:dyDescent="0.2">
      <c r="A18" s="463"/>
      <c r="B18" s="3"/>
      <c r="C18" s="14" t="str">
        <f>'5   Dozer'!D21</f>
        <v>D11T CD</v>
      </c>
      <c r="D18" s="126" t="str">
        <f>'5   Dozer'!A21</f>
        <v>Dozer Assist</v>
      </c>
      <c r="E18" s="126" t="str">
        <f>'5   Dozer'!B21</f>
        <v>OB-4 Stockpile</v>
      </c>
      <c r="F18" s="126" t="str">
        <f>'5   Dozer'!C21</f>
        <v>Low Grade WRF</v>
      </c>
      <c r="G18" s="203">
        <f t="shared" si="0"/>
        <v>509.12</v>
      </c>
      <c r="H18" s="203">
        <f t="shared" si="1"/>
        <v>47.58</v>
      </c>
      <c r="I18" s="88">
        <v>1</v>
      </c>
      <c r="J18" s="104">
        <f>'5   Dozer'!G21</f>
        <v>41.691990476190469</v>
      </c>
      <c r="K18" s="116">
        <f t="shared" si="2"/>
        <v>23209.931098095236</v>
      </c>
      <c r="L18" s="136">
        <f>'4   Earthwork'!G19</f>
        <v>44899.066666666658</v>
      </c>
      <c r="M18" s="14" t="s">
        <v>191</v>
      </c>
      <c r="N18" s="137">
        <f t="shared" si="3"/>
        <v>0.51693571428571439</v>
      </c>
      <c r="O18" s="137">
        <f>N18+N54+N77+N100</f>
        <v>1.7091608141240953</v>
      </c>
      <c r="P18" s="91">
        <f t="shared" si="14"/>
        <v>1076.9230769230769</v>
      </c>
      <c r="R18" s="4" t="s">
        <v>192</v>
      </c>
      <c r="S18" s="138">
        <f t="shared" si="16"/>
        <v>1.0358550388630881</v>
      </c>
      <c r="T18" s="138">
        <f t="shared" si="6"/>
        <v>1776.9230769230769</v>
      </c>
    </row>
    <row r="19" spans="1:20" x14ac:dyDescent="0.2">
      <c r="A19" s="463"/>
      <c r="B19" s="3"/>
      <c r="C19" s="14" t="str">
        <f>'5   Dozer'!D22</f>
        <v>D11T CD</v>
      </c>
      <c r="D19" s="126" t="str">
        <f>'5   Dozer'!A22</f>
        <v>Dozer Assist</v>
      </c>
      <c r="E19" s="126" t="str">
        <f>'5   Dozer'!B22</f>
        <v>NOBS</v>
      </c>
      <c r="F19" s="126" t="str">
        <f>'5   Dozer'!C22</f>
        <v>MTI Reclaim Pond</v>
      </c>
      <c r="G19" s="203">
        <f t="shared" si="0"/>
        <v>509.12</v>
      </c>
      <c r="H19" s="203">
        <f t="shared" si="1"/>
        <v>47.58</v>
      </c>
      <c r="I19" s="88">
        <v>1</v>
      </c>
      <c r="J19" s="104">
        <f>'5   Dozer'!G22</f>
        <v>148.31142857142856</v>
      </c>
      <c r="K19" s="116">
        <f t="shared" si="2"/>
        <v>82564.972285714292</v>
      </c>
      <c r="L19" s="136">
        <f>'4   Earthwork'!G20</f>
        <v>159720</v>
      </c>
      <c r="M19" s="14" t="s">
        <v>191</v>
      </c>
      <c r="N19" s="137">
        <f t="shared" si="3"/>
        <v>0.51693571428571428</v>
      </c>
      <c r="O19" s="137">
        <f>N19+N55+N78+N101</f>
        <v>2.3354265284098092</v>
      </c>
      <c r="P19" s="91">
        <f t="shared" si="14"/>
        <v>1076.9230769230769</v>
      </c>
      <c r="R19" s="4" t="s">
        <v>192</v>
      </c>
      <c r="S19" s="138">
        <f t="shared" ref="S19:S35" si="17">IF(M19="cy", IF( K19 &lt;&gt;0,IF(O19&lt;&gt;0,O19/3300*2000,""),""),"")</f>
        <v>1.4154100172180661</v>
      </c>
      <c r="T19" s="138">
        <f t="shared" ref="T19:T35" si="18">IF(M19="cy", IF( K19 &lt;&gt;0,IF(P19&lt;&gt;0,P19*3300/2000,""),""),"")</f>
        <v>1776.9230769230769</v>
      </c>
    </row>
    <row r="20" spans="1:20" x14ac:dyDescent="0.2">
      <c r="A20" s="463"/>
      <c r="B20" s="3"/>
      <c r="C20" s="14" t="str">
        <f>'5   Dozer'!D23</f>
        <v>D11T CD</v>
      </c>
      <c r="D20" s="126" t="str">
        <f>'5   Dozer'!A23</f>
        <v>Dozer Assist</v>
      </c>
      <c r="E20" s="126" t="str">
        <f>'5   Dozer'!B23</f>
        <v>NOBS</v>
      </c>
      <c r="F20" s="126" t="str">
        <f>'5   Dozer'!C23</f>
        <v>MTI  Top</v>
      </c>
      <c r="G20" s="203">
        <f t="shared" si="0"/>
        <v>509.12</v>
      </c>
      <c r="H20" s="203">
        <f t="shared" si="1"/>
        <v>47.58</v>
      </c>
      <c r="I20" s="88">
        <v>1</v>
      </c>
      <c r="J20" s="104">
        <f>'5   Dozer'!G23</f>
        <v>176.69237857142861</v>
      </c>
      <c r="K20" s="116">
        <f t="shared" si="2"/>
        <v>98364.647150714314</v>
      </c>
      <c r="L20" s="136">
        <f>'4   Earthwork'!G21</f>
        <v>190284.10000000003</v>
      </c>
      <c r="M20" s="14" t="s">
        <v>191</v>
      </c>
      <c r="N20" s="137">
        <f>IF(L20=0,"---",K20/L20)</f>
        <v>0.51693571428571439</v>
      </c>
      <c r="O20" s="137">
        <f>N20+N56+N79+N102</f>
        <v>2.4484737316922236</v>
      </c>
      <c r="P20" s="91">
        <f t="shared" si="14"/>
        <v>1076.9230769230769</v>
      </c>
      <c r="R20" s="4" t="s">
        <v>192</v>
      </c>
      <c r="S20" s="138">
        <f>IF(M20="cy", IF( K20 &lt;&gt;0,IF(O20&lt;&gt;0,O20/3300*2000,""),""),"")</f>
        <v>1.4839234737528628</v>
      </c>
      <c r="T20" s="138">
        <f t="shared" si="18"/>
        <v>1776.9230769230769</v>
      </c>
    </row>
    <row r="21" spans="1:20" x14ac:dyDescent="0.2">
      <c r="A21" s="463"/>
      <c r="B21" s="3"/>
      <c r="C21" s="14" t="str">
        <f>'5   Dozer'!D24</f>
        <v>D11T CD</v>
      </c>
      <c r="D21" s="126" t="str">
        <f>'5   Dozer'!A24</f>
        <v>Dozer Assist</v>
      </c>
      <c r="E21" s="126" t="str">
        <f>'5   Dozer'!B24</f>
        <v>NOBS</v>
      </c>
      <c r="F21" s="126" t="str">
        <f>'5   Dozer'!C24</f>
        <v>MTI  Outslope</v>
      </c>
      <c r="G21" s="203">
        <f t="shared" si="0"/>
        <v>509.12</v>
      </c>
      <c r="H21" s="203">
        <f t="shared" si="1"/>
        <v>47.58</v>
      </c>
      <c r="I21" s="88">
        <v>1</v>
      </c>
      <c r="J21" s="104">
        <f>'5   Dozer'!G24</f>
        <v>163.2774</v>
      </c>
      <c r="K21" s="116">
        <f t="shared" ref="K21" si="19">(G21+H21)*J21*I21</f>
        <v>90896.528580000013</v>
      </c>
      <c r="L21" s="136">
        <f>'4   Earthwork'!G22</f>
        <v>175837.19999999998</v>
      </c>
      <c r="M21" s="14" t="s">
        <v>191</v>
      </c>
      <c r="N21" s="137">
        <f t="shared" ref="N21" si="20">IF(L21=0,"---",K21/L21)</f>
        <v>0.51693571428571439</v>
      </c>
      <c r="O21" s="137">
        <f>N21+N57+N80+N103</f>
        <v>2.3354265284098097</v>
      </c>
      <c r="P21" s="91">
        <f t="shared" si="14"/>
        <v>1076.9230769230769</v>
      </c>
      <c r="R21" s="4" t="s">
        <v>192</v>
      </c>
      <c r="S21" s="138">
        <f>IF(M21="cy", IF( K21 &lt;&gt;0,IF(O21&lt;&gt;0,O21/3300*2000,""),""),"")</f>
        <v>1.4154100172180666</v>
      </c>
      <c r="T21" s="138">
        <f t="shared" ref="T21" si="21">IF(M21="cy", IF( K21 &lt;&gt;0,IF(P21&lt;&gt;0,P21*3300/2000,""),""),"")</f>
        <v>1776.9230769230769</v>
      </c>
    </row>
    <row r="22" spans="1:20" x14ac:dyDescent="0.2">
      <c r="A22" s="463"/>
      <c r="B22" s="3"/>
      <c r="C22" s="14" t="str">
        <f>'5   Dozer'!D25</f>
        <v>D11T CD</v>
      </c>
      <c r="D22" s="126" t="str">
        <f>'5   Dozer'!A25</f>
        <v>Dozer Assist</v>
      </c>
      <c r="E22" s="126" t="str">
        <f>'5   Dozer'!B25</f>
        <v>Reclaim Pond Outlet Channel</v>
      </c>
      <c r="F22" s="126" t="str">
        <f>'5   Dozer'!C25</f>
        <v>MTI  Top</v>
      </c>
      <c r="G22" s="203">
        <f t="shared" si="0"/>
        <v>509.12</v>
      </c>
      <c r="H22" s="203">
        <f t="shared" si="1"/>
        <v>47.58</v>
      </c>
      <c r="I22" s="88">
        <v>1</v>
      </c>
      <c r="J22" s="104">
        <f>'5   Dozer'!G25</f>
        <v>66.448478571428566</v>
      </c>
      <c r="K22" s="116">
        <f>(G22+H22)*J22*I22</f>
        <v>36991.868020714282</v>
      </c>
      <c r="L22" s="136">
        <f>'4   Earthwork'!G23</f>
        <v>62226</v>
      </c>
      <c r="M22" s="14" t="s">
        <v>191</v>
      </c>
      <c r="N22" s="137">
        <f>IF(L22=0,"---",K22/L22)</f>
        <v>0.5944760714285714</v>
      </c>
      <c r="O22" s="137">
        <f>N22+N58+N81+N104+N123</f>
        <v>2.0408425437193269</v>
      </c>
      <c r="P22" s="91">
        <f t="shared" si="14"/>
        <v>936.4548494983278</v>
      </c>
      <c r="R22" s="4" t="s">
        <v>192</v>
      </c>
      <c r="S22" s="138">
        <f>IF(M22="cy", IF( K22 &lt;&gt;0,IF(O22&lt;&gt;0,O22/3300*2000,""),""),"")</f>
        <v>1.2368742689208043</v>
      </c>
      <c r="T22" s="138">
        <f t="shared" si="18"/>
        <v>1545.1505016722408</v>
      </c>
    </row>
    <row r="23" spans="1:20" x14ac:dyDescent="0.2">
      <c r="B23" s="3"/>
      <c r="C23" s="14" t="str">
        <f>'5   Dozer'!D26</f>
        <v>D11T CD</v>
      </c>
      <c r="D23" s="126" t="str">
        <f>'5   Dozer'!A26</f>
        <v>Dozer Assist</v>
      </c>
      <c r="E23" s="126" t="str">
        <f>'5   Dozer'!B26</f>
        <v>NOBS</v>
      </c>
      <c r="F23" s="126" t="str">
        <f>'5   Dozer'!C26</f>
        <v>Tailing Pipeline Corridor</v>
      </c>
      <c r="G23" s="203">
        <f t="shared" si="0"/>
        <v>509.12</v>
      </c>
      <c r="H23" s="203">
        <f t="shared" si="1"/>
        <v>47.58</v>
      </c>
      <c r="I23" s="88">
        <v>1</v>
      </c>
      <c r="J23" s="104">
        <f>'5   Dozer'!G26</f>
        <v>6.4987371428571432</v>
      </c>
      <c r="K23" s="116">
        <f t="shared" si="2"/>
        <v>3617.846967428572</v>
      </c>
      <c r="L23" s="136">
        <f>'4   Earthwork'!G24</f>
        <v>6998.64</v>
      </c>
      <c r="M23" s="14" t="s">
        <v>191</v>
      </c>
      <c r="N23" s="137">
        <f>IF(L23=0,"---",K23/L23)</f>
        <v>0.51693571428571439</v>
      </c>
      <c r="O23" s="137">
        <f>N23+N59+N82+N105</f>
        <v>2.4471608207453759</v>
      </c>
      <c r="P23" s="91">
        <f t="shared" si="14"/>
        <v>1076.9230769230769</v>
      </c>
      <c r="R23" s="4" t="s">
        <v>192</v>
      </c>
      <c r="S23" s="138">
        <f>IF(M23="cy", IF( K23 &lt;&gt;0,IF(O23&lt;&gt;0,O23/3300*2000,""),""),"")</f>
        <v>1.4831277701487127</v>
      </c>
      <c r="T23" s="138">
        <f>IF(M23="cy", IF( K23 &lt;&gt;0,IF(P23&lt;&gt;0,P23*3300/2000,""),""),"")</f>
        <v>1776.9230769230769</v>
      </c>
    </row>
    <row r="24" spans="1:20" x14ac:dyDescent="0.2">
      <c r="B24" s="3"/>
      <c r="C24" s="14" t="str">
        <f>'5   Dozer'!D27</f>
        <v>D11T CD</v>
      </c>
      <c r="D24" s="126" t="str">
        <f>'5   Dozer'!A27</f>
        <v>Dozer Assist</v>
      </c>
      <c r="E24" s="126" t="str">
        <f>'5   Dozer'!B27</f>
        <v>NOBS</v>
      </c>
      <c r="F24" s="126" t="str">
        <f>'5   Dozer'!C27</f>
        <v>Grape Gulch Pond #3</v>
      </c>
      <c r="G24" s="203">
        <f t="shared" si="0"/>
        <v>509.12</v>
      </c>
      <c r="H24" s="203">
        <f t="shared" si="1"/>
        <v>47.58</v>
      </c>
      <c r="I24" s="88">
        <v>1</v>
      </c>
      <c r="J24" s="104">
        <f>'5   Dozer'!G27</f>
        <v>1.7078285714285713</v>
      </c>
      <c r="K24" s="116">
        <f t="shared" si="2"/>
        <v>950.74816571428573</v>
      </c>
      <c r="L24" s="136">
        <f>'4   Earthwork'!G25</f>
        <v>1839.1999999999998</v>
      </c>
      <c r="M24" s="14" t="s">
        <v>191</v>
      </c>
      <c r="N24" s="137">
        <f t="shared" si="3"/>
        <v>0.51693571428571439</v>
      </c>
      <c r="O24" s="137">
        <f>N24+N60+N83+N106+N121</f>
        <v>2.2751221327724798</v>
      </c>
      <c r="P24" s="91">
        <f t="shared" si="14"/>
        <v>1076.9230769230769</v>
      </c>
      <c r="R24" s="4" t="s">
        <v>192</v>
      </c>
      <c r="S24" s="138">
        <f t="shared" si="17"/>
        <v>1.3788618986499876</v>
      </c>
      <c r="T24" s="138">
        <f t="shared" si="18"/>
        <v>1776.9230769230769</v>
      </c>
    </row>
    <row r="25" spans="1:20" x14ac:dyDescent="0.2">
      <c r="B25" s="3"/>
      <c r="C25" s="14" t="str">
        <f>'5   Dozer'!D28</f>
        <v>D11T CD</v>
      </c>
      <c r="D25" s="126" t="str">
        <f>'5   Dozer'!A28</f>
        <v>Dozer Assist</v>
      </c>
      <c r="E25" s="126" t="str">
        <f>'5   Dozer'!B28</f>
        <v>NOBS</v>
      </c>
      <c r="F25" s="126" t="str">
        <f>'5   Dozer'!C28</f>
        <v>Magnetite Seepage Pond</v>
      </c>
      <c r="G25" s="203">
        <f t="shared" si="0"/>
        <v>509.12</v>
      </c>
      <c r="H25" s="203">
        <f t="shared" si="1"/>
        <v>47.58</v>
      </c>
      <c r="I25" s="88">
        <v>1</v>
      </c>
      <c r="J25" s="104">
        <f>'5   Dozer'!G28</f>
        <v>0.89885714285714291</v>
      </c>
      <c r="K25" s="116">
        <f t="shared" si="2"/>
        <v>500.39377142857148</v>
      </c>
      <c r="L25" s="136">
        <f>'4   Earthwork'!G26</f>
        <v>968</v>
      </c>
      <c r="M25" s="14" t="s">
        <v>191</v>
      </c>
      <c r="N25" s="137">
        <f t="shared" si="3"/>
        <v>0.51693571428571439</v>
      </c>
      <c r="O25" s="137">
        <f>N25+N61+N84+N107+N122</f>
        <v>2.3657632791013929</v>
      </c>
      <c r="P25" s="91">
        <f t="shared" si="14"/>
        <v>1008.0804306966222</v>
      </c>
      <c r="R25" s="4" t="s">
        <v>192</v>
      </c>
      <c r="S25" s="138">
        <f t="shared" si="17"/>
        <v>1.4337959267281168</v>
      </c>
      <c r="T25" s="138">
        <f t="shared" si="18"/>
        <v>1663.3327106494266</v>
      </c>
    </row>
    <row r="26" spans="1:20" x14ac:dyDescent="0.2">
      <c r="B26" s="3"/>
      <c r="C26" s="14" t="str">
        <f>'5   Dozer'!D29</f>
        <v>D11T CD</v>
      </c>
      <c r="D26" s="126" t="str">
        <f>'5   Dozer'!A29</f>
        <v>Dozer Assist</v>
      </c>
      <c r="E26" s="126" t="str">
        <f>'5   Dozer'!B29</f>
        <v>OB Stockpile 1 through 3, Topsoil Stockpile, South OB Stockpile</v>
      </c>
      <c r="F26" s="126" t="str">
        <f>'5   Dozer'!C29</f>
        <v>SWRF Dam 1</v>
      </c>
      <c r="G26" s="203">
        <f t="shared" si="0"/>
        <v>509.12</v>
      </c>
      <c r="H26" s="203">
        <f t="shared" si="1"/>
        <v>47.58</v>
      </c>
      <c r="I26" s="88">
        <v>1</v>
      </c>
      <c r="J26" s="104">
        <f>'5   Dozer'!G29</f>
        <v>2.3370285714285712</v>
      </c>
      <c r="K26" s="116">
        <f t="shared" si="2"/>
        <v>1301.0238057142858</v>
      </c>
      <c r="L26" s="136">
        <f>'4   Earthwork'!G27</f>
        <v>2516.7999999999997</v>
      </c>
      <c r="M26" s="14" t="s">
        <v>191</v>
      </c>
      <c r="N26" s="137">
        <f t="shared" si="3"/>
        <v>0.51693571428571439</v>
      </c>
      <c r="O26" s="137">
        <f>N26+N62+N85+N108</f>
        <v>1.9715491901655575</v>
      </c>
      <c r="P26" s="91">
        <f t="shared" si="14"/>
        <v>937.63522531970796</v>
      </c>
      <c r="R26" s="4" t="s">
        <v>192</v>
      </c>
      <c r="S26" s="138">
        <f>IF(M26="cy", IF( K26 &lt;&gt;0,IF(O26&lt;&gt;0,O26/3300*2000,""),""),"")</f>
        <v>1.1948782970700349</v>
      </c>
      <c r="T26" s="138">
        <f t="shared" si="18"/>
        <v>1547.0981217775181</v>
      </c>
    </row>
    <row r="27" spans="1:20" x14ac:dyDescent="0.2">
      <c r="B27" s="3"/>
      <c r="C27" s="14" t="str">
        <f>'5   Dozer'!D30</f>
        <v>D11T CD</v>
      </c>
      <c r="D27" s="126" t="str">
        <f>'5   Dozer'!A30</f>
        <v>Dozer Assist</v>
      </c>
      <c r="E27" s="126" t="str">
        <f>'5   Dozer'!B30</f>
        <v>OB Stockpile 1 through 3, Topsoil Stockpile, South OB Stockpile</v>
      </c>
      <c r="F27" s="126" t="str">
        <f>'5   Dozer'!C30</f>
        <v>SWRF Dam 2</v>
      </c>
      <c r="G27" s="203">
        <f t="shared" si="0"/>
        <v>509.12</v>
      </c>
      <c r="H27" s="203">
        <f t="shared" si="1"/>
        <v>47.58</v>
      </c>
      <c r="I27" s="88">
        <v>1</v>
      </c>
      <c r="J27" s="104">
        <f>'5   Dozer'!G30</f>
        <v>1.528057142857143</v>
      </c>
      <c r="K27" s="116">
        <f t="shared" si="2"/>
        <v>850.66941142857161</v>
      </c>
      <c r="L27" s="136">
        <f>'4   Earthwork'!G28</f>
        <v>1645.6000000000001</v>
      </c>
      <c r="M27" s="14" t="s">
        <v>191</v>
      </c>
      <c r="N27" s="137">
        <f t="shared" si="3"/>
        <v>0.51693571428571439</v>
      </c>
      <c r="O27" s="137">
        <f>N27+N63+N86+N109</f>
        <v>1.9715491901655575</v>
      </c>
      <c r="P27" s="91">
        <f t="shared" si="14"/>
        <v>937.63522531970796</v>
      </c>
      <c r="R27" s="4" t="s">
        <v>192</v>
      </c>
      <c r="S27" s="138">
        <f t="shared" si="17"/>
        <v>1.1948782970700349</v>
      </c>
      <c r="T27" s="138">
        <f t="shared" si="18"/>
        <v>1547.0981217775181</v>
      </c>
    </row>
    <row r="28" spans="1:20" x14ac:dyDescent="0.2">
      <c r="B28" s="3"/>
      <c r="C28" s="14" t="str">
        <f>'5   Dozer'!D31</f>
        <v>D11T CD</v>
      </c>
      <c r="D28" s="126" t="str">
        <f>'5   Dozer'!A31</f>
        <v>Dozer Assist</v>
      </c>
      <c r="E28" s="126" t="str">
        <f>'5   Dozer'!B31</f>
        <v>OB Stockpile 1 through 3, Topsoil Stockpile, South OB Stockpile</v>
      </c>
      <c r="F28" s="126" t="str">
        <f>'5   Dozer'!C31</f>
        <v>SWRF Dam 3</v>
      </c>
      <c r="G28" s="203">
        <f t="shared" si="0"/>
        <v>509.12</v>
      </c>
      <c r="H28" s="203">
        <f t="shared" si="1"/>
        <v>47.58</v>
      </c>
      <c r="I28" s="88">
        <v>1</v>
      </c>
      <c r="J28" s="104">
        <f>'5   Dozer'!G31</f>
        <v>3.7751999999999999</v>
      </c>
      <c r="K28" s="116">
        <f t="shared" si="2"/>
        <v>2101.6538399999999</v>
      </c>
      <c r="L28" s="136">
        <f>'4   Earthwork'!G29</f>
        <v>4065.6</v>
      </c>
      <c r="M28" s="14" t="s">
        <v>191</v>
      </c>
      <c r="N28" s="137">
        <f t="shared" si="3"/>
        <v>0.51693571428571428</v>
      </c>
      <c r="O28" s="137">
        <f>N28+N64+N87+N110</f>
        <v>1.9715491901655573</v>
      </c>
      <c r="P28" s="91">
        <f t="shared" si="14"/>
        <v>937.63522531970796</v>
      </c>
      <c r="R28" s="4" t="s">
        <v>192</v>
      </c>
      <c r="S28" s="138">
        <f t="shared" si="17"/>
        <v>1.1948782970700347</v>
      </c>
      <c r="T28" s="138">
        <f t="shared" si="18"/>
        <v>1547.0981217775181</v>
      </c>
    </row>
    <row r="29" spans="1:20" x14ac:dyDescent="0.2">
      <c r="B29" s="3"/>
      <c r="C29" s="14" t="str">
        <f>'5   Dozer'!D32</f>
        <v>D11T CD</v>
      </c>
      <c r="D29" s="126" t="str">
        <f>'5   Dozer'!A32</f>
        <v>Dozer Assist</v>
      </c>
      <c r="E29" s="126" t="str">
        <f>'5   Dozer'!B32</f>
        <v>OB-4 Stockpile</v>
      </c>
      <c r="F29" s="126" t="str">
        <f>'5   Dozer'!C32</f>
        <v>North Tailings Decant Pond</v>
      </c>
      <c r="G29" s="203">
        <f t="shared" si="0"/>
        <v>509.12</v>
      </c>
      <c r="H29" s="203">
        <f t="shared" si="1"/>
        <v>47.58</v>
      </c>
      <c r="I29" s="88">
        <v>1</v>
      </c>
      <c r="J29" s="104">
        <f>'5   Dozer'!G32</f>
        <v>2.0673714285714286</v>
      </c>
      <c r="K29" s="116">
        <f t="shared" si="2"/>
        <v>1150.9056742857144</v>
      </c>
      <c r="L29" s="136">
        <f>'4   Earthwork'!G30</f>
        <v>2226.4</v>
      </c>
      <c r="M29" s="14" t="s">
        <v>191</v>
      </c>
      <c r="N29" s="137">
        <f t="shared" si="3"/>
        <v>0.51693571428571439</v>
      </c>
      <c r="O29" s="137">
        <f>N29+N65+N88+N111</f>
        <v>1.8208951064596619</v>
      </c>
      <c r="P29" s="91">
        <f t="shared" si="14"/>
        <v>1076.9230769230769</v>
      </c>
      <c r="R29" s="4" t="s">
        <v>192</v>
      </c>
      <c r="S29" s="138">
        <f t="shared" si="17"/>
        <v>1.1035727917937344</v>
      </c>
      <c r="T29" s="138">
        <f t="shared" si="18"/>
        <v>1776.9230769230769</v>
      </c>
    </row>
    <row r="30" spans="1:20" x14ac:dyDescent="0.2">
      <c r="A30" s="463"/>
      <c r="B30" s="3"/>
      <c r="C30" s="14" t="str">
        <f>'5   Dozer'!D33</f>
        <v>D11T CD</v>
      </c>
      <c r="D30" s="126" t="str">
        <f>'5   Dozer'!A33</f>
        <v>Dozer Assist</v>
      </c>
      <c r="E30" s="126" t="str">
        <f>'5   Dozer'!B33</f>
        <v>OB-4 Stockpile</v>
      </c>
      <c r="F30" s="126" t="str">
        <f>'5   Dozer'!C33</f>
        <v>East WRF Containment</v>
      </c>
      <c r="G30" s="203">
        <f t="shared" si="0"/>
        <v>509.12</v>
      </c>
      <c r="H30" s="203">
        <f t="shared" si="1"/>
        <v>47.58</v>
      </c>
      <c r="I30" s="88">
        <v>1</v>
      </c>
      <c r="J30" s="104">
        <f>'5   Dozer'!G33</f>
        <v>2.2471428571428573</v>
      </c>
      <c r="K30" s="116">
        <f t="shared" si="2"/>
        <v>1250.9844285714287</v>
      </c>
      <c r="L30" s="136">
        <f>'4   Earthwork'!G31</f>
        <v>2420</v>
      </c>
      <c r="M30" s="14" t="s">
        <v>191</v>
      </c>
      <c r="N30" s="137">
        <f>IF(L30=0,"---",K30/L30)</f>
        <v>0.51693571428571428</v>
      </c>
      <c r="O30" s="137">
        <f>N30+N66+N89+N112+N118</f>
        <v>1.9619892756296222</v>
      </c>
      <c r="P30" s="91">
        <f t="shared" si="14"/>
        <v>1076.9230769230769</v>
      </c>
      <c r="R30" s="4" t="s">
        <v>192</v>
      </c>
      <c r="S30" s="138">
        <f t="shared" si="17"/>
        <v>1.1890844094724984</v>
      </c>
      <c r="T30" s="138">
        <f t="shared" si="18"/>
        <v>1776.9230769230769</v>
      </c>
    </row>
    <row r="31" spans="1:20" x14ac:dyDescent="0.2">
      <c r="A31" s="463"/>
      <c r="B31" s="3"/>
      <c r="C31" s="14" t="str">
        <f>'5   Dozer'!D34</f>
        <v>D11T CD</v>
      </c>
      <c r="D31" s="126" t="str">
        <f>'5   Dozer'!A34</f>
        <v>Dozer Assist</v>
      </c>
      <c r="E31" s="126" t="str">
        <f>'5   Dozer'!B34</f>
        <v>NOBS</v>
      </c>
      <c r="F31" s="126" t="str">
        <f>'5   Dozer'!C34</f>
        <v xml:space="preserve">Blackman's Seep (Pond #2) </v>
      </c>
      <c r="G31" s="203">
        <f t="shared" si="0"/>
        <v>509.12</v>
      </c>
      <c r="H31" s="203">
        <f t="shared" si="1"/>
        <v>47.58</v>
      </c>
      <c r="I31" s="88">
        <v>1</v>
      </c>
      <c r="J31" s="104">
        <f>'5   Dozer'!G34</f>
        <v>4.4942857142857146E-2</v>
      </c>
      <c r="K31" s="116">
        <f t="shared" si="2"/>
        <v>25.019688571428574</v>
      </c>
      <c r="L31" s="136">
        <f>'4   Earthwork'!G32</f>
        <v>48.4</v>
      </c>
      <c r="M31" s="14" t="s">
        <v>191</v>
      </c>
      <c r="N31" s="137">
        <f>IF(L31=0,"---",K31/L31)</f>
        <v>0.51693571428571439</v>
      </c>
      <c r="O31" s="137">
        <f>N31+N67+N90+N113+N120</f>
        <v>2.2751221327724798</v>
      </c>
      <c r="P31" s="91">
        <f t="shared" si="14"/>
        <v>1076.9230769230769</v>
      </c>
      <c r="R31" s="4" t="s">
        <v>192</v>
      </c>
      <c r="S31" s="138">
        <f t="shared" si="17"/>
        <v>1.3788618986499876</v>
      </c>
      <c r="T31" s="138">
        <f t="shared" si="18"/>
        <v>1776.9230769230769</v>
      </c>
    </row>
    <row r="32" spans="1:20" x14ac:dyDescent="0.2">
      <c r="A32" s="463"/>
      <c r="B32" s="3"/>
      <c r="C32" s="14" t="str">
        <f>'5   Dozer'!D35</f>
        <v>D11T CD</v>
      </c>
      <c r="D32" s="126" t="str">
        <f>'5   Dozer'!A35</f>
        <v>Dozer Assist</v>
      </c>
      <c r="E32" s="126" t="str">
        <f>'5   Dozer'!B35</f>
        <v>OB-4 Stockpile</v>
      </c>
      <c r="F32" s="126" t="str">
        <f>'5   Dozer'!C35</f>
        <v>Decant Pond #4</v>
      </c>
      <c r="G32" s="203">
        <f t="shared" si="0"/>
        <v>509.12</v>
      </c>
      <c r="H32" s="203">
        <f t="shared" si="1"/>
        <v>47.58</v>
      </c>
      <c r="I32" s="88">
        <v>1</v>
      </c>
      <c r="J32" s="104">
        <f>'5   Dozer'!G35</f>
        <v>2.786457142857143</v>
      </c>
      <c r="K32" s="116">
        <f t="shared" si="2"/>
        <v>1551.2206914285716</v>
      </c>
      <c r="L32" s="136">
        <f>'4   Earthwork'!G33</f>
        <v>3000.8</v>
      </c>
      <c r="M32" s="14" t="s">
        <v>191</v>
      </c>
      <c r="N32" s="137">
        <f>IF(L32=0,"---",K32/L32)</f>
        <v>0.51693571428571428</v>
      </c>
      <c r="O32" s="137">
        <f>N32+N68+N91+N114+N119</f>
        <v>1.9619892756296222</v>
      </c>
      <c r="P32" s="91">
        <f t="shared" si="14"/>
        <v>1076.9230769230769</v>
      </c>
      <c r="R32" s="4" t="s">
        <v>192</v>
      </c>
      <c r="S32" s="138">
        <f t="shared" si="17"/>
        <v>1.1890844094724984</v>
      </c>
      <c r="T32" s="138">
        <f t="shared" si="18"/>
        <v>1776.9230769230769</v>
      </c>
    </row>
    <row r="33" spans="1:20" x14ac:dyDescent="0.2">
      <c r="A33" s="463"/>
      <c r="B33" s="3"/>
      <c r="C33" s="14" t="str">
        <f>'5   Dozer'!D36</f>
        <v>D11T CD</v>
      </c>
      <c r="D33" s="126" t="str">
        <f>'5   Dozer'!A36</f>
        <v>Dozer Assist</v>
      </c>
      <c r="E33" s="126" t="str">
        <f>'5   Dozer'!B36</f>
        <v>NOBS</v>
      </c>
      <c r="F33" s="126" t="str">
        <f>'5   Dozer'!C36</f>
        <v xml:space="preserve">Upper Creek Containment Pond 1 </v>
      </c>
      <c r="G33" s="203">
        <f t="shared" si="0"/>
        <v>509.12</v>
      </c>
      <c r="H33" s="203">
        <f t="shared" si="1"/>
        <v>47.58</v>
      </c>
      <c r="I33" s="88">
        <v>1</v>
      </c>
      <c r="J33" s="104">
        <f>'5   Dozer'!G36</f>
        <v>5.0785428571428559</v>
      </c>
      <c r="K33" s="116">
        <f t="shared" si="2"/>
        <v>2827.2248085714282</v>
      </c>
      <c r="L33" s="136">
        <f>'4   Earthwork'!G34</f>
        <v>5469.1999999999989</v>
      </c>
      <c r="M33" s="14" t="s">
        <v>191</v>
      </c>
      <c r="N33" s="137">
        <f>IF(L33=0,"---",K33/L33)</f>
        <v>0.51693571428571428</v>
      </c>
      <c r="O33" s="137">
        <f>N33+N69+N92+N115+N124</f>
        <v>2.2751221327724798</v>
      </c>
      <c r="P33" s="91">
        <f t="shared" si="14"/>
        <v>1076.9230769230769</v>
      </c>
      <c r="R33" s="4" t="s">
        <v>192</v>
      </c>
      <c r="S33" s="138">
        <f t="shared" si="17"/>
        <v>1.3788618986499876</v>
      </c>
      <c r="T33" s="138">
        <f t="shared" si="18"/>
        <v>1776.9230769230769</v>
      </c>
    </row>
    <row r="34" spans="1:20" x14ac:dyDescent="0.2">
      <c r="A34" s="463"/>
      <c r="B34" s="3"/>
      <c r="C34" s="14"/>
      <c r="D34" s="126"/>
      <c r="E34" s="126"/>
      <c r="F34" s="126"/>
      <c r="G34" s="203"/>
      <c r="H34" s="203"/>
      <c r="I34" s="88"/>
      <c r="J34" s="104"/>
      <c r="K34" s="116"/>
      <c r="L34" s="136"/>
      <c r="M34" s="14"/>
      <c r="N34" s="137"/>
      <c r="O34" s="137"/>
      <c r="S34" s="4" t="str">
        <f t="shared" si="17"/>
        <v/>
      </c>
      <c r="T34" s="4" t="str">
        <f t="shared" si="18"/>
        <v/>
      </c>
    </row>
    <row r="35" spans="1:20" ht="15.75" x14ac:dyDescent="0.25">
      <c r="A35" s="463"/>
      <c r="B35" s="133" t="s">
        <v>193</v>
      </c>
      <c r="C35" s="133"/>
      <c r="D35" s="14"/>
      <c r="E35" s="14"/>
      <c r="F35" s="14"/>
      <c r="G35" s="203"/>
      <c r="H35" s="203"/>
      <c r="I35" s="88"/>
      <c r="J35" s="104"/>
      <c r="K35" s="116"/>
      <c r="L35" s="126"/>
      <c r="M35" s="14"/>
      <c r="N35" s="134"/>
      <c r="O35" s="134"/>
      <c r="S35" s="4" t="str">
        <f t="shared" si="17"/>
        <v/>
      </c>
      <c r="T35" s="4" t="str">
        <f t="shared" si="18"/>
        <v/>
      </c>
    </row>
    <row r="36" spans="1:20" ht="15.75" x14ac:dyDescent="0.25">
      <c r="A36" s="463"/>
      <c r="B36" s="133"/>
      <c r="C36" s="14" t="str">
        <f>'3   Material'!G84</f>
        <v>16M</v>
      </c>
      <c r="D36" s="114" t="str">
        <f>'6   Grading'!A12</f>
        <v>Grade surface</v>
      </c>
      <c r="E36" s="114" t="str">
        <f>'6   Grading'!B12</f>
        <v>Haul Roads</v>
      </c>
      <c r="F36" s="114" t="str">
        <f>'6   Grading'!C12</f>
        <v>-</v>
      </c>
      <c r="G36" s="203">
        <f t="shared" ref="G36:G69" si="22">$I$154</f>
        <v>509.12</v>
      </c>
      <c r="H36" s="203">
        <f t="shared" ref="H36:H69" si="23">$I$167</f>
        <v>47.58</v>
      </c>
      <c r="I36" s="88">
        <v>1</v>
      </c>
      <c r="J36" s="109">
        <f>'6   Grading'!I12</f>
        <v>14.506074168797953</v>
      </c>
      <c r="K36" s="116">
        <f t="shared" si="2"/>
        <v>8075.5314897698208</v>
      </c>
      <c r="L36" s="135">
        <f>'6   Grading'!F12</f>
        <v>45</v>
      </c>
      <c r="M36" s="14" t="s">
        <v>194</v>
      </c>
      <c r="N36" s="137">
        <f t="shared" ref="N36:N44" si="24">IF(L36=0,"---",K36/L36)</f>
        <v>179.45625532821825</v>
      </c>
      <c r="O36" s="134"/>
    </row>
    <row r="37" spans="1:20" ht="15.75" x14ac:dyDescent="0.25">
      <c r="A37" s="463"/>
      <c r="B37" s="133"/>
      <c r="C37" s="14" t="str">
        <f>'3   Material'!G85</f>
        <v>16M</v>
      </c>
      <c r="D37" s="114" t="str">
        <f>'6   Grading'!A13</f>
        <v>Grade surface</v>
      </c>
      <c r="E37" s="114" t="str">
        <f>'6   Grading'!B13</f>
        <v>Exploration Roads</v>
      </c>
      <c r="F37" s="114" t="str">
        <f>'6   Grading'!C13</f>
        <v>-</v>
      </c>
      <c r="G37" s="203">
        <f t="shared" si="22"/>
        <v>509.12</v>
      </c>
      <c r="H37" s="203">
        <f t="shared" si="23"/>
        <v>47.58</v>
      </c>
      <c r="I37" s="88">
        <v>1</v>
      </c>
      <c r="J37" s="109">
        <f>'6   Grading'!I13</f>
        <v>11.927216538789429</v>
      </c>
      <c r="K37" s="116">
        <f t="shared" si="2"/>
        <v>6639.8814471440755</v>
      </c>
      <c r="L37" s="135">
        <f>'6   Grading'!F13</f>
        <v>37</v>
      </c>
      <c r="M37" s="14" t="s">
        <v>194</v>
      </c>
      <c r="N37" s="137">
        <f t="shared" si="24"/>
        <v>179.45625532821825</v>
      </c>
      <c r="O37" s="134"/>
    </row>
    <row r="38" spans="1:20" ht="15.75" x14ac:dyDescent="0.25">
      <c r="A38" s="463"/>
      <c r="B38" s="133"/>
      <c r="C38" s="14" t="str">
        <f>'3   Material'!G86</f>
        <v>16M</v>
      </c>
      <c r="D38" s="114" t="str">
        <f>'6   Grading'!A14</f>
        <v>Grade surface</v>
      </c>
      <c r="E38" s="114" t="str">
        <f>'6   Grading'!B14</f>
        <v>Low Grade WRF</v>
      </c>
      <c r="F38" s="114" t="str">
        <f>'6   Grading'!C14</f>
        <v>-</v>
      </c>
      <c r="G38" s="203">
        <f t="shared" si="22"/>
        <v>509.12</v>
      </c>
      <c r="H38" s="203">
        <f t="shared" si="23"/>
        <v>47.58</v>
      </c>
      <c r="I38" s="88">
        <v>1</v>
      </c>
      <c r="J38" s="109">
        <f>'6   Grading'!I14</f>
        <v>8.9712009803921564</v>
      </c>
      <c r="K38" s="116">
        <f t="shared" ref="K38" si="25">(G38+H38)*J38*I38</f>
        <v>4994.2675857843142</v>
      </c>
      <c r="L38" s="135">
        <f>'6   Grading'!F14</f>
        <v>27.83</v>
      </c>
      <c r="M38" s="14" t="s">
        <v>194</v>
      </c>
      <c r="N38" s="137">
        <f t="shared" ref="N38" si="26">IF(L38=0,"---",K38/L38)</f>
        <v>179.45625532821828</v>
      </c>
      <c r="O38" s="134"/>
    </row>
    <row r="39" spans="1:20" ht="15.75" x14ac:dyDescent="0.25">
      <c r="A39" s="463"/>
      <c r="B39" s="133"/>
      <c r="C39" s="14" t="str">
        <f>'3   Material'!G87</f>
        <v>16M</v>
      </c>
      <c r="D39" s="114" t="str">
        <f>'6   Grading'!A15</f>
        <v>Grade surface</v>
      </c>
      <c r="E39" s="114" t="str">
        <f>'6   Grading'!B15</f>
        <v>Grape Gulch Pond #3</v>
      </c>
      <c r="F39" s="114" t="str">
        <f>'6   Grading'!C15</f>
        <v>-</v>
      </c>
      <c r="G39" s="203">
        <f t="shared" si="22"/>
        <v>509.12</v>
      </c>
      <c r="H39" s="203">
        <f t="shared" si="23"/>
        <v>47.58</v>
      </c>
      <c r="I39" s="88">
        <v>1</v>
      </c>
      <c r="J39" s="109">
        <f>'6   Grading'!I15</f>
        <v>0.12249573742540494</v>
      </c>
      <c r="K39" s="116">
        <f t="shared" si="2"/>
        <v>68.193377024722935</v>
      </c>
      <c r="L39" s="135">
        <f>'6   Grading'!F15</f>
        <v>0.38</v>
      </c>
      <c r="M39" s="14" t="s">
        <v>194</v>
      </c>
      <c r="N39" s="137">
        <f t="shared" si="24"/>
        <v>179.45625532821825</v>
      </c>
      <c r="O39" s="134"/>
    </row>
    <row r="40" spans="1:20" ht="15.75" x14ac:dyDescent="0.25">
      <c r="A40" s="463"/>
      <c r="B40" s="133"/>
      <c r="C40" s="14" t="str">
        <f>'3   Material'!G88</f>
        <v>16M</v>
      </c>
      <c r="D40" s="114" t="str">
        <f>'6   Grading'!A16</f>
        <v>Grade surface</v>
      </c>
      <c r="E40" s="114" t="str">
        <f>'6   Grading'!B16</f>
        <v>Magnetite Seepage Pond</v>
      </c>
      <c r="F40" s="114" t="str">
        <f>'6   Grading'!C16</f>
        <v>-</v>
      </c>
      <c r="G40" s="203">
        <f t="shared" si="22"/>
        <v>509.12</v>
      </c>
      <c r="H40" s="203">
        <f t="shared" si="23"/>
        <v>47.58</v>
      </c>
      <c r="I40" s="88">
        <v>1</v>
      </c>
      <c r="J40" s="109">
        <f>'6   Grading'!I16</f>
        <v>6.4471440750213133E-2</v>
      </c>
      <c r="K40" s="116">
        <f t="shared" si="2"/>
        <v>35.891251065643651</v>
      </c>
      <c r="L40" s="135">
        <f>'6   Grading'!F16</f>
        <v>0.2</v>
      </c>
      <c r="M40" s="14" t="s">
        <v>194</v>
      </c>
      <c r="N40" s="137">
        <f t="shared" si="24"/>
        <v>179.45625532821825</v>
      </c>
      <c r="O40" s="137"/>
      <c r="S40" s="4" t="str">
        <f>IF(M40="cy", IF( K40 &lt;&gt;0,IF(O40&lt;&gt;0,O40/3300*2000,""),""),"")</f>
        <v/>
      </c>
      <c r="T40" s="4" t="str">
        <f>IF(M40="cy", IF( K40 &lt;&gt;0,IF(P40&lt;&gt;0,P40*3300/2000,""),""),"")</f>
        <v/>
      </c>
    </row>
    <row r="41" spans="1:20" ht="15.75" x14ac:dyDescent="0.25">
      <c r="A41" s="463"/>
      <c r="B41" s="133"/>
      <c r="C41" s="14" t="str">
        <f>'3   Material'!G89</f>
        <v>16M</v>
      </c>
      <c r="D41" s="114" t="str">
        <f>'6   Grading'!A17</f>
        <v>Grade surface</v>
      </c>
      <c r="E41" s="114" t="str">
        <f>'6   Grading'!B17</f>
        <v>SWRF Dam 1</v>
      </c>
      <c r="F41" s="114" t="str">
        <f>'6   Grading'!C17</f>
        <v>-</v>
      </c>
      <c r="G41" s="203">
        <f t="shared" si="22"/>
        <v>509.12</v>
      </c>
      <c r="H41" s="203">
        <f t="shared" si="23"/>
        <v>47.58</v>
      </c>
      <c r="I41" s="88">
        <v>1</v>
      </c>
      <c r="J41" s="109">
        <f>'6   Grading'!I17</f>
        <v>0.16762574595055413</v>
      </c>
      <c r="K41" s="116">
        <f t="shared" si="2"/>
        <v>93.317252770673491</v>
      </c>
      <c r="L41" s="135">
        <f>'6   Grading'!F17</f>
        <v>0.52</v>
      </c>
      <c r="M41" s="14" t="s">
        <v>194</v>
      </c>
      <c r="N41" s="137">
        <f t="shared" si="24"/>
        <v>179.45625532821825</v>
      </c>
      <c r="O41" s="137"/>
    </row>
    <row r="42" spans="1:20" ht="15.75" x14ac:dyDescent="0.25">
      <c r="A42" s="463"/>
      <c r="B42" s="133"/>
      <c r="C42" s="14" t="str">
        <f>'3   Material'!G90</f>
        <v>16M</v>
      </c>
      <c r="D42" s="114" t="str">
        <f>'6   Grading'!A18</f>
        <v>Grade surface</v>
      </c>
      <c r="E42" s="114" t="str">
        <f>'6   Grading'!B18</f>
        <v>SWRF Dam 2</v>
      </c>
      <c r="F42" s="114" t="str">
        <f>'6   Grading'!C18</f>
        <v>-</v>
      </c>
      <c r="G42" s="203">
        <f t="shared" si="22"/>
        <v>509.12</v>
      </c>
      <c r="H42" s="203">
        <f t="shared" si="23"/>
        <v>47.58</v>
      </c>
      <c r="I42" s="88">
        <v>1</v>
      </c>
      <c r="J42" s="109">
        <f>'6   Grading'!I18</f>
        <v>0.10960144927536232</v>
      </c>
      <c r="K42" s="116">
        <f t="shared" si="2"/>
        <v>61.015126811594207</v>
      </c>
      <c r="L42" s="135">
        <f>'6   Grading'!F18</f>
        <v>0.34</v>
      </c>
      <c r="M42" s="14" t="s">
        <v>194</v>
      </c>
      <c r="N42" s="137">
        <f t="shared" si="24"/>
        <v>179.45625532821825</v>
      </c>
      <c r="O42" s="137"/>
    </row>
    <row r="43" spans="1:20" ht="15.75" x14ac:dyDescent="0.25">
      <c r="A43" s="463"/>
      <c r="B43" s="133"/>
      <c r="C43" s="14" t="str">
        <f>'3   Material'!G91</f>
        <v>16M</v>
      </c>
      <c r="D43" s="114" t="str">
        <f>'6   Grading'!A19</f>
        <v>Grade surface</v>
      </c>
      <c r="E43" s="114" t="str">
        <f>'6   Grading'!B19</f>
        <v>SWRF Dam 3</v>
      </c>
      <c r="F43" s="114" t="str">
        <f>'6   Grading'!C19</f>
        <v>-</v>
      </c>
      <c r="G43" s="203">
        <f t="shared" si="22"/>
        <v>509.12</v>
      </c>
      <c r="H43" s="203">
        <f t="shared" si="23"/>
        <v>47.58</v>
      </c>
      <c r="I43" s="88">
        <v>1</v>
      </c>
      <c r="J43" s="109">
        <f>'6   Grading'!I19</f>
        <v>0.2707800511508951</v>
      </c>
      <c r="K43" s="116">
        <f t="shared" si="2"/>
        <v>150.74325447570331</v>
      </c>
      <c r="L43" s="135">
        <f>'6   Grading'!F19</f>
        <v>0.84</v>
      </c>
      <c r="M43" s="14" t="s">
        <v>194</v>
      </c>
      <c r="N43" s="137">
        <f t="shared" si="24"/>
        <v>179.45625532821822</v>
      </c>
      <c r="O43" s="137"/>
    </row>
    <row r="44" spans="1:20" x14ac:dyDescent="0.2">
      <c r="A44" s="463"/>
      <c r="B44" s="14"/>
      <c r="C44" s="14" t="str">
        <f>'3   Material'!G92</f>
        <v>16M</v>
      </c>
      <c r="D44" s="114" t="str">
        <f>'6   Grading'!A20</f>
        <v>Grade surface</v>
      </c>
      <c r="E44" s="114" t="str">
        <f>'6   Grading'!B20</f>
        <v>North Tailings Decant Pond</v>
      </c>
      <c r="F44" s="114" t="str">
        <f>'6   Grading'!C20</f>
        <v>-</v>
      </c>
      <c r="G44" s="203">
        <f t="shared" si="22"/>
        <v>509.12</v>
      </c>
      <c r="H44" s="203">
        <f t="shared" si="23"/>
        <v>47.58</v>
      </c>
      <c r="I44" s="88">
        <v>1</v>
      </c>
      <c r="J44" s="109">
        <f>'6   Grading'!I20</f>
        <v>0.1482843137254902</v>
      </c>
      <c r="K44" s="116">
        <f t="shared" si="2"/>
        <v>82.549877450980404</v>
      </c>
      <c r="L44" s="135">
        <f>'6   Grading'!F20</f>
        <v>0.46</v>
      </c>
      <c r="M44" s="14" t="s">
        <v>194</v>
      </c>
      <c r="N44" s="137">
        <f t="shared" si="24"/>
        <v>179.45625532821825</v>
      </c>
      <c r="O44" s="137"/>
      <c r="S44" s="4" t="str">
        <f t="shared" ref="S44:S54" si="27">IF(M44="cy", IF( K44 &lt;&gt;0,IF(O44&lt;&gt;0,O44/3300*2000,""),""),"")</f>
        <v/>
      </c>
      <c r="T44" s="4" t="str">
        <f t="shared" ref="T44:T52" si="28">IF(M44="cy", IF( K44 &lt;&gt;0,IF(P44&lt;&gt;0,P44*3300/2000,""),""),"")</f>
        <v/>
      </c>
    </row>
    <row r="45" spans="1:20" x14ac:dyDescent="0.2">
      <c r="A45" s="463"/>
      <c r="B45" s="14"/>
      <c r="C45" s="14" t="str">
        <f>'3   Material'!G93</f>
        <v>16M</v>
      </c>
      <c r="D45" s="114" t="str">
        <f>'6   Grading'!A21</f>
        <v>Grade surface</v>
      </c>
      <c r="E45" s="114" t="str">
        <f>'6   Grading'!B21</f>
        <v>East WRF Containment</v>
      </c>
      <c r="F45" s="114" t="str">
        <f>'6   Grading'!C21</f>
        <v>-</v>
      </c>
      <c r="G45" s="203">
        <f t="shared" si="22"/>
        <v>509.12</v>
      </c>
      <c r="H45" s="203">
        <f t="shared" si="23"/>
        <v>47.58</v>
      </c>
      <c r="I45" s="88">
        <v>1</v>
      </c>
      <c r="J45" s="109">
        <f>'6   Grading'!I21</f>
        <v>0.16117860187553282</v>
      </c>
      <c r="K45" s="116">
        <f t="shared" si="2"/>
        <v>89.728127664109124</v>
      </c>
      <c r="L45" s="135">
        <f>'6   Grading'!F21</f>
        <v>0.5</v>
      </c>
      <c r="M45" s="14" t="s">
        <v>194</v>
      </c>
      <c r="N45" s="137">
        <f>IF(L45=0,"---",K45/L45)</f>
        <v>179.45625532821825</v>
      </c>
      <c r="O45" s="137"/>
    </row>
    <row r="46" spans="1:20" x14ac:dyDescent="0.2">
      <c r="A46" s="463"/>
      <c r="B46" s="14"/>
      <c r="C46" s="14" t="str">
        <f>'3   Material'!G94</f>
        <v>16M</v>
      </c>
      <c r="D46" s="114" t="str">
        <f>'6   Grading'!A22</f>
        <v>Grade surface</v>
      </c>
      <c r="E46" s="114" t="str">
        <f>'6   Grading'!B22</f>
        <v xml:space="preserve">Blackman's Seep (Pond #2) </v>
      </c>
      <c r="F46" s="114" t="str">
        <f>'6   Grading'!C22</f>
        <v>-</v>
      </c>
      <c r="G46" s="203">
        <f t="shared" si="22"/>
        <v>509.12</v>
      </c>
      <c r="H46" s="203">
        <f t="shared" si="23"/>
        <v>47.58</v>
      </c>
      <c r="I46" s="88">
        <v>1</v>
      </c>
      <c r="J46" s="109">
        <f>'6   Grading'!I22</f>
        <v>3.2235720375106565E-3</v>
      </c>
      <c r="K46" s="116">
        <f t="shared" si="2"/>
        <v>1.7945625532821827</v>
      </c>
      <c r="L46" s="135">
        <f>'6   Grading'!F22</f>
        <v>0.01</v>
      </c>
      <c r="M46" s="14" t="s">
        <v>194</v>
      </c>
      <c r="N46" s="137">
        <f>IF(L46=0,"---",K46/L46)</f>
        <v>179.45625532821828</v>
      </c>
      <c r="O46" s="137"/>
    </row>
    <row r="47" spans="1:20" x14ac:dyDescent="0.2">
      <c r="A47" s="463"/>
      <c r="B47" s="14"/>
      <c r="C47" s="14" t="str">
        <f>'3   Material'!G95</f>
        <v>16M</v>
      </c>
      <c r="D47" s="114" t="str">
        <f>'6   Grading'!A23</f>
        <v>Grade surface</v>
      </c>
      <c r="E47" s="114" t="str">
        <f>'6   Grading'!B23</f>
        <v>Decant Pond #4</v>
      </c>
      <c r="F47" s="114" t="str">
        <f>'6   Grading'!C23</f>
        <v>-</v>
      </c>
      <c r="G47" s="203">
        <f t="shared" si="22"/>
        <v>509.12</v>
      </c>
      <c r="H47" s="203">
        <f t="shared" si="23"/>
        <v>47.58</v>
      </c>
      <c r="I47" s="88">
        <v>1</v>
      </c>
      <c r="J47" s="109">
        <f>'6   Grading'!I23</f>
        <v>0.19986146632566068</v>
      </c>
      <c r="K47" s="116">
        <f t="shared" si="2"/>
        <v>111.26287830349531</v>
      </c>
      <c r="L47" s="135">
        <f>'6   Grading'!F23</f>
        <v>0.62</v>
      </c>
      <c r="M47" s="14" t="s">
        <v>194</v>
      </c>
      <c r="N47" s="137">
        <f>IF(L47=0,"---",K47/L47)</f>
        <v>179.45625532821825</v>
      </c>
      <c r="O47" s="137"/>
    </row>
    <row r="48" spans="1:20" x14ac:dyDescent="0.2">
      <c r="A48" s="463"/>
      <c r="B48" s="14"/>
      <c r="C48" s="14" t="str">
        <f>'3   Material'!G96</f>
        <v>16M</v>
      </c>
      <c r="D48" s="114" t="str">
        <f>'6   Grading'!A24</f>
        <v>Grade surface</v>
      </c>
      <c r="E48" s="114" t="str">
        <f>'6   Grading'!B24</f>
        <v xml:space="preserve">Upper Creek Containment Pond 1 </v>
      </c>
      <c r="F48" s="114" t="str">
        <f>'6   Grading'!C24</f>
        <v>-</v>
      </c>
      <c r="G48" s="203">
        <f t="shared" si="22"/>
        <v>509.12</v>
      </c>
      <c r="H48" s="203">
        <f t="shared" si="23"/>
        <v>47.58</v>
      </c>
      <c r="I48" s="88">
        <v>1</v>
      </c>
      <c r="J48" s="109">
        <f>'6   Grading'!I24</f>
        <v>0.36426364023870411</v>
      </c>
      <c r="K48" s="116">
        <f t="shared" si="2"/>
        <v>202.78556852088659</v>
      </c>
      <c r="L48" s="135">
        <f>'6   Grading'!F24</f>
        <v>1.1299999999999999</v>
      </c>
      <c r="M48" s="14" t="s">
        <v>194</v>
      </c>
      <c r="N48" s="137">
        <f>IF(L48=0,"---",K48/L48)</f>
        <v>179.45625532821825</v>
      </c>
      <c r="O48" s="137"/>
    </row>
    <row r="49" spans="1:20" x14ac:dyDescent="0.2">
      <c r="A49" s="463"/>
      <c r="B49" s="14"/>
      <c r="C49" s="14" t="str">
        <f>'3   Material'!G97</f>
        <v>D11T CD</v>
      </c>
      <c r="D49" s="114" t="str">
        <f>'6   Grading'!A25</f>
        <v>Grade cover soil</v>
      </c>
      <c r="E49" s="114" t="str">
        <f>'6   Grading'!B25</f>
        <v xml:space="preserve">SWRDF Top </v>
      </c>
      <c r="F49" s="114" t="str">
        <f>'6   Grading'!C25</f>
        <v>-</v>
      </c>
      <c r="G49" s="203">
        <f t="shared" si="22"/>
        <v>509.12</v>
      </c>
      <c r="H49" s="203">
        <f t="shared" si="23"/>
        <v>47.58</v>
      </c>
      <c r="I49" s="88">
        <v>1</v>
      </c>
      <c r="J49" s="109">
        <f>'6   Grading'!I25</f>
        <v>214.67344804945083</v>
      </c>
      <c r="K49" s="116">
        <f t="shared" si="2"/>
        <v>119508.70852912929</v>
      </c>
      <c r="L49" s="135">
        <f>'6   Grading'!E25</f>
        <v>412368.00000000006</v>
      </c>
      <c r="M49" s="14" t="s">
        <v>191</v>
      </c>
      <c r="N49" s="137">
        <f t="shared" ref="N49:N65" si="29">IF(L49=0,"---",K49/L49)</f>
        <v>0.28981082074537617</v>
      </c>
      <c r="O49" s="137"/>
      <c r="S49" s="4" t="str">
        <f t="shared" si="27"/>
        <v/>
      </c>
      <c r="T49" s="4" t="str">
        <f t="shared" si="28"/>
        <v/>
      </c>
    </row>
    <row r="50" spans="1:20" x14ac:dyDescent="0.2">
      <c r="A50" s="463"/>
      <c r="B50" s="14"/>
      <c r="C50" s="14" t="str">
        <f>'3   Material'!G98</f>
        <v>D11T CD</v>
      </c>
      <c r="D50" s="114" t="str">
        <f>'6   Grading'!A26</f>
        <v>Grade cover soil</v>
      </c>
      <c r="E50" s="114" t="str">
        <f>'6   Grading'!B26</f>
        <v>SWRDF Outslopes</v>
      </c>
      <c r="F50" s="114" t="str">
        <f>'6   Grading'!C26</f>
        <v>-</v>
      </c>
      <c r="G50" s="203">
        <f t="shared" si="22"/>
        <v>509.12</v>
      </c>
      <c r="H50" s="203">
        <f t="shared" si="23"/>
        <v>47.58</v>
      </c>
      <c r="I50" s="88">
        <v>1</v>
      </c>
      <c r="J50" s="109">
        <f>'6   Grading'!I26</f>
        <v>408.01288883932892</v>
      </c>
      <c r="K50" s="116">
        <f t="shared" si="2"/>
        <v>227140.77521685444</v>
      </c>
      <c r="L50" s="135">
        <f>'6   Grading'!E26</f>
        <v>1237104.0000000002</v>
      </c>
      <c r="M50" s="14" t="s">
        <v>191</v>
      </c>
      <c r="N50" s="137">
        <f t="shared" si="29"/>
        <v>0.18360685537905819</v>
      </c>
      <c r="O50" s="137"/>
      <c r="S50" s="4" t="str">
        <f t="shared" si="27"/>
        <v/>
      </c>
      <c r="T50" s="4" t="str">
        <f t="shared" si="28"/>
        <v/>
      </c>
    </row>
    <row r="51" spans="1:20" x14ac:dyDescent="0.2">
      <c r="A51" s="463"/>
      <c r="B51" s="14"/>
      <c r="C51" s="14" t="str">
        <f>'3   Material'!G99</f>
        <v>D11T CD</v>
      </c>
      <c r="D51" s="114" t="str">
        <f>'6   Grading'!A27</f>
        <v>Grade cover soil</v>
      </c>
      <c r="E51" s="114" t="str">
        <f>'6   Grading'!B27</f>
        <v xml:space="preserve">SWRDF Top </v>
      </c>
      <c r="F51" s="114" t="str">
        <f>'6   Grading'!C27</f>
        <v>-</v>
      </c>
      <c r="G51" s="203">
        <f t="shared" si="22"/>
        <v>509.12</v>
      </c>
      <c r="H51" s="203">
        <f t="shared" si="23"/>
        <v>47.58</v>
      </c>
      <c r="I51" s="88">
        <v>1</v>
      </c>
      <c r="J51" s="109">
        <f>'6   Grading'!I27</f>
        <v>62.235142803068477</v>
      </c>
      <c r="K51" s="116">
        <f t="shared" si="2"/>
        <v>34646.303998468225</v>
      </c>
      <c r="L51" s="135">
        <f>'6   Grading'!E27</f>
        <v>119547.99999999999</v>
      </c>
      <c r="M51" s="14" t="s">
        <v>191</v>
      </c>
      <c r="N51" s="137">
        <f t="shared" si="29"/>
        <v>0.28981082074537617</v>
      </c>
      <c r="O51" s="137"/>
      <c r="S51" s="4" t="str">
        <f t="shared" si="27"/>
        <v/>
      </c>
      <c r="T51" s="4" t="str">
        <f t="shared" si="28"/>
        <v/>
      </c>
    </row>
    <row r="52" spans="1:20" x14ac:dyDescent="0.2">
      <c r="A52" s="463"/>
      <c r="B52" s="14"/>
      <c r="C52" s="14" t="str">
        <f>'3   Material'!G100</f>
        <v>D11T CD</v>
      </c>
      <c r="D52" s="114" t="str">
        <f>'6   Grading'!A28</f>
        <v>Grade cover soil</v>
      </c>
      <c r="E52" s="114" t="str">
        <f>'6   Grading'!B28</f>
        <v>Hanover Mountain Deposit</v>
      </c>
      <c r="F52" s="114" t="str">
        <f>'6   Grading'!C28</f>
        <v>-</v>
      </c>
      <c r="G52" s="203">
        <f t="shared" si="22"/>
        <v>509.12</v>
      </c>
      <c r="H52" s="203">
        <f t="shared" si="23"/>
        <v>47.58</v>
      </c>
      <c r="I52" s="88">
        <v>1</v>
      </c>
      <c r="J52" s="109">
        <f>'6   Grading'!I28</f>
        <v>235.08254346260279</v>
      </c>
      <c r="K52" s="116">
        <f t="shared" si="2"/>
        <v>130870.45194563098</v>
      </c>
      <c r="L52" s="135">
        <f>'6   Grading'!E28</f>
        <v>451571.99999999994</v>
      </c>
      <c r="M52" s="14" t="s">
        <v>191</v>
      </c>
      <c r="N52" s="137">
        <f t="shared" si="29"/>
        <v>0.28981082074537612</v>
      </c>
      <c r="O52" s="137"/>
      <c r="S52" s="4" t="str">
        <f t="shared" si="27"/>
        <v/>
      </c>
      <c r="T52" s="4" t="str">
        <f t="shared" si="28"/>
        <v/>
      </c>
    </row>
    <row r="53" spans="1:20" x14ac:dyDescent="0.2">
      <c r="A53" s="463"/>
      <c r="B53" s="14"/>
      <c r="C53" s="14" t="str">
        <f>'3   Material'!G101</f>
        <v>D11T CD</v>
      </c>
      <c r="D53" s="114" t="str">
        <f>'6   Grading'!A29</f>
        <v>Grade cover soil</v>
      </c>
      <c r="E53" s="114" t="str">
        <f>'6   Grading'!B29</f>
        <v>Pearson-Barnes Mine Area</v>
      </c>
      <c r="F53" s="114" t="str">
        <f>'6   Grading'!C29</f>
        <v>-</v>
      </c>
      <c r="G53" s="203">
        <f t="shared" si="22"/>
        <v>509.12</v>
      </c>
      <c r="H53" s="203">
        <f t="shared" si="23"/>
        <v>47.58</v>
      </c>
      <c r="I53" s="88">
        <v>1</v>
      </c>
      <c r="J53" s="109">
        <f>'6   Grading'!I29</f>
        <v>46.338496095181291</v>
      </c>
      <c r="K53" s="116">
        <f t="shared" si="2"/>
        <v>25796.640776187429</v>
      </c>
      <c r="L53" s="135">
        <f>'6   Grading'!E29</f>
        <v>57596.000000000007</v>
      </c>
      <c r="M53" s="14" t="s">
        <v>191</v>
      </c>
      <c r="N53" s="137">
        <f>IF(L53=0,"---",K53/L53)</f>
        <v>0.44788945024285409</v>
      </c>
      <c r="O53" s="137"/>
    </row>
    <row r="54" spans="1:20" x14ac:dyDescent="0.2">
      <c r="A54" s="463"/>
      <c r="B54" s="14"/>
      <c r="C54" s="14" t="str">
        <f>'3   Material'!G102</f>
        <v>D11T CD</v>
      </c>
      <c r="D54" s="114" t="str">
        <f>'6   Grading'!A30</f>
        <v>Grade cover soil</v>
      </c>
      <c r="E54" s="114" t="str">
        <f>'6   Grading'!B30</f>
        <v>Low Grade WRF</v>
      </c>
      <c r="F54" s="114" t="str">
        <f>'6   Grading'!C30</f>
        <v>-</v>
      </c>
      <c r="G54" s="203">
        <f t="shared" si="22"/>
        <v>509.12</v>
      </c>
      <c r="H54" s="203">
        <f t="shared" si="23"/>
        <v>47.58</v>
      </c>
      <c r="I54" s="88">
        <v>1</v>
      </c>
      <c r="J54" s="109">
        <f>'6   Grading'!I30</f>
        <v>14.362259602731438</v>
      </c>
      <c r="K54" s="116">
        <f t="shared" ref="K54:K92" si="30">(G54+H54)*J54*I54</f>
        <v>7995.4699208405918</v>
      </c>
      <c r="L54" s="135">
        <f>'6   Grading'!E30</f>
        <v>44899.066666666658</v>
      </c>
      <c r="M54" s="14" t="s">
        <v>191</v>
      </c>
      <c r="N54" s="137">
        <f t="shared" si="29"/>
        <v>0.17807652840980942</v>
      </c>
      <c r="O54" s="137"/>
      <c r="S54" s="4" t="str">
        <f t="shared" si="27"/>
        <v/>
      </c>
      <c r="T54" s="4" t="str">
        <f>IF(M54="cy", IF( K54 &lt;&gt;0,IF(P54&lt;&gt;0,P54*3300/2000,""),""),"")</f>
        <v/>
      </c>
    </row>
    <row r="55" spans="1:20" x14ac:dyDescent="0.2">
      <c r="A55" s="463"/>
      <c r="B55" s="14"/>
      <c r="C55" s="14" t="str">
        <f>'3   Material'!G103</f>
        <v>D11T CD</v>
      </c>
      <c r="D55" s="114" t="str">
        <f>'6   Grading'!A31</f>
        <v>Grade cover soil</v>
      </c>
      <c r="E55" s="114" t="str">
        <f>'6   Grading'!B31</f>
        <v>MTI Reclaim Pond</v>
      </c>
      <c r="F55" s="114" t="str">
        <f>'6   Grading'!C31</f>
        <v>-</v>
      </c>
      <c r="G55" s="203">
        <f t="shared" si="22"/>
        <v>509.12</v>
      </c>
      <c r="H55" s="203">
        <f t="shared" si="23"/>
        <v>47.58</v>
      </c>
      <c r="I55" s="88">
        <v>1</v>
      </c>
      <c r="J55" s="109">
        <f>'6   Grading'!I31</f>
        <v>51.091042065052555</v>
      </c>
      <c r="K55" s="116">
        <f t="shared" si="30"/>
        <v>28442.383117614761</v>
      </c>
      <c r="L55" s="135">
        <f>'6   Grading'!E31</f>
        <v>159720</v>
      </c>
      <c r="M55" s="14" t="s">
        <v>191</v>
      </c>
      <c r="N55" s="137">
        <f t="shared" si="29"/>
        <v>0.17807652840980942</v>
      </c>
      <c r="O55" s="137"/>
    </row>
    <row r="56" spans="1:20" x14ac:dyDescent="0.2">
      <c r="A56" s="463"/>
      <c r="B56" s="14"/>
      <c r="C56" s="14" t="str">
        <f>'3   Material'!G104</f>
        <v>D11T CD</v>
      </c>
      <c r="D56" s="114" t="str">
        <f>'6   Grading'!A32</f>
        <v>Grade cover soil</v>
      </c>
      <c r="E56" s="114" t="str">
        <f>'6   Grading'!B32</f>
        <v>MTI  Top</v>
      </c>
      <c r="F56" s="114" t="str">
        <f>'6   Grading'!C32</f>
        <v>-</v>
      </c>
      <c r="G56" s="203">
        <f t="shared" si="22"/>
        <v>509.12</v>
      </c>
      <c r="H56" s="203">
        <f t="shared" si="23"/>
        <v>47.58</v>
      </c>
      <c r="I56" s="88">
        <v>1</v>
      </c>
      <c r="J56" s="109">
        <f>'6   Grading'!I32</f>
        <v>99.508204192017629</v>
      </c>
      <c r="K56" s="116">
        <f t="shared" si="30"/>
        <v>55396.217273696217</v>
      </c>
      <c r="L56" s="135">
        <f>'6   Grading'!E32</f>
        <v>190284.10000000003</v>
      </c>
      <c r="M56" s="14" t="s">
        <v>191</v>
      </c>
      <c r="N56" s="137">
        <f t="shared" si="29"/>
        <v>0.29112373169222339</v>
      </c>
      <c r="O56" s="137"/>
    </row>
    <row r="57" spans="1:20" x14ac:dyDescent="0.2">
      <c r="A57" s="463"/>
      <c r="B57" s="14"/>
      <c r="C57" s="14" t="str">
        <f>'3   Material'!G105</f>
        <v>D11T CD</v>
      </c>
      <c r="D57" s="114" t="str">
        <f>'6   Grading'!A33</f>
        <v>Grade cover soil</v>
      </c>
      <c r="E57" s="114" t="str">
        <f>'6   Grading'!B33</f>
        <v>MTI  Outslope</v>
      </c>
      <c r="F57" s="114" t="str">
        <f>'6   Grading'!C33</f>
        <v>-</v>
      </c>
      <c r="G57" s="203">
        <f t="shared" si="22"/>
        <v>509.12</v>
      </c>
      <c r="H57" s="203">
        <f t="shared" si="23"/>
        <v>47.58</v>
      </c>
      <c r="I57" s="88">
        <v>1</v>
      </c>
      <c r="J57" s="109">
        <f>'6   Grading'!I33</f>
        <v>56.246592673435124</v>
      </c>
      <c r="K57" s="116">
        <f t="shared" ref="K57" si="31">(G57+H57)*J57*I57</f>
        <v>31312.478141301337</v>
      </c>
      <c r="L57" s="135">
        <f>'6   Grading'!E33</f>
        <v>175837.19999999998</v>
      </c>
      <c r="M57" s="14" t="s">
        <v>191</v>
      </c>
      <c r="N57" s="137">
        <f t="shared" ref="N57" si="32">IF(L57=0,"---",K57/L57)</f>
        <v>0.17807652840980942</v>
      </c>
      <c r="O57" s="137"/>
    </row>
    <row r="58" spans="1:20" x14ac:dyDescent="0.2">
      <c r="A58" s="463"/>
      <c r="B58" s="14"/>
      <c r="C58" s="14" t="str">
        <f>'3   Material'!G106</f>
        <v>D11T CD</v>
      </c>
      <c r="D58" s="114" t="str">
        <f>'6   Grading'!A34</f>
        <v>Grade cover soil</v>
      </c>
      <c r="E58" s="114" t="str">
        <f>'6   Grading'!B34</f>
        <v>MTI  Top</v>
      </c>
      <c r="F58" s="114" t="str">
        <f>'6   Grading'!C34</f>
        <v>-</v>
      </c>
      <c r="G58" s="203">
        <f t="shared" si="22"/>
        <v>509.12</v>
      </c>
      <c r="H58" s="203">
        <f t="shared" si="23"/>
        <v>47.58</v>
      </c>
      <c r="I58" s="88">
        <v>1</v>
      </c>
      <c r="J58" s="109">
        <f>'6   Grading'!I34</f>
        <v>37.421924065964319</v>
      </c>
      <c r="K58" s="116">
        <f t="shared" si="30"/>
        <v>20832.785127522337</v>
      </c>
      <c r="L58" s="135">
        <f>'6   Grading'!E34</f>
        <v>71559.899999999994</v>
      </c>
      <c r="M58" s="14" t="s">
        <v>191</v>
      </c>
      <c r="N58" s="137">
        <f t="shared" si="29"/>
        <v>0.29112373169222339</v>
      </c>
      <c r="O58" s="137"/>
    </row>
    <row r="59" spans="1:20" x14ac:dyDescent="0.2">
      <c r="A59" s="463"/>
      <c r="B59" s="14"/>
      <c r="C59" s="14" t="str">
        <f>'3   Material'!G107</f>
        <v>D11T CD</v>
      </c>
      <c r="D59" s="114" t="str">
        <f>'6   Grading'!A35</f>
        <v>Grade cover soil</v>
      </c>
      <c r="E59" s="114" t="str">
        <f>'6   Grading'!B35</f>
        <v>Tailing Pipeline Corridor</v>
      </c>
      <c r="F59" s="114" t="str">
        <f>'6   Grading'!C35</f>
        <v>-</v>
      </c>
      <c r="G59" s="203">
        <f t="shared" si="22"/>
        <v>509.12</v>
      </c>
      <c r="H59" s="203">
        <f t="shared" si="23"/>
        <v>47.58</v>
      </c>
      <c r="I59" s="88">
        <v>1</v>
      </c>
      <c r="J59" s="109">
        <f>'6   Grading'!I35</f>
        <v>3.6434014774589891</v>
      </c>
      <c r="K59" s="116">
        <f t="shared" si="30"/>
        <v>2028.2816025014195</v>
      </c>
      <c r="L59" s="135">
        <f>'6   Grading'!E35</f>
        <v>6998.64</v>
      </c>
      <c r="M59" s="14" t="s">
        <v>191</v>
      </c>
      <c r="N59" s="137">
        <f>IF(L59=0,"---",K59/L59)</f>
        <v>0.28981082074537617</v>
      </c>
      <c r="O59" s="137"/>
    </row>
    <row r="60" spans="1:20" x14ac:dyDescent="0.2">
      <c r="A60" s="463"/>
      <c r="B60" s="14"/>
      <c r="C60" s="14" t="str">
        <f>'3   Material'!G108</f>
        <v>D11T CD</v>
      </c>
      <c r="D60" s="114" t="str">
        <f>'6   Grading'!A36</f>
        <v>Grade cover soil</v>
      </c>
      <c r="E60" s="114" t="str">
        <f>'6   Grading'!B36</f>
        <v>Grape Gulch Pond #3</v>
      </c>
      <c r="F60" s="114" t="str">
        <f>'6   Grading'!C36</f>
        <v>-</v>
      </c>
      <c r="G60" s="203">
        <f t="shared" si="22"/>
        <v>509.12</v>
      </c>
      <c r="H60" s="203">
        <f t="shared" si="23"/>
        <v>47.58</v>
      </c>
      <c r="I60" s="88">
        <v>1</v>
      </c>
      <c r="J60" s="109">
        <f>'6   Grading'!I36</f>
        <v>0.95746373543182273</v>
      </c>
      <c r="K60" s="116">
        <f t="shared" si="30"/>
        <v>533.0200615148957</v>
      </c>
      <c r="L60" s="135">
        <f>'6   Grading'!E36</f>
        <v>1839.1999999999998</v>
      </c>
      <c r="M60" s="14" t="s">
        <v>191</v>
      </c>
      <c r="N60" s="137">
        <f t="shared" si="29"/>
        <v>0.28981082074537612</v>
      </c>
      <c r="O60" s="137"/>
    </row>
    <row r="61" spans="1:20" x14ac:dyDescent="0.2">
      <c r="A61" s="463"/>
      <c r="B61" s="14"/>
      <c r="C61" s="14" t="str">
        <f>'3   Material'!G109</f>
        <v>D11T CD</v>
      </c>
      <c r="D61" s="114" t="str">
        <f>'6   Grading'!A37</f>
        <v>Grade cover soil</v>
      </c>
      <c r="E61" s="114" t="str">
        <f>'6   Grading'!B37</f>
        <v>Magnetite Seepage Pond</v>
      </c>
      <c r="F61" s="114" t="str">
        <f>'6   Grading'!C37</f>
        <v>-</v>
      </c>
      <c r="G61" s="203">
        <f t="shared" si="22"/>
        <v>509.12</v>
      </c>
      <c r="H61" s="203">
        <f t="shared" si="23"/>
        <v>47.58</v>
      </c>
      <c r="I61" s="88">
        <v>1</v>
      </c>
      <c r="J61" s="109">
        <f>'6   Grading'!I37</f>
        <v>0.50392828180622251</v>
      </c>
      <c r="K61" s="116">
        <f t="shared" si="30"/>
        <v>280.53687448152408</v>
      </c>
      <c r="L61" s="135">
        <f>'6   Grading'!E37</f>
        <v>968</v>
      </c>
      <c r="M61" s="14" t="s">
        <v>191</v>
      </c>
      <c r="N61" s="137">
        <f t="shared" si="29"/>
        <v>0.28981082074537612</v>
      </c>
      <c r="O61" s="137"/>
      <c r="T61" s="4" t="str">
        <f>IF(M61="cy", IF( K61 &lt;&gt;0,IF(P61&lt;&gt;0,P61*3300/2000,""),""),"")</f>
        <v/>
      </c>
    </row>
    <row r="62" spans="1:20" x14ac:dyDescent="0.2">
      <c r="A62" s="463"/>
      <c r="B62" s="14"/>
      <c r="C62" s="14" t="str">
        <f>'3   Material'!G110</f>
        <v>D11T CD</v>
      </c>
      <c r="D62" s="114" t="str">
        <f>'6   Grading'!A38</f>
        <v>Grade cover soil</v>
      </c>
      <c r="E62" s="114" t="str">
        <f>'6   Grading'!B38</f>
        <v>SWRF Dam 1</v>
      </c>
      <c r="F62" s="114" t="str">
        <f>'6   Grading'!C38</f>
        <v>-</v>
      </c>
      <c r="G62" s="203">
        <f t="shared" si="22"/>
        <v>509.12</v>
      </c>
      <c r="H62" s="203">
        <f t="shared" si="23"/>
        <v>47.58</v>
      </c>
      <c r="I62" s="88">
        <v>1</v>
      </c>
      <c r="J62" s="109">
        <f>'6   Grading'!I38</f>
        <v>1.3102135326961786</v>
      </c>
      <c r="K62" s="116">
        <f t="shared" si="30"/>
        <v>729.39587365196269</v>
      </c>
      <c r="L62" s="135">
        <f>'6   Grading'!E38</f>
        <v>2516.7999999999997</v>
      </c>
      <c r="M62" s="14" t="s">
        <v>191</v>
      </c>
      <c r="N62" s="137">
        <f t="shared" si="29"/>
        <v>0.28981082074537617</v>
      </c>
      <c r="O62" s="137"/>
    </row>
    <row r="63" spans="1:20" x14ac:dyDescent="0.2">
      <c r="A63" s="463"/>
      <c r="B63" s="14"/>
      <c r="C63" s="14" t="str">
        <f>'3   Material'!G111</f>
        <v>D11T CD</v>
      </c>
      <c r="D63" s="114" t="str">
        <f>'6   Grading'!A39</f>
        <v>Grade cover soil</v>
      </c>
      <c r="E63" s="114" t="str">
        <f>'6   Grading'!B39</f>
        <v>SWRF Dam 2</v>
      </c>
      <c r="F63" s="114" t="str">
        <f>'6   Grading'!C39</f>
        <v>-</v>
      </c>
      <c r="G63" s="203">
        <f t="shared" si="22"/>
        <v>509.12</v>
      </c>
      <c r="H63" s="203">
        <f t="shared" si="23"/>
        <v>47.58</v>
      </c>
      <c r="I63" s="88">
        <v>1</v>
      </c>
      <c r="J63" s="109">
        <f>'6   Grading'!I39</f>
        <v>0.85667807907057836</v>
      </c>
      <c r="K63" s="116">
        <f t="shared" si="30"/>
        <v>476.91268661859101</v>
      </c>
      <c r="L63" s="135">
        <f>'6   Grading'!E39</f>
        <v>1645.6000000000001</v>
      </c>
      <c r="M63" s="14" t="s">
        <v>191</v>
      </c>
      <c r="N63" s="137">
        <f t="shared" si="29"/>
        <v>0.28981082074537612</v>
      </c>
      <c r="O63" s="137"/>
    </row>
    <row r="64" spans="1:20" x14ac:dyDescent="0.2">
      <c r="A64" s="463"/>
      <c r="B64" s="14"/>
      <c r="C64" s="14" t="str">
        <f>'3   Material'!G112</f>
        <v>D11T CD</v>
      </c>
      <c r="D64" s="114" t="str">
        <f>'6   Grading'!A40</f>
        <v>Grade cover soil</v>
      </c>
      <c r="E64" s="114" t="str">
        <f>'6   Grading'!B40</f>
        <v>SWRF Dam 3</v>
      </c>
      <c r="F64" s="114" t="str">
        <f>'6   Grading'!C40</f>
        <v>-</v>
      </c>
      <c r="G64" s="203">
        <f t="shared" si="22"/>
        <v>509.12</v>
      </c>
      <c r="H64" s="203">
        <f t="shared" si="23"/>
        <v>47.58</v>
      </c>
      <c r="I64" s="88">
        <v>1</v>
      </c>
      <c r="J64" s="109">
        <f>'6   Grading'!I40</f>
        <v>2.1164987835861346</v>
      </c>
      <c r="K64" s="116">
        <f t="shared" si="30"/>
        <v>1178.2548728224012</v>
      </c>
      <c r="L64" s="135">
        <f>'6   Grading'!E40</f>
        <v>4065.6</v>
      </c>
      <c r="M64" s="14" t="s">
        <v>191</v>
      </c>
      <c r="N64" s="137">
        <f t="shared" si="29"/>
        <v>0.28981082074537617</v>
      </c>
      <c r="O64" s="137"/>
    </row>
    <row r="65" spans="1:20" x14ac:dyDescent="0.2">
      <c r="A65" s="463"/>
      <c r="B65" s="14"/>
      <c r="C65" s="14" t="str">
        <f>'3   Material'!G113</f>
        <v>D11T CD</v>
      </c>
      <c r="D65" s="114" t="str">
        <f>'6   Grading'!A41</f>
        <v>Grade cover soil</v>
      </c>
      <c r="E65" s="114" t="str">
        <f>'6   Grading'!B41</f>
        <v>North Tailings Decant Pond</v>
      </c>
      <c r="F65" s="114" t="str">
        <f>'6   Grading'!C41</f>
        <v>-</v>
      </c>
      <c r="G65" s="203">
        <f t="shared" si="22"/>
        <v>509.12</v>
      </c>
      <c r="H65" s="203">
        <f t="shared" si="23"/>
        <v>47.58</v>
      </c>
      <c r="I65" s="88">
        <v>1</v>
      </c>
      <c r="J65" s="109">
        <f>'6   Grading'!I41</f>
        <v>1.1590350481543119</v>
      </c>
      <c r="K65" s="116">
        <f t="shared" si="30"/>
        <v>645.23481130750554</v>
      </c>
      <c r="L65" s="135">
        <f>'6   Grading'!E41</f>
        <v>2226.4</v>
      </c>
      <c r="M65" s="14" t="s">
        <v>191</v>
      </c>
      <c r="N65" s="137">
        <f t="shared" si="29"/>
        <v>0.28981082074537617</v>
      </c>
      <c r="O65" s="137"/>
      <c r="T65" s="4" t="str">
        <f>IF(M65="cy", IF( K65 &lt;&gt;0,IF(P65&lt;&gt;0,P65*3300/2000,""),""),"")</f>
        <v/>
      </c>
    </row>
    <row r="66" spans="1:20" x14ac:dyDescent="0.2">
      <c r="A66" s="463"/>
      <c r="B66" s="14"/>
      <c r="C66" s="14" t="str">
        <f>'3   Material'!G114</f>
        <v>D11T CD</v>
      </c>
      <c r="D66" s="114" t="str">
        <f>'6   Grading'!A42</f>
        <v>Grade cover soil</v>
      </c>
      <c r="E66" s="114" t="str">
        <f>'6   Grading'!B42</f>
        <v>East WRF Containment</v>
      </c>
      <c r="F66" s="114" t="str">
        <f>'6   Grading'!C42</f>
        <v>-</v>
      </c>
      <c r="G66" s="203">
        <f t="shared" si="22"/>
        <v>509.12</v>
      </c>
      <c r="H66" s="203">
        <f t="shared" si="23"/>
        <v>47.58</v>
      </c>
      <c r="I66" s="88">
        <v>1</v>
      </c>
      <c r="J66" s="109">
        <f>'6   Grading'!I42</f>
        <v>1.2598207045155563</v>
      </c>
      <c r="K66" s="116">
        <f t="shared" si="30"/>
        <v>701.34218620381023</v>
      </c>
      <c r="L66" s="135">
        <f>'6   Grading'!E42</f>
        <v>2420</v>
      </c>
      <c r="M66" s="14" t="s">
        <v>191</v>
      </c>
      <c r="N66" s="137">
        <f>IF(L66=0,"---",K66/L66)</f>
        <v>0.28981082074537612</v>
      </c>
      <c r="O66" s="137"/>
    </row>
    <row r="67" spans="1:20" x14ac:dyDescent="0.2">
      <c r="A67" s="463"/>
      <c r="B67" s="14"/>
      <c r="C67" s="14" t="str">
        <f>'3   Material'!G115</f>
        <v>D11T CD</v>
      </c>
      <c r="D67" s="114" t="str">
        <f>'6   Grading'!A43</f>
        <v>Grade cover soil</v>
      </c>
      <c r="E67" s="114" t="str">
        <f>'6   Grading'!B43</f>
        <v xml:space="preserve">Blackman's Seep (Pond #2) </v>
      </c>
      <c r="F67" s="114" t="str">
        <f>'6   Grading'!C43</f>
        <v>-</v>
      </c>
      <c r="G67" s="203">
        <f t="shared" si="22"/>
        <v>509.12</v>
      </c>
      <c r="H67" s="203">
        <f t="shared" si="23"/>
        <v>47.58</v>
      </c>
      <c r="I67" s="88">
        <v>1</v>
      </c>
      <c r="J67" s="109">
        <f>'6   Grading'!I43</f>
        <v>2.5196414090311127E-2</v>
      </c>
      <c r="K67" s="116">
        <f t="shared" si="30"/>
        <v>14.026843724076205</v>
      </c>
      <c r="L67" s="135">
        <f>'6   Grading'!E43</f>
        <v>48.4</v>
      </c>
      <c r="M67" s="14" t="s">
        <v>191</v>
      </c>
      <c r="N67" s="137">
        <f>IF(L67=0,"---",K67/L67)</f>
        <v>0.28981082074537612</v>
      </c>
      <c r="O67" s="137"/>
    </row>
    <row r="68" spans="1:20" x14ac:dyDescent="0.2">
      <c r="A68" s="463"/>
      <c r="B68" s="14"/>
      <c r="C68" s="14" t="str">
        <f>'3   Material'!G116</f>
        <v>D11T CD</v>
      </c>
      <c r="D68" s="114" t="str">
        <f>'6   Grading'!A44</f>
        <v>Grade cover soil</v>
      </c>
      <c r="E68" s="114" t="str">
        <f>'6   Grading'!B44</f>
        <v>Decant Pond #4</v>
      </c>
      <c r="F68" s="114" t="str">
        <f>'6   Grading'!C44</f>
        <v>-</v>
      </c>
      <c r="G68" s="203">
        <f t="shared" si="22"/>
        <v>509.12</v>
      </c>
      <c r="H68" s="203">
        <f t="shared" si="23"/>
        <v>47.58</v>
      </c>
      <c r="I68" s="88">
        <v>1</v>
      </c>
      <c r="J68" s="109">
        <f>'6   Grading'!I44</f>
        <v>1.5621776735992901</v>
      </c>
      <c r="K68" s="116">
        <f t="shared" si="30"/>
        <v>869.66431089272487</v>
      </c>
      <c r="L68" s="135">
        <f>'6   Grading'!E44</f>
        <v>3000.8</v>
      </c>
      <c r="M68" s="14" t="s">
        <v>191</v>
      </c>
      <c r="N68" s="137">
        <f>IF(L68=0,"---",K68/L68)</f>
        <v>0.28981082074537617</v>
      </c>
      <c r="O68" s="137"/>
    </row>
    <row r="69" spans="1:20" x14ac:dyDescent="0.2">
      <c r="A69" s="463"/>
      <c r="B69" s="14"/>
      <c r="C69" s="14" t="str">
        <f>'3   Material'!G117</f>
        <v>D11T CD</v>
      </c>
      <c r="D69" s="114" t="str">
        <f>'6   Grading'!A45</f>
        <v>Grade cover soil</v>
      </c>
      <c r="E69" s="114" t="str">
        <f>'6   Grading'!B45</f>
        <v xml:space="preserve">Upper Creek Containment Pond 1 </v>
      </c>
      <c r="F69" s="114" t="str">
        <f>'6   Grading'!C45</f>
        <v>-</v>
      </c>
      <c r="G69" s="203">
        <f t="shared" si="22"/>
        <v>509.12</v>
      </c>
      <c r="H69" s="203">
        <f t="shared" si="23"/>
        <v>47.58</v>
      </c>
      <c r="I69" s="88">
        <v>1</v>
      </c>
      <c r="J69" s="109">
        <f>'6   Grading'!I45</f>
        <v>2.847194792205157</v>
      </c>
      <c r="K69" s="116">
        <f t="shared" si="30"/>
        <v>1585.0333408206111</v>
      </c>
      <c r="L69" s="135">
        <f>'6   Grading'!E45</f>
        <v>5469.1999999999989</v>
      </c>
      <c r="M69" s="14" t="s">
        <v>191</v>
      </c>
      <c r="N69" s="137">
        <f>IF(L69=0,"---",K69/L69)</f>
        <v>0.28981082074537617</v>
      </c>
      <c r="O69" s="137"/>
    </row>
    <row r="70" spans="1:20" x14ac:dyDescent="0.2">
      <c r="A70" s="463"/>
      <c r="B70" s="14"/>
      <c r="C70" s="14"/>
      <c r="D70" s="114"/>
      <c r="E70" s="114"/>
      <c r="F70" s="114"/>
      <c r="G70" s="203"/>
      <c r="H70" s="203"/>
      <c r="I70" s="88"/>
      <c r="J70" s="104"/>
      <c r="K70" s="116"/>
      <c r="L70" s="135"/>
      <c r="M70" s="14"/>
      <c r="N70" s="134"/>
      <c r="O70" s="134"/>
      <c r="T70" s="4" t="str">
        <f t="shared" ref="T70:T77" si="33">IF(M70="cy", IF( K70 &lt;&gt;0,IF(P70&lt;&gt;0,P70*3300/2000,""),""),"")</f>
        <v/>
      </c>
    </row>
    <row r="71" spans="1:20" ht="15.75" x14ac:dyDescent="0.25">
      <c r="A71" s="463"/>
      <c r="B71" s="139" t="s">
        <v>195</v>
      </c>
      <c r="C71" s="139"/>
      <c r="D71" s="114"/>
      <c r="E71" s="114"/>
      <c r="F71" s="114"/>
      <c r="G71" s="203"/>
      <c r="H71" s="203"/>
      <c r="I71" s="88"/>
      <c r="J71" s="104"/>
      <c r="K71" s="116"/>
      <c r="L71" s="135"/>
      <c r="M71" s="14"/>
      <c r="N71" s="134"/>
      <c r="O71" s="134"/>
      <c r="T71" s="4" t="str">
        <f t="shared" si="33"/>
        <v/>
      </c>
    </row>
    <row r="72" spans="1:20" x14ac:dyDescent="0.2">
      <c r="A72" s="463"/>
      <c r="B72" s="3"/>
      <c r="C72" s="3" t="str">
        <f>'3   Material'!G35</f>
        <v>992K</v>
      </c>
      <c r="D72" s="114" t="str">
        <f>'10   Loader'!A11</f>
        <v>Load cover soil</v>
      </c>
      <c r="E72" s="114" t="str">
        <f>'4   Earthwork'!C35</f>
        <v>OB Stockpile 1 through 4, Topsoil Stockpile, South OB Stockpile</v>
      </c>
      <c r="F72" s="114" t="str">
        <f>'4   Earthwork'!D35</f>
        <v xml:space="preserve">SWRDF Top </v>
      </c>
      <c r="G72" s="203">
        <f t="shared" ref="G72:G92" si="34">$I$157</f>
        <v>369.97</v>
      </c>
      <c r="H72" s="203">
        <f t="shared" ref="H72:H92" si="35">$I$170</f>
        <v>47.75</v>
      </c>
      <c r="I72" s="88">
        <v>1</v>
      </c>
      <c r="J72" s="104">
        <f>MAX('10   Loader'!I11,'9   Trucks'!I14)</f>
        <v>439.79576370906273</v>
      </c>
      <c r="K72" s="116">
        <f t="shared" si="30"/>
        <v>183711.48641654968</v>
      </c>
      <c r="L72" s="126">
        <f>'10   Loader'!E11</f>
        <v>412368.00000000006</v>
      </c>
      <c r="M72" s="14" t="s">
        <v>191</v>
      </c>
      <c r="N72" s="137">
        <f t="shared" ref="N72:N88" si="36">IF(L72=0,"---",K72/L72)</f>
        <v>0.44550374038855989</v>
      </c>
      <c r="O72" s="137"/>
      <c r="T72" s="4" t="str">
        <f t="shared" si="33"/>
        <v/>
      </c>
    </row>
    <row r="73" spans="1:20" x14ac:dyDescent="0.2">
      <c r="A73" s="463"/>
      <c r="B73" s="3"/>
      <c r="C73" s="3" t="str">
        <f>'3   Material'!G36</f>
        <v>992K</v>
      </c>
      <c r="D73" s="114" t="str">
        <f>'10   Loader'!A12</f>
        <v>Load cover soil</v>
      </c>
      <c r="E73" s="114" t="str">
        <f>'4   Earthwork'!C36</f>
        <v>OB Stockpile 1 through 4, Topsoil Stockpile, South OB Stockpile</v>
      </c>
      <c r="F73" s="114" t="str">
        <f>'4   Earthwork'!D36</f>
        <v>SWRDF Outslopes</v>
      </c>
      <c r="G73" s="203">
        <f t="shared" si="34"/>
        <v>369.97</v>
      </c>
      <c r="H73" s="203">
        <f t="shared" si="35"/>
        <v>47.75</v>
      </c>
      <c r="I73" s="88">
        <v>1</v>
      </c>
      <c r="J73" s="104">
        <f>MAX('10   Loader'!I12,'9   Trucks'!I15)</f>
        <v>1319.3872911271883</v>
      </c>
      <c r="K73" s="116">
        <f t="shared" si="30"/>
        <v>551134.45924964908</v>
      </c>
      <c r="L73" s="126">
        <f>'10   Loader'!E12</f>
        <v>1237104.0000000002</v>
      </c>
      <c r="M73" s="14" t="s">
        <v>191</v>
      </c>
      <c r="N73" s="137">
        <f t="shared" si="36"/>
        <v>0.44550374038855989</v>
      </c>
      <c r="O73" s="137"/>
      <c r="T73" s="4" t="str">
        <f t="shared" si="33"/>
        <v/>
      </c>
    </row>
    <row r="74" spans="1:20" x14ac:dyDescent="0.2">
      <c r="A74" s="463"/>
      <c r="B74" s="3"/>
      <c r="C74" s="3" t="str">
        <f>'3   Material'!G37</f>
        <v>992K</v>
      </c>
      <c r="D74" s="114" t="str">
        <f>'10   Loader'!A13</f>
        <v>Load cover soil</v>
      </c>
      <c r="E74" s="114" t="str">
        <f>'4   Earthwork'!C37</f>
        <v>NOBS</v>
      </c>
      <c r="F74" s="114" t="str">
        <f>'4   Earthwork'!D37</f>
        <v xml:space="preserve">SWRDF Top </v>
      </c>
      <c r="G74" s="203">
        <f t="shared" si="34"/>
        <v>369.97</v>
      </c>
      <c r="H74" s="203">
        <f t="shared" si="35"/>
        <v>47.75</v>
      </c>
      <c r="I74" s="88">
        <v>1</v>
      </c>
      <c r="J74" s="104">
        <f>MAX('10   Loader'!I13,'9   Trucks'!I16)</f>
        <v>130.93300741138808</v>
      </c>
      <c r="K74" s="116">
        <f t="shared" si="30"/>
        <v>54693.33585588503</v>
      </c>
      <c r="L74" s="126">
        <f>'10   Loader'!E13</f>
        <v>119547.99999999999</v>
      </c>
      <c r="M74" s="14" t="s">
        <v>191</v>
      </c>
      <c r="N74" s="137">
        <f t="shared" si="36"/>
        <v>0.45750105276445474</v>
      </c>
      <c r="O74" s="137"/>
      <c r="T74" s="4" t="str">
        <f t="shared" si="33"/>
        <v/>
      </c>
    </row>
    <row r="75" spans="1:20" x14ac:dyDescent="0.2">
      <c r="A75" s="463"/>
      <c r="B75" s="3"/>
      <c r="C75" s="3" t="str">
        <f>'3   Material'!G38</f>
        <v>992K</v>
      </c>
      <c r="D75" s="114" t="str">
        <f>'10   Loader'!A14</f>
        <v>Load cover soil</v>
      </c>
      <c r="E75" s="114" t="str">
        <f>'4   Earthwork'!C38</f>
        <v>NOBS</v>
      </c>
      <c r="F75" s="114" t="str">
        <f>'4   Earthwork'!D38</f>
        <v>Hanover Mountain Deposit</v>
      </c>
      <c r="G75" s="203">
        <f t="shared" si="34"/>
        <v>369.97</v>
      </c>
      <c r="H75" s="203">
        <f t="shared" si="35"/>
        <v>47.75</v>
      </c>
      <c r="I75" s="88">
        <v>1</v>
      </c>
      <c r="J75" s="104">
        <f>MAX('10   Loader'!I14,'9   Trucks'!I17)</f>
        <v>494.68468762140924</v>
      </c>
      <c r="K75" s="116">
        <f t="shared" si="30"/>
        <v>206639.68771321507</v>
      </c>
      <c r="L75" s="126">
        <f>'10   Loader'!E14</f>
        <v>451571.99999999994</v>
      </c>
      <c r="M75" s="14" t="s">
        <v>191</v>
      </c>
      <c r="N75" s="137">
        <f t="shared" si="36"/>
        <v>0.45760075406184419</v>
      </c>
      <c r="O75" s="137"/>
      <c r="T75" s="4" t="str">
        <f t="shared" si="33"/>
        <v/>
      </c>
    </row>
    <row r="76" spans="1:20" x14ac:dyDescent="0.2">
      <c r="A76" s="463"/>
      <c r="B76" s="3"/>
      <c r="C76" s="3" t="str">
        <f>'3   Material'!G39</f>
        <v>992K</v>
      </c>
      <c r="D76" s="114" t="str">
        <f>'10   Loader'!A15</f>
        <v>Load cover soil</v>
      </c>
      <c r="E76" s="114" t="str">
        <f>'4   Earthwork'!C39</f>
        <v>OB Stockpile 1 through 3, Topsoil Stockpile, South OB Stockpile</v>
      </c>
      <c r="F76" s="114" t="str">
        <f>'4   Earthwork'!D39</f>
        <v>Pearson-Barnes Mine Area</v>
      </c>
      <c r="G76" s="203">
        <f t="shared" si="34"/>
        <v>369.97</v>
      </c>
      <c r="H76" s="203">
        <f t="shared" si="35"/>
        <v>47.75</v>
      </c>
      <c r="I76" s="88">
        <v>1</v>
      </c>
      <c r="J76" s="104">
        <f>MAX('10   Loader'!I15,'9   Trucks'!I18)</f>
        <v>53.482000000000006</v>
      </c>
      <c r="K76" s="116">
        <f t="shared" si="30"/>
        <v>22340.501040000003</v>
      </c>
      <c r="L76" s="126">
        <f>'10   Loader'!E15</f>
        <v>57596.000000000007</v>
      </c>
      <c r="M76" s="14" t="s">
        <v>191</v>
      </c>
      <c r="N76" s="137">
        <f>IF(L76=0,"---",K76/L76)</f>
        <v>0.38788285714285714</v>
      </c>
      <c r="O76" s="137"/>
    </row>
    <row r="77" spans="1:20" x14ac:dyDescent="0.2">
      <c r="A77" s="463"/>
      <c r="B77" s="3"/>
      <c r="C77" s="3" t="str">
        <f>'3   Material'!G40</f>
        <v>992K</v>
      </c>
      <c r="D77" s="114" t="str">
        <f>'10   Loader'!A16</f>
        <v>Load cover soil</v>
      </c>
      <c r="E77" s="114" t="str">
        <f>'4   Earthwork'!C40</f>
        <v>OB-4 Stockpile</v>
      </c>
      <c r="F77" s="114" t="str">
        <f>'4   Earthwork'!D40</f>
        <v>Low Grade WRF</v>
      </c>
      <c r="G77" s="203">
        <f t="shared" si="34"/>
        <v>369.97</v>
      </c>
      <c r="H77" s="203">
        <f t="shared" si="35"/>
        <v>47.75</v>
      </c>
      <c r="I77" s="88">
        <v>1</v>
      </c>
      <c r="J77" s="104">
        <f>MAX('10   Loader'!I16,'9   Trucks'!I19)</f>
        <v>41.691990476190469</v>
      </c>
      <c r="K77" s="116">
        <f t="shared" si="30"/>
        <v>17415.578261714283</v>
      </c>
      <c r="L77" s="126">
        <f>'10   Loader'!E16</f>
        <v>44899.066666666658</v>
      </c>
      <c r="M77" s="14" t="s">
        <v>191</v>
      </c>
      <c r="N77" s="137">
        <f t="shared" si="36"/>
        <v>0.38788285714285714</v>
      </c>
      <c r="O77" s="137"/>
      <c r="T77" s="4" t="str">
        <f t="shared" si="33"/>
        <v/>
      </c>
    </row>
    <row r="78" spans="1:20" x14ac:dyDescent="0.2">
      <c r="A78" s="463"/>
      <c r="B78" s="3"/>
      <c r="C78" s="3" t="str">
        <f>'3   Material'!G41</f>
        <v>992K</v>
      </c>
      <c r="D78" s="114" t="str">
        <f>'10   Loader'!A17</f>
        <v>Load cover soil</v>
      </c>
      <c r="E78" s="114" t="str">
        <f>'4   Earthwork'!C41</f>
        <v>NOBS</v>
      </c>
      <c r="F78" s="114" t="str">
        <f>'4   Earthwork'!D41</f>
        <v>MTI Reclaim Pond</v>
      </c>
      <c r="G78" s="203">
        <f t="shared" si="34"/>
        <v>369.97</v>
      </c>
      <c r="H78" s="203">
        <f t="shared" si="35"/>
        <v>47.75</v>
      </c>
      <c r="I78" s="88">
        <v>1</v>
      </c>
      <c r="J78" s="104">
        <f>MAX('10   Loader'!I17,'9   Trucks'!I20)</f>
        <v>148.31142857142856</v>
      </c>
      <c r="K78" s="116">
        <f t="shared" si="30"/>
        <v>61952.649942857141</v>
      </c>
      <c r="L78" s="126">
        <f>'10   Loader'!E17</f>
        <v>159720</v>
      </c>
      <c r="M78" s="14" t="s">
        <v>191</v>
      </c>
      <c r="N78" s="137">
        <f t="shared" si="36"/>
        <v>0.38788285714285714</v>
      </c>
      <c r="O78" s="137"/>
    </row>
    <row r="79" spans="1:20" x14ac:dyDescent="0.2">
      <c r="A79" s="463"/>
      <c r="B79" s="3"/>
      <c r="C79" s="3" t="str">
        <f>'3   Material'!G42</f>
        <v>992K</v>
      </c>
      <c r="D79" s="114" t="str">
        <f>'10   Loader'!A18</f>
        <v>Load cover soil</v>
      </c>
      <c r="E79" s="114" t="str">
        <f>'4   Earthwork'!C42</f>
        <v>NOBS</v>
      </c>
      <c r="F79" s="114" t="str">
        <f>'4   Earthwork'!D42</f>
        <v>MTI  Top</v>
      </c>
      <c r="G79" s="203">
        <f t="shared" si="34"/>
        <v>369.97</v>
      </c>
      <c r="H79" s="203">
        <f t="shared" si="35"/>
        <v>47.75</v>
      </c>
      <c r="I79" s="88">
        <v>1</v>
      </c>
      <c r="J79" s="104">
        <f>MAX('10   Loader'!I18,'9   Trucks'!I21)</f>
        <v>176.69237857142861</v>
      </c>
      <c r="K79" s="116">
        <f t="shared" si="30"/>
        <v>73807.940376857165</v>
      </c>
      <c r="L79" s="126">
        <f>'10   Loader'!E18</f>
        <v>190284.10000000003</v>
      </c>
      <c r="M79" s="14" t="s">
        <v>191</v>
      </c>
      <c r="N79" s="137">
        <f t="shared" si="36"/>
        <v>0.3878828571428572</v>
      </c>
      <c r="O79" s="137"/>
    </row>
    <row r="80" spans="1:20" x14ac:dyDescent="0.2">
      <c r="A80" s="463"/>
      <c r="B80" s="3"/>
      <c r="C80" s="3" t="str">
        <f>'3   Material'!G43</f>
        <v>992K</v>
      </c>
      <c r="D80" s="114" t="str">
        <f>'10   Loader'!A19</f>
        <v>Load cover soil</v>
      </c>
      <c r="E80" s="114" t="str">
        <f>'4   Earthwork'!C43</f>
        <v>NOBS</v>
      </c>
      <c r="F80" s="114" t="str">
        <f>'4   Earthwork'!D43</f>
        <v>MTI  Outslope</v>
      </c>
      <c r="G80" s="203">
        <f t="shared" si="34"/>
        <v>369.97</v>
      </c>
      <c r="H80" s="203">
        <f t="shared" si="35"/>
        <v>47.75</v>
      </c>
      <c r="I80" s="88">
        <v>1</v>
      </c>
      <c r="J80" s="104">
        <f>MAX('10   Loader'!I19,'9   Trucks'!I22)</f>
        <v>163.2774</v>
      </c>
      <c r="K80" s="116">
        <f t="shared" ref="K80" si="37">(G80+H80)*J80*I80</f>
        <v>68204.235528000005</v>
      </c>
      <c r="L80" s="126">
        <f>'10   Loader'!E19</f>
        <v>175837.19999999998</v>
      </c>
      <c r="M80" s="14" t="s">
        <v>191</v>
      </c>
      <c r="N80" s="137">
        <f>IF(L80=0,"---",K80/L80)</f>
        <v>0.3878828571428572</v>
      </c>
      <c r="O80" s="137"/>
    </row>
    <row r="81" spans="1:15" x14ac:dyDescent="0.2">
      <c r="A81" s="463"/>
      <c r="B81" s="3"/>
      <c r="C81" s="3" t="str">
        <f>'3   Material'!G44</f>
        <v>992K</v>
      </c>
      <c r="D81" s="114" t="str">
        <f>'10   Loader'!A20</f>
        <v>Load cover soil</v>
      </c>
      <c r="E81" s="114" t="str">
        <f>'4   Earthwork'!C44</f>
        <v>Reclaim Pond Outlet Channel</v>
      </c>
      <c r="F81" s="114" t="str">
        <f>'4   Earthwork'!D44</f>
        <v>MTI  Top</v>
      </c>
      <c r="G81" s="203">
        <f t="shared" si="34"/>
        <v>369.97</v>
      </c>
      <c r="H81" s="203">
        <f t="shared" si="35"/>
        <v>47.75</v>
      </c>
      <c r="I81" s="88">
        <v>1</v>
      </c>
      <c r="J81" s="104">
        <f>MAX('10   Loader'!I20,'9   Trucks'!I23)</f>
        <v>66.448478571428566</v>
      </c>
      <c r="K81" s="116">
        <f t="shared" si="30"/>
        <v>27756.858468857143</v>
      </c>
      <c r="L81" s="126">
        <f>'10   Loader'!E20</f>
        <v>71559.899999999994</v>
      </c>
      <c r="M81" s="14" t="s">
        <v>191</v>
      </c>
      <c r="N81" s="137">
        <f>IF(L81=0,"---",K81/L81)</f>
        <v>0.3878828571428572</v>
      </c>
      <c r="O81" s="137"/>
    </row>
    <row r="82" spans="1:15" x14ac:dyDescent="0.2">
      <c r="A82" s="463"/>
      <c r="B82" s="3"/>
      <c r="C82" s="3" t="str">
        <f>'3   Material'!G45</f>
        <v>992K</v>
      </c>
      <c r="D82" s="114" t="str">
        <f>'10   Loader'!A21</f>
        <v>Load cover soil</v>
      </c>
      <c r="E82" s="114" t="str">
        <f>'4   Earthwork'!C45</f>
        <v>NOBS</v>
      </c>
      <c r="F82" s="114" t="str">
        <f>'4   Earthwork'!D45</f>
        <v>Tailing Pipeline Corridor</v>
      </c>
      <c r="G82" s="203">
        <f t="shared" si="34"/>
        <v>369.97</v>
      </c>
      <c r="H82" s="203">
        <f t="shared" si="35"/>
        <v>47.75</v>
      </c>
      <c r="I82" s="88">
        <v>1</v>
      </c>
      <c r="J82" s="104">
        <f>MAX('10   Loader'!I21,'9   Trucks'!I24)</f>
        <v>6.4987371428571432</v>
      </c>
      <c r="K82" s="116">
        <f t="shared" si="30"/>
        <v>2714.6524793142862</v>
      </c>
      <c r="L82" s="126">
        <f>'10   Loader'!E21</f>
        <v>6998.64</v>
      </c>
      <c r="M82" s="14" t="s">
        <v>191</v>
      </c>
      <c r="N82" s="137">
        <f>IF(L82=0,"---",K82/L82)</f>
        <v>0.3878828571428572</v>
      </c>
      <c r="O82" s="137"/>
    </row>
    <row r="83" spans="1:15" x14ac:dyDescent="0.2">
      <c r="A83" s="463"/>
      <c r="B83" s="3"/>
      <c r="C83" s="3" t="str">
        <f>'3   Material'!G46</f>
        <v>992K</v>
      </c>
      <c r="D83" s="114" t="str">
        <f>'10   Loader'!A22</f>
        <v>Load cover soil</v>
      </c>
      <c r="E83" s="114" t="str">
        <f>'4   Earthwork'!C46</f>
        <v>NOBS</v>
      </c>
      <c r="F83" s="114" t="str">
        <f>'4   Earthwork'!D46</f>
        <v>Grape Gulch Pond #3</v>
      </c>
      <c r="G83" s="203">
        <f t="shared" si="34"/>
        <v>369.97</v>
      </c>
      <c r="H83" s="203">
        <f t="shared" si="35"/>
        <v>47.75</v>
      </c>
      <c r="I83" s="88">
        <v>1</v>
      </c>
      <c r="J83" s="104">
        <f>MAX('10   Loader'!I22,'9   Trucks'!I25)</f>
        <v>1.7078285714285713</v>
      </c>
      <c r="K83" s="116">
        <f t="shared" si="30"/>
        <v>713.39415085714279</v>
      </c>
      <c r="L83" s="126">
        <f>'10   Loader'!E22</f>
        <v>1839.1999999999998</v>
      </c>
      <c r="M83" s="14" t="s">
        <v>191</v>
      </c>
      <c r="N83" s="137">
        <f t="shared" si="36"/>
        <v>0.38788285714285714</v>
      </c>
      <c r="O83" s="137"/>
    </row>
    <row r="84" spans="1:15" x14ac:dyDescent="0.2">
      <c r="A84" s="463"/>
      <c r="B84" s="3"/>
      <c r="C84" s="3" t="str">
        <f>'3   Material'!G47</f>
        <v>992K</v>
      </c>
      <c r="D84" s="114" t="str">
        <f>'10   Loader'!A23</f>
        <v>Load cover soil</v>
      </c>
      <c r="E84" s="114" t="str">
        <f>'4   Earthwork'!C47</f>
        <v>NOBS</v>
      </c>
      <c r="F84" s="114" t="str">
        <f>'4   Earthwork'!D47</f>
        <v>Magnetite Seepage Pond</v>
      </c>
      <c r="G84" s="203">
        <f t="shared" si="34"/>
        <v>369.97</v>
      </c>
      <c r="H84" s="203">
        <f t="shared" si="35"/>
        <v>47.75</v>
      </c>
      <c r="I84" s="88">
        <v>1</v>
      </c>
      <c r="J84" s="104">
        <f>MAX('10   Loader'!I23,'9   Trucks'!I26)</f>
        <v>0.96024084043678426</v>
      </c>
      <c r="K84" s="116">
        <f t="shared" si="30"/>
        <v>401.11180386725357</v>
      </c>
      <c r="L84" s="126">
        <f>'10   Loader'!E23</f>
        <v>968</v>
      </c>
      <c r="M84" s="14" t="s">
        <v>191</v>
      </c>
      <c r="N84" s="137">
        <f t="shared" si="36"/>
        <v>0.41437169820997272</v>
      </c>
      <c r="O84" s="137"/>
    </row>
    <row r="85" spans="1:15" x14ac:dyDescent="0.2">
      <c r="A85" s="463"/>
      <c r="B85" s="3"/>
      <c r="C85" s="3" t="str">
        <f>'3   Material'!G48</f>
        <v>992K</v>
      </c>
      <c r="D85" s="114" t="str">
        <f>'10   Loader'!A24</f>
        <v>Load cover soil</v>
      </c>
      <c r="E85" s="114" t="str">
        <f>'4   Earthwork'!C48</f>
        <v>OB Stockpile 1 through 3, Topsoil Stockpile, South OB Stockpile</v>
      </c>
      <c r="F85" s="114" t="str">
        <f>'4   Earthwork'!D48</f>
        <v>SWRF Dam 1</v>
      </c>
      <c r="G85" s="203">
        <f t="shared" si="34"/>
        <v>369.97</v>
      </c>
      <c r="H85" s="203">
        <f t="shared" si="35"/>
        <v>47.75</v>
      </c>
      <c r="I85" s="88">
        <v>1</v>
      </c>
      <c r="J85" s="104">
        <f>MAX('10   Loader'!I24,'9   Trucks'!I27)</f>
        <v>2.6841994968158751</v>
      </c>
      <c r="K85" s="116">
        <f t="shared" si="30"/>
        <v>1121.2438138099274</v>
      </c>
      <c r="L85" s="126">
        <f>'10   Loader'!E24</f>
        <v>2516.7999999999997</v>
      </c>
      <c r="M85" s="14" t="s">
        <v>191</v>
      </c>
      <c r="N85" s="137">
        <f t="shared" si="36"/>
        <v>0.44550374038855989</v>
      </c>
      <c r="O85" s="137"/>
    </row>
    <row r="86" spans="1:15" x14ac:dyDescent="0.2">
      <c r="A86" s="463"/>
      <c r="B86" s="3"/>
      <c r="C86" s="3" t="str">
        <f>'3   Material'!G49</f>
        <v>992K</v>
      </c>
      <c r="D86" s="114" t="str">
        <f>'10   Loader'!A25</f>
        <v>Load cover soil</v>
      </c>
      <c r="E86" s="114" t="str">
        <f>'4   Earthwork'!C49</f>
        <v>OB Stockpile 1 through 3, Topsoil Stockpile, South OB Stockpile</v>
      </c>
      <c r="F86" s="114" t="str">
        <f>'4   Earthwork'!D49</f>
        <v>SWRF Dam 2</v>
      </c>
      <c r="G86" s="203">
        <f t="shared" si="34"/>
        <v>369.97</v>
      </c>
      <c r="H86" s="203">
        <f t="shared" si="35"/>
        <v>47.75</v>
      </c>
      <c r="I86" s="88">
        <v>1</v>
      </c>
      <c r="J86" s="104">
        <f>MAX('10   Loader'!I25,'9   Trucks'!I28)</f>
        <v>1.7550535171488417</v>
      </c>
      <c r="K86" s="116">
        <f t="shared" si="30"/>
        <v>733.12095518341425</v>
      </c>
      <c r="L86" s="126">
        <f>'10   Loader'!E25</f>
        <v>1645.6000000000001</v>
      </c>
      <c r="M86" s="14" t="s">
        <v>191</v>
      </c>
      <c r="N86" s="137">
        <f t="shared" si="36"/>
        <v>0.44550374038855989</v>
      </c>
      <c r="O86" s="137"/>
    </row>
    <row r="87" spans="1:15" x14ac:dyDescent="0.2">
      <c r="A87" s="463"/>
      <c r="B87" s="3"/>
      <c r="C87" s="3" t="str">
        <f>'3   Material'!G50</f>
        <v>992K</v>
      </c>
      <c r="D87" s="114" t="str">
        <f>'10   Loader'!A26</f>
        <v>Load cover soil</v>
      </c>
      <c r="E87" s="114" t="str">
        <f>'4   Earthwork'!C50</f>
        <v>OB Stockpile 1 through 3, Topsoil Stockpile, South OB Stockpile</v>
      </c>
      <c r="F87" s="114" t="str">
        <f>'4   Earthwork'!D50</f>
        <v>SWRF Dam 3</v>
      </c>
      <c r="G87" s="203">
        <f t="shared" si="34"/>
        <v>369.97</v>
      </c>
      <c r="H87" s="203">
        <f t="shared" si="35"/>
        <v>47.75</v>
      </c>
      <c r="I87" s="88">
        <v>1</v>
      </c>
      <c r="J87" s="104">
        <f>MAX('10   Loader'!I26,'9   Trucks'!I29)</f>
        <v>4.3360145717794909</v>
      </c>
      <c r="K87" s="116">
        <f t="shared" si="30"/>
        <v>1811.240006923729</v>
      </c>
      <c r="L87" s="126">
        <f>'10   Loader'!E26</f>
        <v>4065.6</v>
      </c>
      <c r="M87" s="14" t="s">
        <v>191</v>
      </c>
      <c r="N87" s="137">
        <f t="shared" si="36"/>
        <v>0.44550374038855989</v>
      </c>
      <c r="O87" s="137"/>
    </row>
    <row r="88" spans="1:15" x14ac:dyDescent="0.2">
      <c r="A88" s="463"/>
      <c r="B88" s="3"/>
      <c r="C88" s="3" t="str">
        <f>'3   Material'!G51</f>
        <v>992K</v>
      </c>
      <c r="D88" s="114" t="str">
        <f>'10   Loader'!A27</f>
        <v>Load cover soil</v>
      </c>
      <c r="E88" s="114" t="str">
        <f>'4   Earthwork'!C51</f>
        <v>OB-4 Stockpile</v>
      </c>
      <c r="F88" s="114" t="str">
        <f>'4   Earthwork'!D51</f>
        <v>North Tailings Decant Pond</v>
      </c>
      <c r="G88" s="203">
        <f t="shared" si="34"/>
        <v>369.97</v>
      </c>
      <c r="H88" s="203">
        <f t="shared" si="35"/>
        <v>47.75</v>
      </c>
      <c r="I88" s="88">
        <v>1</v>
      </c>
      <c r="J88" s="104">
        <f>MAX('10   Loader'!I27,'9   Trucks'!I30)</f>
        <v>2.0673714285714286</v>
      </c>
      <c r="K88" s="116">
        <f t="shared" si="30"/>
        <v>863.5823931428572</v>
      </c>
      <c r="L88" s="126">
        <f>'10   Loader'!E27</f>
        <v>2226.4</v>
      </c>
      <c r="M88" s="14" t="s">
        <v>191</v>
      </c>
      <c r="N88" s="137">
        <f t="shared" si="36"/>
        <v>0.38788285714285714</v>
      </c>
      <c r="O88" s="137"/>
    </row>
    <row r="89" spans="1:15" x14ac:dyDescent="0.2">
      <c r="A89" s="463"/>
      <c r="B89" s="3"/>
      <c r="C89" s="3" t="str">
        <f>'3   Material'!G52</f>
        <v>992K</v>
      </c>
      <c r="D89" s="114" t="str">
        <f>'10   Loader'!A28</f>
        <v>Load cover soil</v>
      </c>
      <c r="E89" s="114" t="str">
        <f>'4   Earthwork'!C52</f>
        <v>OB-4 Stockpile</v>
      </c>
      <c r="F89" s="114" t="str">
        <f>'4   Earthwork'!D52</f>
        <v>East WRF Containment</v>
      </c>
      <c r="G89" s="203">
        <f t="shared" si="34"/>
        <v>369.97</v>
      </c>
      <c r="H89" s="203">
        <f t="shared" si="35"/>
        <v>47.75</v>
      </c>
      <c r="I89" s="88">
        <v>1</v>
      </c>
      <c r="J89" s="104">
        <f>MAX('10   Loader'!I28,'9   Trucks'!I31)</f>
        <v>2.2471428571428573</v>
      </c>
      <c r="K89" s="116">
        <f t="shared" si="30"/>
        <v>938.67651428571446</v>
      </c>
      <c r="L89" s="126">
        <f>'10   Loader'!E28</f>
        <v>2420</v>
      </c>
      <c r="M89" s="14" t="s">
        <v>191</v>
      </c>
      <c r="N89" s="137">
        <f>IF(L89=0,"---",K89/L89)</f>
        <v>0.3878828571428572</v>
      </c>
      <c r="O89" s="137"/>
    </row>
    <row r="90" spans="1:15" x14ac:dyDescent="0.2">
      <c r="A90" s="463"/>
      <c r="B90" s="3"/>
      <c r="C90" s="3" t="str">
        <f>'3   Material'!G53</f>
        <v>992K</v>
      </c>
      <c r="D90" s="114" t="str">
        <f>'10   Loader'!A29</f>
        <v>Load cover soil</v>
      </c>
      <c r="E90" s="114" t="str">
        <f>'4   Earthwork'!C53</f>
        <v>NOBS</v>
      </c>
      <c r="F90" s="114" t="str">
        <f>'4   Earthwork'!D53</f>
        <v xml:space="preserve">Blackman's Seep (Pond #2) </v>
      </c>
      <c r="G90" s="203">
        <f t="shared" si="34"/>
        <v>369.97</v>
      </c>
      <c r="H90" s="203">
        <f t="shared" si="35"/>
        <v>47.75</v>
      </c>
      <c r="I90" s="88">
        <v>1</v>
      </c>
      <c r="J90" s="104">
        <f>MAX('10   Loader'!I29,'9   Trucks'!I32)</f>
        <v>4.4942857142857146E-2</v>
      </c>
      <c r="K90" s="116">
        <f t="shared" si="30"/>
        <v>18.773530285714287</v>
      </c>
      <c r="L90" s="126">
        <f>'10   Loader'!E29</f>
        <v>48.4</v>
      </c>
      <c r="M90" s="14" t="s">
        <v>191</v>
      </c>
      <c r="N90" s="137">
        <f>IF(L90=0,"---",K90/L90)</f>
        <v>0.3878828571428572</v>
      </c>
      <c r="O90" s="137"/>
    </row>
    <row r="91" spans="1:15" x14ac:dyDescent="0.2">
      <c r="A91" s="463"/>
      <c r="B91" s="3"/>
      <c r="C91" s="3" t="str">
        <f>'3   Material'!G54</f>
        <v>992K</v>
      </c>
      <c r="D91" s="114" t="str">
        <f>'10   Loader'!A30</f>
        <v>Load cover soil</v>
      </c>
      <c r="E91" s="114" t="str">
        <f>'4   Earthwork'!C54</f>
        <v>OB-4 Stockpile</v>
      </c>
      <c r="F91" s="114" t="str">
        <f>'4   Earthwork'!D54</f>
        <v>Decant Pond #4</v>
      </c>
      <c r="G91" s="203">
        <f t="shared" si="34"/>
        <v>369.97</v>
      </c>
      <c r="H91" s="203">
        <f t="shared" si="35"/>
        <v>47.75</v>
      </c>
      <c r="I91" s="88">
        <v>1</v>
      </c>
      <c r="J91" s="104">
        <f>MAX('10   Loader'!I30,'9   Trucks'!I33)</f>
        <v>2.786457142857143</v>
      </c>
      <c r="K91" s="116">
        <f t="shared" si="30"/>
        <v>1163.9588777142858</v>
      </c>
      <c r="L91" s="126">
        <f>'10   Loader'!E30</f>
        <v>3000.8</v>
      </c>
      <c r="M91" s="14" t="s">
        <v>191</v>
      </c>
      <c r="N91" s="137">
        <f>IF(L91=0,"---",K91/L91)</f>
        <v>0.38788285714285714</v>
      </c>
      <c r="O91" s="137"/>
    </row>
    <row r="92" spans="1:15" x14ac:dyDescent="0.2">
      <c r="A92" s="463"/>
      <c r="B92" s="3"/>
      <c r="C92" s="3" t="str">
        <f>'3   Material'!G55</f>
        <v>992K</v>
      </c>
      <c r="D92" s="114" t="str">
        <f>'10   Loader'!A31</f>
        <v>Load cover soil</v>
      </c>
      <c r="E92" s="114" t="str">
        <f>'4   Earthwork'!C55</f>
        <v>NOBS</v>
      </c>
      <c r="F92" s="114" t="str">
        <f>'4   Earthwork'!D55</f>
        <v xml:space="preserve">Upper Creek Containment Pond 1 </v>
      </c>
      <c r="G92" s="203">
        <f t="shared" si="34"/>
        <v>369.97</v>
      </c>
      <c r="H92" s="203">
        <f t="shared" si="35"/>
        <v>47.75</v>
      </c>
      <c r="I92" s="88">
        <v>1</v>
      </c>
      <c r="J92" s="104">
        <f>MAX('10   Loader'!I31,'9   Trucks'!I34)</f>
        <v>5.0785428571428559</v>
      </c>
      <c r="K92" s="116">
        <f t="shared" si="30"/>
        <v>2121.4089222857137</v>
      </c>
      <c r="L92" s="126">
        <f>'10   Loader'!E31</f>
        <v>5469.1999999999989</v>
      </c>
      <c r="M92" s="14" t="s">
        <v>191</v>
      </c>
      <c r="N92" s="137">
        <f>IF(L92=0,"---",K92/L92)</f>
        <v>0.38788285714285714</v>
      </c>
      <c r="O92" s="137"/>
    </row>
    <row r="93" spans="1:15" x14ac:dyDescent="0.2">
      <c r="A93" s="463"/>
      <c r="B93" s="3"/>
      <c r="C93" s="3"/>
      <c r="D93" s="114"/>
      <c r="E93" s="114"/>
      <c r="F93" s="114"/>
      <c r="G93" s="203"/>
      <c r="H93" s="203"/>
      <c r="I93" s="88"/>
      <c r="J93" s="104"/>
      <c r="K93" s="116"/>
      <c r="L93" s="126"/>
      <c r="M93" s="14"/>
      <c r="N93" s="137"/>
      <c r="O93" s="137"/>
    </row>
    <row r="94" spans="1:15" ht="15.75" x14ac:dyDescent="0.25">
      <c r="A94" s="463"/>
      <c r="B94" s="139" t="s">
        <v>154</v>
      </c>
      <c r="C94" s="139"/>
      <c r="D94" s="114"/>
      <c r="E94" s="114"/>
      <c r="F94" s="114"/>
      <c r="G94" s="203"/>
      <c r="H94" s="203"/>
      <c r="I94" s="88"/>
      <c r="J94" s="104"/>
      <c r="K94" s="116"/>
      <c r="L94" s="126"/>
      <c r="M94" s="14"/>
      <c r="N94" s="134"/>
      <c r="O94" s="134"/>
    </row>
    <row r="95" spans="1:15" x14ac:dyDescent="0.2">
      <c r="A95" s="463"/>
      <c r="B95" s="3"/>
      <c r="C95" s="3" t="str">
        <f>'3   Material'!G56</f>
        <v>777F</v>
      </c>
      <c r="D95" s="114" t="str">
        <f>'9   Trucks'!A14</f>
        <v>Haul cover soil</v>
      </c>
      <c r="E95" s="70" t="str">
        <f>'4   Earthwork'!C56</f>
        <v>OB Stockpile 1 through 4, Topsoil Stockpile, South OB Stockpile</v>
      </c>
      <c r="F95" s="70" t="str">
        <f>'4   Earthwork'!D56</f>
        <v xml:space="preserve">SWRDF Top </v>
      </c>
      <c r="G95" s="203">
        <f t="shared" ref="G95:G115" si="38">$I$156</f>
        <v>294.39999999999998</v>
      </c>
      <c r="H95" s="203">
        <f t="shared" ref="H95:H115" si="39">$I$169</f>
        <v>42.82</v>
      </c>
      <c r="I95" s="88">
        <f>'9   Trucks'!G14</f>
        <v>2</v>
      </c>
      <c r="J95" s="104">
        <f>MAX('10   Loader'!I11,'9   Trucks'!I14)</f>
        <v>439.79576370906273</v>
      </c>
      <c r="K95" s="116">
        <f t="shared" ref="K95:K105" si="40">(G95+H95)*J95*I95</f>
        <v>296615.85487594025</v>
      </c>
      <c r="L95" s="126">
        <f>'9   Trucks'!E14</f>
        <v>412368.00000000006</v>
      </c>
      <c r="M95" s="14" t="s">
        <v>191</v>
      </c>
      <c r="N95" s="137">
        <f t="shared" ref="N95:N111" si="41">IF(L95=0,"---",K95/L95)</f>
        <v>0.71929891474590701</v>
      </c>
      <c r="O95" s="137"/>
    </row>
    <row r="96" spans="1:15" x14ac:dyDescent="0.2">
      <c r="A96" s="463"/>
      <c r="B96" s="3"/>
      <c r="C96" s="3" t="str">
        <f>'3   Material'!G57</f>
        <v>777F</v>
      </c>
      <c r="D96" s="114" t="str">
        <f>'9   Trucks'!A15</f>
        <v>Haul cover soil</v>
      </c>
      <c r="E96" s="70" t="str">
        <f>'4   Earthwork'!C57</f>
        <v>OB Stockpile 1 through 4, Topsoil Stockpile, South OB Stockpile</v>
      </c>
      <c r="F96" s="70" t="str">
        <f>'4   Earthwork'!D57</f>
        <v>SWRDF Outslopes</v>
      </c>
      <c r="G96" s="203">
        <f t="shared" si="38"/>
        <v>294.39999999999998</v>
      </c>
      <c r="H96" s="203">
        <f t="shared" si="39"/>
        <v>42.82</v>
      </c>
      <c r="I96" s="88">
        <f>'9   Trucks'!G15</f>
        <v>2</v>
      </c>
      <c r="J96" s="104">
        <f>MAX('10   Loader'!I12,'9   Trucks'!I15)</f>
        <v>1319.3872911271883</v>
      </c>
      <c r="K96" s="116">
        <f t="shared" si="40"/>
        <v>889847.56462782074</v>
      </c>
      <c r="L96" s="126">
        <f>'9   Trucks'!E15</f>
        <v>1237104.0000000002</v>
      </c>
      <c r="M96" s="14" t="s">
        <v>191</v>
      </c>
      <c r="N96" s="137">
        <f t="shared" si="41"/>
        <v>0.71929891474590701</v>
      </c>
      <c r="O96" s="137"/>
    </row>
    <row r="97" spans="1:15" x14ac:dyDescent="0.2">
      <c r="A97" s="463"/>
      <c r="B97" s="3"/>
      <c r="C97" s="3" t="str">
        <f>'3   Material'!G58</f>
        <v>777F</v>
      </c>
      <c r="D97" s="114" t="str">
        <f>'9   Trucks'!A16</f>
        <v>Haul cover soil</v>
      </c>
      <c r="E97" s="70" t="str">
        <f>'4   Earthwork'!C58</f>
        <v>NOBS</v>
      </c>
      <c r="F97" s="70" t="str">
        <f>'4   Earthwork'!D58</f>
        <v xml:space="preserve">SWRDF Top </v>
      </c>
      <c r="G97" s="203">
        <f t="shared" si="38"/>
        <v>294.39999999999998</v>
      </c>
      <c r="H97" s="203">
        <f t="shared" si="39"/>
        <v>42.82</v>
      </c>
      <c r="I97" s="88">
        <f>'9   Trucks'!G16</f>
        <v>4</v>
      </c>
      <c r="J97" s="104">
        <f>MAX('10   Loader'!I13,'9   Trucks'!I16)</f>
        <v>130.93300741138808</v>
      </c>
      <c r="K97" s="116">
        <f t="shared" si="40"/>
        <v>176612.91503707314</v>
      </c>
      <c r="L97" s="126">
        <f>'9   Trucks'!E16</f>
        <v>119547.99999999999</v>
      </c>
      <c r="M97" s="14" t="s">
        <v>191</v>
      </c>
      <c r="N97" s="137">
        <f t="shared" si="41"/>
        <v>1.4773389352985675</v>
      </c>
      <c r="O97" s="137"/>
    </row>
    <row r="98" spans="1:15" x14ac:dyDescent="0.2">
      <c r="A98" s="463"/>
      <c r="B98" s="3"/>
      <c r="C98" s="3" t="str">
        <f>'3   Material'!G59</f>
        <v>777F</v>
      </c>
      <c r="D98" s="114" t="str">
        <f>'9   Trucks'!A17</f>
        <v>Haul cover soil</v>
      </c>
      <c r="E98" s="70" t="str">
        <f>'4   Earthwork'!C59</f>
        <v>NOBS</v>
      </c>
      <c r="F98" s="70" t="str">
        <f>'4   Earthwork'!D59</f>
        <v>Hanover Mountain Deposit</v>
      </c>
      <c r="G98" s="203">
        <f t="shared" si="38"/>
        <v>294.39999999999998</v>
      </c>
      <c r="H98" s="203">
        <f t="shared" si="39"/>
        <v>42.82</v>
      </c>
      <c r="I98" s="88">
        <f>'9   Trucks'!G17</f>
        <v>3</v>
      </c>
      <c r="J98" s="104">
        <f>MAX('10   Loader'!I14,'9   Trucks'!I17)</f>
        <v>494.68468762140924</v>
      </c>
      <c r="K98" s="116">
        <f t="shared" si="40"/>
        <v>500452.71107907477</v>
      </c>
      <c r="L98" s="126">
        <f>'9   Trucks'!E17</f>
        <v>451571.99999999994</v>
      </c>
      <c r="M98" s="14" t="s">
        <v>191</v>
      </c>
      <c r="N98" s="137">
        <f t="shared" si="41"/>
        <v>1.108245664210967</v>
      </c>
      <c r="O98" s="137"/>
    </row>
    <row r="99" spans="1:15" x14ac:dyDescent="0.2">
      <c r="A99" s="463"/>
      <c r="B99" s="3"/>
      <c r="C99" s="3" t="str">
        <f>'3   Material'!G60</f>
        <v>777F</v>
      </c>
      <c r="D99" s="114" t="str">
        <f>'9   Trucks'!A18</f>
        <v>Haul cover soil</v>
      </c>
      <c r="E99" s="70" t="str">
        <f>'4   Earthwork'!C60</f>
        <v>OB Stockpile 1 through 3, Topsoil Stockpile, South OB Stockpile</v>
      </c>
      <c r="F99" s="70" t="str">
        <f>'4   Earthwork'!D60</f>
        <v>Pearson-Barnes Mine Area</v>
      </c>
      <c r="G99" s="203">
        <f t="shared" si="38"/>
        <v>294.39999999999998</v>
      </c>
      <c r="H99" s="203">
        <f t="shared" si="39"/>
        <v>42.82</v>
      </c>
      <c r="I99" s="88">
        <f>'9   Trucks'!G18</f>
        <v>2</v>
      </c>
      <c r="J99" s="104">
        <f>MAX('10   Loader'!I15,'9   Trucks'!I18)</f>
        <v>53.482000000000006</v>
      </c>
      <c r="K99" s="116">
        <f t="shared" si="40"/>
        <v>36070.400079999999</v>
      </c>
      <c r="L99" s="126">
        <f>'9   Trucks'!E18</f>
        <v>57596.000000000007</v>
      </c>
      <c r="M99" s="14" t="s">
        <v>191</v>
      </c>
      <c r="N99" s="137">
        <f>IF(L99=0,"---",K99/L99)</f>
        <v>0.6262657142857142</v>
      </c>
      <c r="O99" s="137"/>
    </row>
    <row r="100" spans="1:15" x14ac:dyDescent="0.2">
      <c r="A100" s="463"/>
      <c r="B100" s="3"/>
      <c r="C100" s="3" t="str">
        <f>'3   Material'!G61</f>
        <v>777F</v>
      </c>
      <c r="D100" s="114" t="str">
        <f>'9   Trucks'!A19</f>
        <v>Haul cover soil</v>
      </c>
      <c r="E100" s="70" t="str">
        <f>'4   Earthwork'!C61</f>
        <v>OB-4 Stockpile</v>
      </c>
      <c r="F100" s="70" t="str">
        <f>'4   Earthwork'!D61</f>
        <v>Low Grade WRF</v>
      </c>
      <c r="G100" s="203">
        <f t="shared" si="38"/>
        <v>294.39999999999998</v>
      </c>
      <c r="H100" s="203">
        <f t="shared" si="39"/>
        <v>42.82</v>
      </c>
      <c r="I100" s="88">
        <f>'9   Trucks'!G19</f>
        <v>2</v>
      </c>
      <c r="J100" s="104">
        <f>MAX('10   Loader'!I16,'9   Trucks'!I19)</f>
        <v>41.691990476190469</v>
      </c>
      <c r="K100" s="116">
        <f t="shared" si="40"/>
        <v>28118.746056761898</v>
      </c>
      <c r="L100" s="126">
        <f>'9   Trucks'!E19</f>
        <v>44899.066666666658</v>
      </c>
      <c r="M100" s="14" t="s">
        <v>191</v>
      </c>
      <c r="N100" s="137">
        <f t="shared" si="41"/>
        <v>0.6262657142857142</v>
      </c>
      <c r="O100" s="137"/>
    </row>
    <row r="101" spans="1:15" x14ac:dyDescent="0.2">
      <c r="A101" s="463"/>
      <c r="B101" s="3"/>
      <c r="C101" s="3" t="str">
        <f>'3   Material'!G62</f>
        <v>777F</v>
      </c>
      <c r="D101" s="114" t="str">
        <f>'9   Trucks'!A20</f>
        <v>Haul cover soil</v>
      </c>
      <c r="E101" s="70" t="str">
        <f>'4   Earthwork'!C62</f>
        <v>NOBS</v>
      </c>
      <c r="F101" s="70" t="str">
        <f>'4   Earthwork'!D62</f>
        <v>MTI Reclaim Pond</v>
      </c>
      <c r="G101" s="203">
        <f t="shared" si="38"/>
        <v>294.39999999999998</v>
      </c>
      <c r="H101" s="203">
        <f t="shared" si="39"/>
        <v>42.82</v>
      </c>
      <c r="I101" s="88">
        <f>'9   Trucks'!G20</f>
        <v>4</v>
      </c>
      <c r="J101" s="104">
        <f>MAX('10   Loader'!I17,'9   Trucks'!I20)</f>
        <v>148.31142857142856</v>
      </c>
      <c r="K101" s="116">
        <f>(G101+H101)*J101*I101</f>
        <v>200054.31977142853</v>
      </c>
      <c r="L101" s="126">
        <f>'9   Trucks'!E20</f>
        <v>159720</v>
      </c>
      <c r="M101" s="14" t="s">
        <v>191</v>
      </c>
      <c r="N101" s="137">
        <f t="shared" si="41"/>
        <v>1.2525314285714284</v>
      </c>
      <c r="O101" s="137"/>
    </row>
    <row r="102" spans="1:15" x14ac:dyDescent="0.2">
      <c r="A102" s="463"/>
      <c r="B102" s="3"/>
      <c r="C102" s="3" t="str">
        <f>'3   Material'!G63</f>
        <v>777F</v>
      </c>
      <c r="D102" s="114" t="str">
        <f>'9   Trucks'!A21</f>
        <v>Haul cover soil</v>
      </c>
      <c r="E102" s="70" t="str">
        <f>'4   Earthwork'!C63</f>
        <v>NOBS</v>
      </c>
      <c r="F102" s="70" t="str">
        <f>'4   Earthwork'!D63</f>
        <v>MTI  Top</v>
      </c>
      <c r="G102" s="203">
        <f t="shared" si="38"/>
        <v>294.39999999999998</v>
      </c>
      <c r="H102" s="203">
        <f t="shared" si="39"/>
        <v>42.82</v>
      </c>
      <c r="I102" s="88">
        <f>'9   Trucks'!G21</f>
        <v>4</v>
      </c>
      <c r="J102" s="104">
        <f>MAX('10   Loader'!I18,'9   Trucks'!I21)</f>
        <v>176.69237857142861</v>
      </c>
      <c r="K102" s="116">
        <f t="shared" si="40"/>
        <v>238336.81560742861</v>
      </c>
      <c r="L102" s="126">
        <f>'9   Trucks'!E21</f>
        <v>190284.10000000003</v>
      </c>
      <c r="M102" s="14" t="s">
        <v>191</v>
      </c>
      <c r="N102" s="137">
        <f>IF(L102=0,"---",K102/L102)</f>
        <v>1.2525314285714286</v>
      </c>
      <c r="O102" s="137"/>
    </row>
    <row r="103" spans="1:15" x14ac:dyDescent="0.2">
      <c r="A103" s="463"/>
      <c r="B103" s="3"/>
      <c r="C103" s="3" t="str">
        <f>'3   Material'!G64</f>
        <v>777F</v>
      </c>
      <c r="D103" s="114" t="str">
        <f>'9   Trucks'!A22</f>
        <v>Haul cover soil</v>
      </c>
      <c r="E103" s="70" t="str">
        <f>'4   Earthwork'!C64</f>
        <v>NOBS</v>
      </c>
      <c r="F103" s="70" t="str">
        <f>'4   Earthwork'!D64</f>
        <v>MTI  Outslope</v>
      </c>
      <c r="G103" s="203">
        <f t="shared" si="38"/>
        <v>294.39999999999998</v>
      </c>
      <c r="H103" s="203">
        <f t="shared" si="39"/>
        <v>42.82</v>
      </c>
      <c r="I103" s="88">
        <f>'9   Trucks'!G22</f>
        <v>4</v>
      </c>
      <c r="J103" s="104">
        <f>MAX('10   Loader'!I19,'9   Trucks'!I22)</f>
        <v>163.2774</v>
      </c>
      <c r="K103" s="116">
        <f t="shared" ref="K103" si="42">(G103+H103)*J103*I103</f>
        <v>220241.619312</v>
      </c>
      <c r="L103" s="126">
        <f>'9   Trucks'!E22</f>
        <v>175837.19999999998</v>
      </c>
      <c r="M103" s="14" t="s">
        <v>191</v>
      </c>
      <c r="N103" s="137">
        <f t="shared" ref="N103" si="43">IF(L103=0,"---",K103/L103)</f>
        <v>1.2525314285714286</v>
      </c>
      <c r="O103" s="137"/>
    </row>
    <row r="104" spans="1:15" x14ac:dyDescent="0.2">
      <c r="A104" s="463"/>
      <c r="B104" s="3"/>
      <c r="C104" s="3" t="str">
        <f>'3   Material'!G65</f>
        <v>777F</v>
      </c>
      <c r="D104" s="114" t="str">
        <f>'9   Trucks'!A23</f>
        <v>Haul cover soil</v>
      </c>
      <c r="E104" s="70" t="str">
        <f>'4   Earthwork'!C65</f>
        <v>Reclaim Pond Outlet Channel</v>
      </c>
      <c r="F104" s="70" t="str">
        <f>'4   Earthwork'!D65</f>
        <v>MTI  Top</v>
      </c>
      <c r="G104" s="203">
        <f t="shared" si="38"/>
        <v>294.39999999999998</v>
      </c>
      <c r="H104" s="203">
        <f t="shared" si="39"/>
        <v>42.82</v>
      </c>
      <c r="I104" s="88">
        <f>'9   Trucks'!G23</f>
        <v>2</v>
      </c>
      <c r="J104" s="104">
        <f>MAX('10   Loader'!I20,'9   Trucks'!I23)</f>
        <v>66.448478571428566</v>
      </c>
      <c r="K104" s="116">
        <f t="shared" si="40"/>
        <v>44815.511887714281</v>
      </c>
      <c r="L104" s="126">
        <f>'9   Trucks'!E23</f>
        <v>71559.899999999994</v>
      </c>
      <c r="M104" s="14" t="s">
        <v>191</v>
      </c>
      <c r="N104" s="137">
        <f t="shared" si="41"/>
        <v>0.62626571428571431</v>
      </c>
      <c r="O104" s="137"/>
    </row>
    <row r="105" spans="1:15" x14ac:dyDescent="0.2">
      <c r="A105" s="463"/>
      <c r="B105" s="3"/>
      <c r="C105" s="3" t="str">
        <f>'3   Material'!G66</f>
        <v>777F</v>
      </c>
      <c r="D105" s="114" t="str">
        <f>'9   Trucks'!A24</f>
        <v>Haul cover soil</v>
      </c>
      <c r="E105" s="70" t="str">
        <f>'4   Earthwork'!C66</f>
        <v>NOBS</v>
      </c>
      <c r="F105" s="70" t="str">
        <f>'4   Earthwork'!D66</f>
        <v>Tailing Pipeline Corridor</v>
      </c>
      <c r="G105" s="203">
        <f t="shared" si="38"/>
        <v>294.39999999999998</v>
      </c>
      <c r="H105" s="203">
        <f t="shared" si="39"/>
        <v>42.82</v>
      </c>
      <c r="I105" s="88">
        <f>'9   Trucks'!G24</f>
        <v>4</v>
      </c>
      <c r="J105" s="104">
        <f>MAX('10   Loader'!I21,'9   Trucks'!I24)</f>
        <v>6.4987371428571432</v>
      </c>
      <c r="K105" s="116">
        <f t="shared" si="40"/>
        <v>8766.0165572571423</v>
      </c>
      <c r="L105" s="126">
        <f>'9   Trucks'!E24</f>
        <v>6998.64</v>
      </c>
      <c r="M105" s="14" t="s">
        <v>191</v>
      </c>
      <c r="N105" s="137">
        <f>IF(L105=0,"---",K105/L105)</f>
        <v>1.2525314285714284</v>
      </c>
      <c r="O105" s="137"/>
    </row>
    <row r="106" spans="1:15" x14ac:dyDescent="0.2">
      <c r="A106" s="463"/>
      <c r="B106" s="3"/>
      <c r="C106" s="3" t="str">
        <f>'3   Material'!G67</f>
        <v>777F</v>
      </c>
      <c r="D106" s="114" t="str">
        <f>'9   Trucks'!A25</f>
        <v>Haul cover soil</v>
      </c>
      <c r="E106" s="70" t="str">
        <f>'4   Earthwork'!C67</f>
        <v>NOBS</v>
      </c>
      <c r="F106" s="70" t="str">
        <f>'4   Earthwork'!D67</f>
        <v>Grape Gulch Pond #3</v>
      </c>
      <c r="G106" s="203">
        <f t="shared" si="38"/>
        <v>294.39999999999998</v>
      </c>
      <c r="H106" s="203">
        <f t="shared" si="39"/>
        <v>42.82</v>
      </c>
      <c r="I106" s="88">
        <f>'9   Trucks'!G25</f>
        <v>3</v>
      </c>
      <c r="J106" s="104">
        <f>MAX('10   Loader'!I22,'9   Trucks'!I25)</f>
        <v>1.7078285714285713</v>
      </c>
      <c r="K106" s="116">
        <f t="shared" ref="K106:K124" si="44">(G106+H106)*J106*I106</f>
        <v>1727.7418525714281</v>
      </c>
      <c r="L106" s="126">
        <f>'9   Trucks'!E25</f>
        <v>1839.1999999999998</v>
      </c>
      <c r="M106" s="14" t="s">
        <v>191</v>
      </c>
      <c r="N106" s="137">
        <f t="shared" si="41"/>
        <v>0.93939857142857131</v>
      </c>
      <c r="O106" s="137"/>
    </row>
    <row r="107" spans="1:15" x14ac:dyDescent="0.2">
      <c r="A107" s="463"/>
      <c r="B107" s="3"/>
      <c r="C107" s="3" t="str">
        <f>'3   Material'!G68</f>
        <v>777F</v>
      </c>
      <c r="D107" s="114" t="str">
        <f>'9   Trucks'!A26</f>
        <v>Haul cover soil</v>
      </c>
      <c r="E107" s="70" t="str">
        <f>'4   Earthwork'!C68</f>
        <v>NOBS</v>
      </c>
      <c r="F107" s="70" t="str">
        <f>'4   Earthwork'!D68</f>
        <v>Magnetite Seepage Pond</v>
      </c>
      <c r="G107" s="203">
        <f t="shared" si="38"/>
        <v>294.39999999999998</v>
      </c>
      <c r="H107" s="203">
        <f t="shared" si="39"/>
        <v>42.82</v>
      </c>
      <c r="I107" s="88">
        <f>'9   Trucks'!G26</f>
        <v>3</v>
      </c>
      <c r="J107" s="104">
        <f>MAX('10   Loader'!I23,'9   Trucks'!I26)</f>
        <v>0.96024084043678426</v>
      </c>
      <c r="K107" s="116">
        <f t="shared" si="44"/>
        <v>971.43724863627722</v>
      </c>
      <c r="L107" s="126">
        <f>'9   Trucks'!E26</f>
        <v>968</v>
      </c>
      <c r="M107" s="14" t="s">
        <v>191</v>
      </c>
      <c r="N107" s="137">
        <f t="shared" si="41"/>
        <v>1.0035508766903691</v>
      </c>
      <c r="O107" s="137"/>
    </row>
    <row r="108" spans="1:15" x14ac:dyDescent="0.2">
      <c r="A108" s="463"/>
      <c r="B108" s="3"/>
      <c r="C108" s="3" t="str">
        <f>'3   Material'!G69</f>
        <v>777F</v>
      </c>
      <c r="D108" s="114" t="str">
        <f>'9   Trucks'!A27</f>
        <v>Haul cover soil</v>
      </c>
      <c r="E108" s="70" t="str">
        <f>'4   Earthwork'!C69</f>
        <v>OB Stockpile 1 through 3, Topsoil Stockpile, South OB Stockpile</v>
      </c>
      <c r="F108" s="70" t="str">
        <f>'4   Earthwork'!D69</f>
        <v>SWRF Dam 1</v>
      </c>
      <c r="G108" s="203">
        <f t="shared" si="38"/>
        <v>294.39999999999998</v>
      </c>
      <c r="H108" s="203">
        <f t="shared" si="39"/>
        <v>42.82</v>
      </c>
      <c r="I108" s="88">
        <f>'9   Trucks'!G27</f>
        <v>2</v>
      </c>
      <c r="J108" s="104">
        <f>MAX('10   Loader'!I24,'9   Trucks'!I27)</f>
        <v>2.6841994968158751</v>
      </c>
      <c r="K108" s="116">
        <f t="shared" si="44"/>
        <v>1810.3315086324988</v>
      </c>
      <c r="L108" s="126">
        <f>'9   Trucks'!E27</f>
        <v>2516.7999999999997</v>
      </c>
      <c r="M108" s="14" t="s">
        <v>191</v>
      </c>
      <c r="N108" s="137">
        <f t="shared" si="41"/>
        <v>0.71929891474590713</v>
      </c>
      <c r="O108" s="137"/>
    </row>
    <row r="109" spans="1:15" x14ac:dyDescent="0.2">
      <c r="A109" s="463"/>
      <c r="B109" s="3"/>
      <c r="C109" s="3" t="str">
        <f>'3   Material'!G70</f>
        <v>777F</v>
      </c>
      <c r="D109" s="114" t="str">
        <f>'9   Trucks'!A28</f>
        <v>Haul cover soil</v>
      </c>
      <c r="E109" s="70" t="str">
        <f>'4   Earthwork'!C70</f>
        <v>OB Stockpile 1 through 3, Topsoil Stockpile, South OB Stockpile</v>
      </c>
      <c r="F109" s="70" t="str">
        <f>'4   Earthwork'!D70</f>
        <v>SWRF Dam 2</v>
      </c>
      <c r="G109" s="203">
        <f t="shared" si="38"/>
        <v>294.39999999999998</v>
      </c>
      <c r="H109" s="203">
        <f t="shared" si="39"/>
        <v>42.82</v>
      </c>
      <c r="I109" s="88">
        <f>'9   Trucks'!G28</f>
        <v>2</v>
      </c>
      <c r="J109" s="104">
        <f>MAX('10   Loader'!I25,'9   Trucks'!I28)</f>
        <v>1.7550535171488417</v>
      </c>
      <c r="K109" s="116">
        <f t="shared" si="44"/>
        <v>1183.6782941058648</v>
      </c>
      <c r="L109" s="126">
        <f>'9   Trucks'!E28</f>
        <v>1645.6000000000001</v>
      </c>
      <c r="M109" s="14" t="s">
        <v>191</v>
      </c>
      <c r="N109" s="137">
        <f t="shared" si="41"/>
        <v>0.71929891474590713</v>
      </c>
      <c r="O109" s="137"/>
    </row>
    <row r="110" spans="1:15" x14ac:dyDescent="0.2">
      <c r="A110" s="463"/>
      <c r="B110" s="3"/>
      <c r="C110" s="3" t="str">
        <f>'3   Material'!G71</f>
        <v>777F</v>
      </c>
      <c r="D110" s="114" t="str">
        <f>'9   Trucks'!A29</f>
        <v>Haul cover soil</v>
      </c>
      <c r="E110" s="70" t="str">
        <f>'4   Earthwork'!C71</f>
        <v>OB Stockpile 1 through 3, Topsoil Stockpile, South OB Stockpile</v>
      </c>
      <c r="F110" s="70" t="str">
        <f>'4   Earthwork'!D71</f>
        <v>SWRF Dam 3</v>
      </c>
      <c r="G110" s="203">
        <f t="shared" si="38"/>
        <v>294.39999999999998</v>
      </c>
      <c r="H110" s="203">
        <f t="shared" si="39"/>
        <v>42.82</v>
      </c>
      <c r="I110" s="88">
        <f>'9   Trucks'!G29</f>
        <v>2</v>
      </c>
      <c r="J110" s="104">
        <f>MAX('10   Loader'!I26,'9   Trucks'!I29)</f>
        <v>4.3360145717794909</v>
      </c>
      <c r="K110" s="116">
        <f t="shared" si="44"/>
        <v>2924.3816677909595</v>
      </c>
      <c r="L110" s="126">
        <f>'9   Trucks'!E29</f>
        <v>4065.6</v>
      </c>
      <c r="M110" s="14" t="s">
        <v>191</v>
      </c>
      <c r="N110" s="137">
        <f t="shared" si="41"/>
        <v>0.71929891474590701</v>
      </c>
      <c r="O110" s="137"/>
    </row>
    <row r="111" spans="1:15" x14ac:dyDescent="0.2">
      <c r="A111" s="463"/>
      <c r="B111" s="3"/>
      <c r="C111" s="3" t="str">
        <f>'3   Material'!G72</f>
        <v>777F</v>
      </c>
      <c r="D111" s="114" t="str">
        <f>'9   Trucks'!A30</f>
        <v>Haul cover soil</v>
      </c>
      <c r="E111" s="70" t="str">
        <f>'4   Earthwork'!C72</f>
        <v>OB-4 Stockpile</v>
      </c>
      <c r="F111" s="70" t="str">
        <f>'4   Earthwork'!D72</f>
        <v>North Tailings Decant Pond</v>
      </c>
      <c r="G111" s="203">
        <f t="shared" si="38"/>
        <v>294.39999999999998</v>
      </c>
      <c r="H111" s="203">
        <f t="shared" si="39"/>
        <v>42.82</v>
      </c>
      <c r="I111" s="88">
        <f>'9   Trucks'!G30</f>
        <v>2</v>
      </c>
      <c r="J111" s="104">
        <f>MAX('10   Loader'!I27,'9   Trucks'!I30)</f>
        <v>2.0673714285714286</v>
      </c>
      <c r="K111" s="116">
        <f t="shared" si="44"/>
        <v>1394.3179862857141</v>
      </c>
      <c r="L111" s="126">
        <f>'9   Trucks'!E30</f>
        <v>2226.4</v>
      </c>
      <c r="M111" s="14" t="s">
        <v>191</v>
      </c>
      <c r="N111" s="137">
        <f t="shared" si="41"/>
        <v>0.6262657142857142</v>
      </c>
      <c r="O111" s="137"/>
    </row>
    <row r="112" spans="1:15" x14ac:dyDescent="0.2">
      <c r="A112" s="463"/>
      <c r="B112" s="3"/>
      <c r="C112" s="3" t="str">
        <f>'3   Material'!G73</f>
        <v>777F</v>
      </c>
      <c r="D112" s="114" t="str">
        <f>'9   Trucks'!A31</f>
        <v>Haul cover soil</v>
      </c>
      <c r="E112" s="70" t="str">
        <f>'4   Earthwork'!C73</f>
        <v>OB-4 Stockpile</v>
      </c>
      <c r="F112" s="70" t="str">
        <f>'4   Earthwork'!D73</f>
        <v>East WRF Containment</v>
      </c>
      <c r="G112" s="203">
        <f t="shared" si="38"/>
        <v>294.39999999999998</v>
      </c>
      <c r="H112" s="203">
        <f t="shared" si="39"/>
        <v>42.82</v>
      </c>
      <c r="I112" s="88">
        <f>'9   Trucks'!G31</f>
        <v>2</v>
      </c>
      <c r="J112" s="104">
        <f>MAX('10   Loader'!I28,'9   Trucks'!I31)</f>
        <v>2.2471428571428573</v>
      </c>
      <c r="K112" s="116">
        <f t="shared" si="44"/>
        <v>1515.5630285714285</v>
      </c>
      <c r="L112" s="126">
        <f>'9   Trucks'!E31</f>
        <v>2420</v>
      </c>
      <c r="M112" s="14" t="s">
        <v>191</v>
      </c>
      <c r="N112" s="137">
        <f>IF(L112=0,"---",K112/L112)</f>
        <v>0.6262657142857142</v>
      </c>
      <c r="O112" s="137"/>
    </row>
    <row r="113" spans="1:15" x14ac:dyDescent="0.2">
      <c r="A113" s="463"/>
      <c r="B113" s="3"/>
      <c r="C113" s="3" t="str">
        <f>'3   Material'!G74</f>
        <v>777F</v>
      </c>
      <c r="D113" s="114" t="str">
        <f>'9   Trucks'!A32</f>
        <v>Haul cover soil</v>
      </c>
      <c r="E113" s="70" t="str">
        <f>'4   Earthwork'!C74</f>
        <v>NOBS</v>
      </c>
      <c r="F113" s="70" t="str">
        <f>'4   Earthwork'!D74</f>
        <v xml:space="preserve">Blackman's Seep (Pond #2) </v>
      </c>
      <c r="G113" s="203">
        <f t="shared" si="38"/>
        <v>294.39999999999998</v>
      </c>
      <c r="H113" s="203">
        <f t="shared" si="39"/>
        <v>42.82</v>
      </c>
      <c r="I113" s="88">
        <f>'9   Trucks'!G32</f>
        <v>3</v>
      </c>
      <c r="J113" s="104">
        <f>MAX('10   Loader'!I29,'9   Trucks'!I32)</f>
        <v>4.4942857142857146E-2</v>
      </c>
      <c r="K113" s="116">
        <f t="shared" si="44"/>
        <v>45.466890857142857</v>
      </c>
      <c r="L113" s="126">
        <f>'9   Trucks'!E32</f>
        <v>48.4</v>
      </c>
      <c r="M113" s="14" t="s">
        <v>191</v>
      </c>
      <c r="N113" s="137">
        <f>IF(L113=0,"---",K113/L113)</f>
        <v>0.93939857142857142</v>
      </c>
      <c r="O113" s="137"/>
    </row>
    <row r="114" spans="1:15" x14ac:dyDescent="0.2">
      <c r="A114" s="463"/>
      <c r="B114" s="3"/>
      <c r="C114" s="3" t="str">
        <f>'3   Material'!G75</f>
        <v>777F</v>
      </c>
      <c r="D114" s="114" t="str">
        <f>'9   Trucks'!A33</f>
        <v>Haul cover soil</v>
      </c>
      <c r="E114" s="70" t="str">
        <f>'4   Earthwork'!C75</f>
        <v>OB-4 Stockpile</v>
      </c>
      <c r="F114" s="70" t="str">
        <f>'4   Earthwork'!D75</f>
        <v>Decant Pond #4</v>
      </c>
      <c r="G114" s="203">
        <f t="shared" si="38"/>
        <v>294.39999999999998</v>
      </c>
      <c r="H114" s="203">
        <f t="shared" si="39"/>
        <v>42.82</v>
      </c>
      <c r="I114" s="88">
        <f>'9   Trucks'!G33</f>
        <v>2</v>
      </c>
      <c r="J114" s="104">
        <f>MAX('10   Loader'!I30,'9   Trucks'!I33)</f>
        <v>2.786457142857143</v>
      </c>
      <c r="K114" s="116">
        <f t="shared" si="44"/>
        <v>1879.2981554285714</v>
      </c>
      <c r="L114" s="126">
        <f>'9   Trucks'!E33</f>
        <v>3000.8</v>
      </c>
      <c r="M114" s="14" t="s">
        <v>191</v>
      </c>
      <c r="N114" s="137">
        <f>IF(L114=0,"---",K114/L114)</f>
        <v>0.6262657142857142</v>
      </c>
      <c r="O114" s="137"/>
    </row>
    <row r="115" spans="1:15" x14ac:dyDescent="0.2">
      <c r="A115" s="463"/>
      <c r="B115" s="3"/>
      <c r="C115" s="3" t="str">
        <f>'3   Material'!G76</f>
        <v>777F</v>
      </c>
      <c r="D115" s="114" t="str">
        <f>'9   Trucks'!A34</f>
        <v>Haul cover soil</v>
      </c>
      <c r="E115" s="70" t="str">
        <f>'4   Earthwork'!C76</f>
        <v>NOBS</v>
      </c>
      <c r="F115" s="70" t="str">
        <f>'4   Earthwork'!D76</f>
        <v xml:space="preserve">Upper Creek Containment Pond 1 </v>
      </c>
      <c r="G115" s="203">
        <f t="shared" si="38"/>
        <v>294.39999999999998</v>
      </c>
      <c r="H115" s="203">
        <f t="shared" si="39"/>
        <v>42.82</v>
      </c>
      <c r="I115" s="88">
        <f>'9   Trucks'!G34</f>
        <v>3</v>
      </c>
      <c r="J115" s="104">
        <f>MAX('10   Loader'!I31,'9   Trucks'!I34)</f>
        <v>5.0785428571428559</v>
      </c>
      <c r="K115" s="116">
        <f t="shared" si="44"/>
        <v>5137.7586668571412</v>
      </c>
      <c r="L115" s="126">
        <f>'9   Trucks'!E34</f>
        <v>5469.1999999999989</v>
      </c>
      <c r="M115" s="14" t="s">
        <v>191</v>
      </c>
      <c r="N115" s="137">
        <f>IF(L115=0,"---",K115/L115)</f>
        <v>0.93939857142857131</v>
      </c>
      <c r="O115" s="137"/>
    </row>
    <row r="116" spans="1:15" x14ac:dyDescent="0.2">
      <c r="A116" s="463"/>
      <c r="B116" s="3"/>
      <c r="C116" s="3"/>
      <c r="D116" s="114"/>
      <c r="E116" s="70"/>
      <c r="F116" s="70"/>
      <c r="G116" s="203"/>
      <c r="H116" s="203"/>
      <c r="I116" s="88"/>
      <c r="J116" s="104"/>
      <c r="K116" s="116"/>
      <c r="L116" s="126"/>
      <c r="M116" s="14"/>
      <c r="N116" s="137"/>
      <c r="O116" s="137"/>
    </row>
    <row r="117" spans="1:15" ht="15.75" x14ac:dyDescent="0.25">
      <c r="A117" s="463"/>
      <c r="B117" s="139" t="s">
        <v>196</v>
      </c>
      <c r="C117" s="3"/>
      <c r="D117" s="114"/>
      <c r="E117" s="70"/>
      <c r="F117" s="70"/>
      <c r="G117" s="203"/>
      <c r="H117" s="203"/>
      <c r="I117" s="88"/>
      <c r="J117" s="104"/>
      <c r="K117" s="116"/>
      <c r="L117" s="126"/>
      <c r="M117" s="14"/>
      <c r="N117" s="137"/>
      <c r="O117" s="137"/>
    </row>
    <row r="118" spans="1:15" x14ac:dyDescent="0.2">
      <c r="A118" s="463"/>
      <c r="B118" s="3"/>
      <c r="C118" s="3" t="str">
        <f>'3   Material'!G77</f>
        <v>D11T w/ ripper</v>
      </c>
      <c r="D118" s="114" t="str">
        <f>'3   Material'!B77</f>
        <v>Rip liners</v>
      </c>
      <c r="E118" s="114" t="str">
        <f>'3   Material'!C77</f>
        <v>East WRF Containment</v>
      </c>
      <c r="F118" s="114" t="str">
        <f>'3   Material'!D77</f>
        <v>-</v>
      </c>
      <c r="G118" s="203">
        <f t="shared" ref="G118:G124" si="45">$I$155</f>
        <v>534.55999999999995</v>
      </c>
      <c r="H118" s="203">
        <f t="shared" ref="H118:H124" si="46">$I$168</f>
        <v>47.58</v>
      </c>
      <c r="I118" s="88">
        <v>1</v>
      </c>
      <c r="J118" s="140">
        <f>'7   Ripper'!H11</f>
        <v>0.29326956521739128</v>
      </c>
      <c r="K118" s="116">
        <f t="shared" si="44"/>
        <v>170.72394469565216</v>
      </c>
      <c r="L118" s="126">
        <f>'7   Ripper'!F11</f>
        <v>1210</v>
      </c>
      <c r="M118" s="14" t="s">
        <v>191</v>
      </c>
      <c r="N118" s="137">
        <f>IF(L118=0,"---",K118/L118)</f>
        <v>0.14109416916996045</v>
      </c>
      <c r="O118" s="137"/>
    </row>
    <row r="119" spans="1:15" x14ac:dyDescent="0.2">
      <c r="A119" s="463"/>
      <c r="B119" s="3"/>
      <c r="C119" s="3" t="str">
        <f>'3   Material'!G78</f>
        <v>D11T w/ ripper</v>
      </c>
      <c r="D119" s="114" t="str">
        <f>'3   Material'!B78</f>
        <v>Rip liners</v>
      </c>
      <c r="E119" s="114" t="str">
        <f>'3   Material'!C78</f>
        <v>Decant Pond #4</v>
      </c>
      <c r="F119" s="114" t="str">
        <f>'3   Material'!D78</f>
        <v>-</v>
      </c>
      <c r="G119" s="203">
        <f t="shared" si="45"/>
        <v>534.55999999999995</v>
      </c>
      <c r="H119" s="203">
        <f t="shared" si="46"/>
        <v>47.58</v>
      </c>
      <c r="I119" s="88">
        <v>1</v>
      </c>
      <c r="J119" s="140">
        <f>'7   Ripper'!H12</f>
        <v>0.36365426086956515</v>
      </c>
      <c r="K119" s="116">
        <f t="shared" si="44"/>
        <v>211.69769142260864</v>
      </c>
      <c r="L119" s="126">
        <f>'7   Ripper'!F12</f>
        <v>1500.4</v>
      </c>
      <c r="M119" s="14" t="s">
        <v>191</v>
      </c>
      <c r="N119" s="137">
        <f>IF(L119=0,"---",K119/L119)</f>
        <v>0.14109416916996043</v>
      </c>
      <c r="O119" s="137"/>
    </row>
    <row r="120" spans="1:15" x14ac:dyDescent="0.2">
      <c r="A120" s="463"/>
      <c r="B120" s="3"/>
      <c r="C120" s="3" t="str">
        <f>'3   Material'!G79</f>
        <v>D11T w/ ripper</v>
      </c>
      <c r="D120" s="114" t="str">
        <f>'3   Material'!B79</f>
        <v>Rip liners</v>
      </c>
      <c r="E120" s="114" t="str">
        <f>'3   Material'!C79</f>
        <v xml:space="preserve">Blackman's Seep (Pond #2) </v>
      </c>
      <c r="F120" s="114" t="str">
        <f>'3   Material'!D79</f>
        <v>-</v>
      </c>
      <c r="G120" s="203">
        <f t="shared" si="45"/>
        <v>534.55999999999995</v>
      </c>
      <c r="H120" s="203">
        <f t="shared" si="46"/>
        <v>47.58</v>
      </c>
      <c r="I120" s="88">
        <v>1</v>
      </c>
      <c r="J120" s="140">
        <f>'7   Ripper'!H13</f>
        <v>5.8653913043478249E-3</v>
      </c>
      <c r="K120" s="116">
        <f t="shared" si="44"/>
        <v>3.4144788939130426</v>
      </c>
      <c r="L120" s="126">
        <f>'7   Ripper'!F13</f>
        <v>24.2</v>
      </c>
      <c r="M120" s="14" t="s">
        <v>191</v>
      </c>
      <c r="N120" s="137">
        <f t="shared" ref="N120:N123" si="47">IF(L120=0,"---",K120/L120)</f>
        <v>0.14109416916996045</v>
      </c>
      <c r="O120" s="137"/>
    </row>
    <row r="121" spans="1:15" x14ac:dyDescent="0.2">
      <c r="A121" s="463"/>
      <c r="B121" s="3"/>
      <c r="C121" s="3" t="str">
        <f>'3   Material'!G80</f>
        <v>D11T w/ ripper</v>
      </c>
      <c r="D121" s="114" t="str">
        <f>'3   Material'!B80</f>
        <v>Rip liners</v>
      </c>
      <c r="E121" s="114" t="str">
        <f>'3   Material'!C80</f>
        <v>Grape Gulch Pond #3</v>
      </c>
      <c r="F121" s="114" t="str">
        <f>'3   Material'!D80</f>
        <v>-</v>
      </c>
      <c r="G121" s="203">
        <f t="shared" si="45"/>
        <v>534.55999999999995</v>
      </c>
      <c r="H121" s="203">
        <f t="shared" si="46"/>
        <v>47.58</v>
      </c>
      <c r="I121" s="88">
        <v>1</v>
      </c>
      <c r="J121" s="140">
        <f>'7   Ripper'!H14</f>
        <v>0.22288486956521736</v>
      </c>
      <c r="K121" s="116">
        <f t="shared" si="44"/>
        <v>129.75019796869563</v>
      </c>
      <c r="L121" s="126">
        <f>'7   Ripper'!F14</f>
        <v>919.59999999999991</v>
      </c>
      <c r="M121" s="14" t="s">
        <v>191</v>
      </c>
      <c r="N121" s="137">
        <f t="shared" si="47"/>
        <v>0.14109416916996045</v>
      </c>
      <c r="O121" s="137"/>
    </row>
    <row r="122" spans="1:15" x14ac:dyDescent="0.2">
      <c r="A122" s="463"/>
      <c r="B122" s="3"/>
      <c r="C122" s="3" t="str">
        <f>'3   Material'!G81</f>
        <v>D11T w/ ripper</v>
      </c>
      <c r="D122" s="114" t="str">
        <f>'3   Material'!B81</f>
        <v>Rip liners</v>
      </c>
      <c r="E122" s="114" t="str">
        <f>'3   Material'!C81</f>
        <v>Magnetite Seepage Pond</v>
      </c>
      <c r="F122" s="114" t="str">
        <f>'3   Material'!D81</f>
        <v>-</v>
      </c>
      <c r="G122" s="203">
        <f t="shared" si="45"/>
        <v>534.55999999999995</v>
      </c>
      <c r="H122" s="203">
        <f t="shared" si="46"/>
        <v>47.58</v>
      </c>
      <c r="I122" s="88">
        <v>1</v>
      </c>
      <c r="J122" s="140">
        <f>'7   Ripper'!H15</f>
        <v>0.11730782608695652</v>
      </c>
      <c r="K122" s="116">
        <f t="shared" si="44"/>
        <v>68.289577878260857</v>
      </c>
      <c r="L122" s="126">
        <f>'7   Ripper'!F15</f>
        <v>484</v>
      </c>
      <c r="M122" s="14" t="s">
        <v>191</v>
      </c>
      <c r="N122" s="137">
        <f t="shared" si="47"/>
        <v>0.14109416916996045</v>
      </c>
      <c r="O122" s="137"/>
    </row>
    <row r="123" spans="1:15" x14ac:dyDescent="0.2">
      <c r="A123" s="463"/>
      <c r="B123" s="3"/>
      <c r="C123" s="3" t="str">
        <f>'3   Material'!G82</f>
        <v>D11T w/ ripper</v>
      </c>
      <c r="D123" s="114" t="str">
        <f>'3   Material'!B82</f>
        <v>Rip surface</v>
      </c>
      <c r="E123" s="114" t="str">
        <f>'3   Material'!C82</f>
        <v>Reclaim Pond Outlet Channel</v>
      </c>
      <c r="F123" s="114" t="str">
        <f>'3   Material'!D82</f>
        <v>-</v>
      </c>
      <c r="G123" s="203">
        <f t="shared" si="45"/>
        <v>534.55999999999995</v>
      </c>
      <c r="H123" s="203">
        <f t="shared" si="46"/>
        <v>47.58</v>
      </c>
      <c r="I123" s="88">
        <v>1</v>
      </c>
      <c r="J123" s="140">
        <f>'7   Ripper'!H16</f>
        <v>0.99711652173913023</v>
      </c>
      <c r="K123" s="116">
        <f t="shared" si="44"/>
        <v>580.46141196521728</v>
      </c>
      <c r="L123" s="126">
        <f>'7   Ripper'!F16</f>
        <v>4114</v>
      </c>
      <c r="M123" s="14" t="s">
        <v>191</v>
      </c>
      <c r="N123" s="137">
        <f t="shared" si="47"/>
        <v>0.14109416916996045</v>
      </c>
      <c r="O123" s="137"/>
    </row>
    <row r="124" spans="1:15" x14ac:dyDescent="0.2">
      <c r="A124" s="463"/>
      <c r="B124" s="3"/>
      <c r="C124" s="3" t="str">
        <f>'3   Material'!G83</f>
        <v>D11T w/ ripper</v>
      </c>
      <c r="D124" s="114" t="str">
        <f>'3   Material'!B83</f>
        <v>Rip liners</v>
      </c>
      <c r="E124" s="114" t="str">
        <f>'3   Material'!C83</f>
        <v xml:space="preserve">Upper Creek Containment Pond 1 </v>
      </c>
      <c r="F124" s="114" t="str">
        <f>'3   Material'!D83</f>
        <v>-</v>
      </c>
      <c r="G124" s="203">
        <f t="shared" si="45"/>
        <v>534.55999999999995</v>
      </c>
      <c r="H124" s="203">
        <f t="shared" si="46"/>
        <v>47.58</v>
      </c>
      <c r="I124" s="88">
        <v>1</v>
      </c>
      <c r="J124" s="140">
        <f>'7   Ripper'!H17</f>
        <v>0.66278921739130414</v>
      </c>
      <c r="K124" s="116">
        <f t="shared" si="44"/>
        <v>385.83611501217376</v>
      </c>
      <c r="L124" s="126">
        <f>'7   Ripper'!F17</f>
        <v>2734.6</v>
      </c>
      <c r="M124" s="14" t="s">
        <v>191</v>
      </c>
      <c r="N124" s="137">
        <f>IF(L124=0,"---",K124/L124)</f>
        <v>0.14109416916996043</v>
      </c>
      <c r="O124" s="137"/>
    </row>
    <row r="125" spans="1:15" x14ac:dyDescent="0.2">
      <c r="A125" s="463"/>
      <c r="B125" s="3"/>
      <c r="C125" s="3"/>
      <c r="D125" s="114"/>
      <c r="E125" s="114"/>
      <c r="F125" s="114"/>
      <c r="G125" s="203"/>
      <c r="H125" s="203"/>
      <c r="I125" s="88"/>
      <c r="J125" s="140"/>
      <c r="K125" s="116"/>
      <c r="L125" s="126"/>
      <c r="M125" s="14"/>
      <c r="N125" s="137"/>
      <c r="O125" s="137"/>
    </row>
    <row r="126" spans="1:15" ht="15.75" x14ac:dyDescent="0.25">
      <c r="A126" s="463"/>
      <c r="B126" s="141" t="s">
        <v>197</v>
      </c>
      <c r="C126" s="3"/>
      <c r="D126" s="114"/>
      <c r="E126" s="114"/>
      <c r="F126" s="114"/>
      <c r="G126" s="203"/>
      <c r="H126" s="203"/>
      <c r="I126" s="88"/>
      <c r="J126" s="140"/>
      <c r="K126" s="116"/>
      <c r="L126" s="126"/>
      <c r="M126" s="14"/>
      <c r="N126" s="137"/>
      <c r="O126" s="137"/>
    </row>
    <row r="127" spans="1:15" x14ac:dyDescent="0.2">
      <c r="A127" s="463"/>
      <c r="B127" s="3"/>
      <c r="C127" s="3" t="str">
        <f>'3   Material'!$B$118</f>
        <v>Off-Hwy Water Tanker Truck</v>
      </c>
      <c r="D127" s="334" t="str">
        <f>E9</f>
        <v>SWRDF</v>
      </c>
      <c r="E127" s="114"/>
      <c r="F127" s="114"/>
      <c r="G127" s="203">
        <f t="shared" ref="G127:G132" si="48">$I$159</f>
        <v>171.97</v>
      </c>
      <c r="H127" s="203">
        <f t="shared" ref="H127:H132" si="49">$I$172</f>
        <v>25.34</v>
      </c>
      <c r="I127" s="88">
        <v>1</v>
      </c>
      <c r="J127" s="104">
        <f>J72+J73+J74</f>
        <v>1890.1160622476391</v>
      </c>
      <c r="K127" s="116">
        <f>(G127+H127)*J127*I127</f>
        <v>372938.80024208169</v>
      </c>
      <c r="L127" s="126"/>
      <c r="M127" s="14"/>
      <c r="N127" s="137"/>
      <c r="O127" s="137"/>
    </row>
    <row r="128" spans="1:15" x14ac:dyDescent="0.2">
      <c r="A128" s="463"/>
      <c r="B128" s="3"/>
      <c r="C128" s="3" t="str">
        <f>'3   Material'!$B$118</f>
        <v>Off-Hwy Water Tanker Truck</v>
      </c>
      <c r="D128" s="325" t="str">
        <f>F75</f>
        <v>Hanover Mountain Deposit</v>
      </c>
      <c r="E128" s="114"/>
      <c r="F128" s="114"/>
      <c r="G128" s="203">
        <f t="shared" si="48"/>
        <v>171.97</v>
      </c>
      <c r="H128" s="203">
        <f t="shared" si="49"/>
        <v>25.34</v>
      </c>
      <c r="I128" s="88">
        <v>1</v>
      </c>
      <c r="J128" s="104">
        <f>J75</f>
        <v>494.68468762140924</v>
      </c>
      <c r="K128" s="116">
        <f t="shared" ref="K128:K137" si="50">(G128+H128)*J128*I128</f>
        <v>97606.235714580253</v>
      </c>
      <c r="L128" s="126"/>
      <c r="M128" s="14"/>
      <c r="N128" s="137"/>
      <c r="O128" s="137"/>
    </row>
    <row r="129" spans="1:15" x14ac:dyDescent="0.2">
      <c r="A129" s="463"/>
      <c r="B129" s="3"/>
      <c r="C129" s="3" t="str">
        <f>'3   Material'!$B$118</f>
        <v>Off-Hwy Water Tanker Truck</v>
      </c>
      <c r="D129" s="325" t="str">
        <f>F76</f>
        <v>Pearson-Barnes Mine Area</v>
      </c>
      <c r="E129" s="114"/>
      <c r="F129" s="114"/>
      <c r="G129" s="203">
        <f t="shared" si="48"/>
        <v>171.97</v>
      </c>
      <c r="H129" s="203">
        <f t="shared" si="49"/>
        <v>25.34</v>
      </c>
      <c r="I129" s="88">
        <v>1</v>
      </c>
      <c r="J129" s="104">
        <f>J76</f>
        <v>53.482000000000006</v>
      </c>
      <c r="K129" s="116">
        <f t="shared" si="50"/>
        <v>10552.533420000002</v>
      </c>
      <c r="L129" s="126"/>
      <c r="M129" s="14"/>
      <c r="N129" s="137"/>
      <c r="O129" s="137"/>
    </row>
    <row r="130" spans="1:15" x14ac:dyDescent="0.2">
      <c r="A130" s="463"/>
      <c r="B130" s="3"/>
      <c r="C130" s="3" t="str">
        <f>'3   Material'!$B$118</f>
        <v>Off-Hwy Water Tanker Truck</v>
      </c>
      <c r="D130" s="325" t="str">
        <f>F77</f>
        <v>Low Grade WRF</v>
      </c>
      <c r="E130" s="114"/>
      <c r="F130" s="114"/>
      <c r="G130" s="203">
        <f t="shared" si="48"/>
        <v>171.97</v>
      </c>
      <c r="H130" s="203">
        <f t="shared" si="49"/>
        <v>25.34</v>
      </c>
      <c r="I130" s="88">
        <v>1</v>
      </c>
      <c r="J130" s="104">
        <f>J77</f>
        <v>41.691990476190469</v>
      </c>
      <c r="K130" s="116">
        <f t="shared" si="50"/>
        <v>8226.2466408571418</v>
      </c>
      <c r="L130" s="126"/>
      <c r="M130" s="14"/>
      <c r="N130" s="137"/>
      <c r="O130" s="137"/>
    </row>
    <row r="131" spans="1:15" x14ac:dyDescent="0.2">
      <c r="A131" s="463"/>
      <c r="B131" s="3"/>
      <c r="C131" s="3" t="str">
        <f>'3   Material'!$B$118</f>
        <v>Off-Hwy Water Tanker Truck</v>
      </c>
      <c r="D131" s="325" t="s">
        <v>444</v>
      </c>
      <c r="E131" s="114"/>
      <c r="F131" s="114"/>
      <c r="G131" s="203">
        <f t="shared" si="48"/>
        <v>171.97</v>
      </c>
      <c r="H131" s="203">
        <f t="shared" si="49"/>
        <v>25.34</v>
      </c>
      <c r="I131" s="88">
        <v>1</v>
      </c>
      <c r="J131" s="68">
        <f>J78+J79+J81+J82+J80</f>
        <v>561.22842285714285</v>
      </c>
      <c r="K131" s="116">
        <f>(G131+H131)*J130*I131</f>
        <v>8226.2466408571418</v>
      </c>
      <c r="L131" s="126"/>
      <c r="M131" s="14"/>
      <c r="N131" s="137"/>
      <c r="O131" s="137"/>
    </row>
    <row r="132" spans="1:15" x14ac:dyDescent="0.2">
      <c r="A132" s="463"/>
      <c r="B132" s="3"/>
      <c r="C132" s="3" t="str">
        <f>'3   Material'!$B$118</f>
        <v>Off-Hwy Water Tanker Truck</v>
      </c>
      <c r="D132" s="335" t="s">
        <v>198</v>
      </c>
      <c r="E132" s="114"/>
      <c r="F132" s="114"/>
      <c r="G132" s="203">
        <f t="shared" si="48"/>
        <v>171.97</v>
      </c>
      <c r="H132" s="203">
        <f t="shared" si="49"/>
        <v>25.34</v>
      </c>
      <c r="I132" s="88">
        <v>1</v>
      </c>
      <c r="J132" s="104">
        <f>SUM(J83:J92)</f>
        <v>23.667794140466704</v>
      </c>
      <c r="K132" s="116">
        <f t="shared" si="50"/>
        <v>4669.8924618554856</v>
      </c>
      <c r="L132" s="126"/>
      <c r="M132" s="14"/>
      <c r="N132" s="137"/>
      <c r="O132" s="137"/>
    </row>
    <row r="133" spans="1:15" x14ac:dyDescent="0.2">
      <c r="A133" s="463"/>
      <c r="B133" s="3"/>
      <c r="C133" s="3" t="str">
        <f>'3   Material'!$B$119</f>
        <v>Motor Grader</v>
      </c>
      <c r="D133" s="143" t="str">
        <f t="shared" ref="D133:D138" si="51">D127</f>
        <v>SWRDF</v>
      </c>
      <c r="E133" s="114"/>
      <c r="F133" s="114"/>
      <c r="G133" s="203">
        <f t="shared" ref="G133:G138" si="52">$I$158</f>
        <v>164.06</v>
      </c>
      <c r="H133" s="203">
        <f t="shared" ref="H133:H138" si="53">$I$171</f>
        <v>47.58</v>
      </c>
      <c r="I133" s="88">
        <v>1</v>
      </c>
      <c r="J133" s="104">
        <f t="shared" ref="J133:J138" si="54">J127</f>
        <v>1890.1160622476391</v>
      </c>
      <c r="K133" s="116">
        <f t="shared" si="50"/>
        <v>400024.16341409029</v>
      </c>
      <c r="L133" s="126"/>
      <c r="M133" s="14"/>
      <c r="N133" s="137"/>
      <c r="O133" s="137"/>
    </row>
    <row r="134" spans="1:15" x14ac:dyDescent="0.2">
      <c r="A134" s="463"/>
      <c r="B134" s="3"/>
      <c r="C134" s="3" t="str">
        <f>'3   Material'!$B$119</f>
        <v>Motor Grader</v>
      </c>
      <c r="D134" s="4" t="str">
        <f t="shared" si="51"/>
        <v>Hanover Mountain Deposit</v>
      </c>
      <c r="E134" s="114"/>
      <c r="F134" s="114"/>
      <c r="G134" s="203">
        <f t="shared" si="52"/>
        <v>164.06</v>
      </c>
      <c r="H134" s="203">
        <f t="shared" si="53"/>
        <v>47.58</v>
      </c>
      <c r="I134" s="88">
        <v>1</v>
      </c>
      <c r="J134" s="104">
        <f t="shared" si="54"/>
        <v>494.68468762140924</v>
      </c>
      <c r="K134" s="116">
        <f t="shared" si="50"/>
        <v>104695.06728819504</v>
      </c>
      <c r="L134" s="126"/>
      <c r="M134" s="14"/>
      <c r="N134" s="137"/>
      <c r="O134" s="137"/>
    </row>
    <row r="135" spans="1:15" x14ac:dyDescent="0.2">
      <c r="A135" s="463"/>
      <c r="B135" s="3"/>
      <c r="C135" s="3" t="str">
        <f>'3   Material'!$B$119</f>
        <v>Motor Grader</v>
      </c>
      <c r="D135" s="4" t="str">
        <f t="shared" si="51"/>
        <v>Pearson-Barnes Mine Area</v>
      </c>
      <c r="E135" s="70"/>
      <c r="F135" s="70"/>
      <c r="G135" s="203">
        <f t="shared" si="52"/>
        <v>164.06</v>
      </c>
      <c r="H135" s="203">
        <f t="shared" si="53"/>
        <v>47.58</v>
      </c>
      <c r="I135" s="88">
        <v>1</v>
      </c>
      <c r="J135" s="104">
        <f t="shared" si="54"/>
        <v>53.482000000000006</v>
      </c>
      <c r="K135" s="116">
        <f t="shared" si="50"/>
        <v>11318.930480000001</v>
      </c>
      <c r="L135" s="126"/>
      <c r="M135" s="14"/>
      <c r="N135" s="137"/>
      <c r="O135" s="137"/>
    </row>
    <row r="136" spans="1:15" x14ac:dyDescent="0.2">
      <c r="A136" s="463"/>
      <c r="B136" s="3"/>
      <c r="C136" s="3" t="str">
        <f>'3   Material'!$B$119</f>
        <v>Motor Grader</v>
      </c>
      <c r="D136" s="4" t="str">
        <f t="shared" si="51"/>
        <v>Low Grade WRF</v>
      </c>
      <c r="E136" s="70"/>
      <c r="F136" s="70"/>
      <c r="G136" s="203">
        <f t="shared" si="52"/>
        <v>164.06</v>
      </c>
      <c r="H136" s="203">
        <f t="shared" si="53"/>
        <v>47.58</v>
      </c>
      <c r="I136" s="88">
        <v>1</v>
      </c>
      <c r="J136" s="104">
        <f t="shared" si="54"/>
        <v>41.691990476190469</v>
      </c>
      <c r="K136" s="116">
        <f t="shared" si="50"/>
        <v>8823.6928643809497</v>
      </c>
      <c r="L136" s="126"/>
      <c r="M136" s="14"/>
      <c r="N136" s="137"/>
      <c r="O136" s="137"/>
    </row>
    <row r="137" spans="1:15" x14ac:dyDescent="0.2">
      <c r="A137" s="463"/>
      <c r="B137" s="3"/>
      <c r="C137" s="3" t="str">
        <f>'3   Material'!$B$119</f>
        <v>Motor Grader</v>
      </c>
      <c r="D137" s="4" t="str">
        <f t="shared" si="51"/>
        <v>MTI</v>
      </c>
      <c r="E137" s="114"/>
      <c r="F137" s="114"/>
      <c r="G137" s="203">
        <f t="shared" si="52"/>
        <v>164.06</v>
      </c>
      <c r="H137" s="203">
        <f t="shared" si="53"/>
        <v>47.58</v>
      </c>
      <c r="I137" s="88">
        <v>1</v>
      </c>
      <c r="J137" s="104">
        <f t="shared" si="54"/>
        <v>561.22842285714285</v>
      </c>
      <c r="K137" s="116">
        <f t="shared" si="50"/>
        <v>118778.3834134857</v>
      </c>
      <c r="L137" s="135"/>
      <c r="M137" s="14"/>
      <c r="N137" s="137"/>
      <c r="O137" s="137"/>
    </row>
    <row r="138" spans="1:15" x14ac:dyDescent="0.2">
      <c r="A138" s="463"/>
      <c r="B138" s="3"/>
      <c r="C138" s="3" t="str">
        <f>'3   Material'!$B$119</f>
        <v>Motor Grader</v>
      </c>
      <c r="D138" s="4" t="str">
        <f t="shared" si="51"/>
        <v>Surface Impoundments</v>
      </c>
      <c r="E138" s="38"/>
      <c r="F138" s="114"/>
      <c r="G138" s="203">
        <f t="shared" si="52"/>
        <v>164.06</v>
      </c>
      <c r="H138" s="203">
        <f t="shared" si="53"/>
        <v>47.58</v>
      </c>
      <c r="I138" s="88">
        <v>1</v>
      </c>
      <c r="J138" s="104">
        <f t="shared" si="54"/>
        <v>23.667794140466704</v>
      </c>
      <c r="K138" s="116">
        <f>(G138+H138)*J138*I138</f>
        <v>5009.051951888373</v>
      </c>
      <c r="L138" s="135"/>
      <c r="M138" s="14"/>
      <c r="N138" s="137"/>
      <c r="O138" s="137"/>
    </row>
    <row r="139" spans="1:15" x14ac:dyDescent="0.2">
      <c r="A139" s="463"/>
      <c r="B139" s="3"/>
      <c r="C139" s="3"/>
      <c r="E139" s="38"/>
      <c r="F139" s="114"/>
      <c r="G139" s="134"/>
      <c r="H139" s="134"/>
      <c r="I139" s="88"/>
      <c r="J139" s="109"/>
      <c r="K139" s="126"/>
      <c r="L139" s="135"/>
      <c r="M139" s="14"/>
      <c r="N139" s="137"/>
      <c r="O139" s="137"/>
    </row>
    <row r="140" spans="1:15" x14ac:dyDescent="0.2">
      <c r="A140" s="463"/>
      <c r="B140" s="3"/>
      <c r="C140" s="14"/>
      <c r="D140" s="114"/>
      <c r="E140" s="114"/>
      <c r="F140" s="114"/>
      <c r="G140" s="134"/>
      <c r="J140" s="142" t="str">
        <f>'14   Reveg'!D49</f>
        <v>SWRDF</v>
      </c>
      <c r="K140" s="331">
        <f>SUM(K9,K49:K51,K72:K74,K95:K97,K13:K15,K127,K133)</f>
        <v>5048729.14247989</v>
      </c>
      <c r="L140" s="135"/>
      <c r="M140" s="14"/>
      <c r="N140" s="137"/>
      <c r="O140" s="137"/>
    </row>
    <row r="141" spans="1:15" ht="18" customHeight="1" x14ac:dyDescent="0.2">
      <c r="A141" s="463"/>
      <c r="B141" s="3"/>
      <c r="C141" s="14"/>
      <c r="D141" s="114"/>
      <c r="E141" s="114"/>
      <c r="F141" s="114"/>
      <c r="G141" s="134"/>
      <c r="J141" s="142" t="str">
        <f>'14   Reveg'!D50</f>
        <v>Hanover Mountain Deposit</v>
      </c>
      <c r="K141" s="331">
        <f>SUM(K52,K75,K98,K16,K128,K134)</f>
        <v>1273697.8481121245</v>
      </c>
      <c r="L141" s="143"/>
      <c r="M141" s="14"/>
      <c r="N141" s="137"/>
      <c r="O141" s="137"/>
    </row>
    <row r="142" spans="1:15" ht="18" customHeight="1" x14ac:dyDescent="0.2">
      <c r="A142" s="463"/>
      <c r="B142" s="3"/>
      <c r="C142" s="14"/>
      <c r="D142" s="114"/>
      <c r="E142" s="114"/>
      <c r="F142" s="114"/>
      <c r="G142" s="134"/>
      <c r="J142" s="142" t="str">
        <f>'14   Reveg'!D51</f>
        <v>Pearson-Barnes Mine Area</v>
      </c>
      <c r="K142" s="331">
        <f>SUM(K53,K76,K99,K17,K129,K135)</f>
        <v>135852.43519618746</v>
      </c>
      <c r="L142" s="135"/>
      <c r="M142" s="14"/>
      <c r="N142" s="137"/>
      <c r="O142" s="137"/>
    </row>
    <row r="143" spans="1:15" ht="18" customHeight="1" x14ac:dyDescent="0.2">
      <c r="A143" s="463"/>
      <c r="B143" s="3"/>
      <c r="C143" s="14"/>
      <c r="D143" s="114"/>
      <c r="E143" s="114"/>
      <c r="F143" s="114"/>
      <c r="G143" s="134"/>
      <c r="J143" s="142" t="str">
        <f>'14   Reveg'!D52</f>
        <v>Low Grade WRF</v>
      </c>
      <c r="K143" s="331">
        <f>SUM(K54,K77,K100,K18,K130,K136,K38)</f>
        <v>98783.932428434404</v>
      </c>
      <c r="L143" s="126"/>
      <c r="M143" s="126"/>
      <c r="N143" s="137"/>
      <c r="O143" s="137"/>
    </row>
    <row r="144" spans="1:15" ht="18" customHeight="1" x14ac:dyDescent="0.2">
      <c r="A144" s="463"/>
      <c r="B144" s="3"/>
      <c r="C144" s="14"/>
      <c r="D144" s="114"/>
      <c r="E144" s="114"/>
      <c r="F144" s="114"/>
      <c r="G144" s="134"/>
      <c r="J144" s="142" t="str">
        <f>'14   Reveg'!D53</f>
        <v>MTI</v>
      </c>
      <c r="K144" s="331">
        <f>SUM(K10:K12,K55:K59,K78:K82,K101:K105,K19:K23,K131,K137,K123)</f>
        <v>1628987.4548747493</v>
      </c>
      <c r="L144" s="126"/>
      <c r="M144" s="126"/>
      <c r="N144" s="137"/>
      <c r="O144" s="137"/>
    </row>
    <row r="145" spans="1:17" ht="18" customHeight="1" x14ac:dyDescent="0.2">
      <c r="A145" s="463"/>
      <c r="B145" s="3"/>
      <c r="C145" s="14"/>
      <c r="D145" s="114"/>
      <c r="E145" s="114"/>
      <c r="F145" s="84"/>
      <c r="G145" s="134"/>
      <c r="J145" s="142" t="s">
        <v>407</v>
      </c>
      <c r="K145" s="331">
        <f>K36+K37</f>
        <v>14715.412936913897</v>
      </c>
      <c r="L145" s="126"/>
      <c r="M145" s="126"/>
      <c r="N145" s="137"/>
      <c r="O145" s="137"/>
    </row>
    <row r="146" spans="1:17" ht="18" customHeight="1" x14ac:dyDescent="0.2">
      <c r="A146" s="463"/>
      <c r="B146" s="3"/>
      <c r="C146" s="14"/>
      <c r="D146" s="114"/>
      <c r="E146" s="114"/>
      <c r="F146" s="114"/>
      <c r="G146" s="134"/>
      <c r="J146" s="142" t="s">
        <v>198</v>
      </c>
      <c r="K146" s="331">
        <f>SUM(K24:K33,K39:K43,K60:K69,K83:K92,K106:K115,K118:K122,K44:K48,K124,K132,K138)</f>
        <v>59545.690112101416</v>
      </c>
    </row>
    <row r="147" spans="1:17" ht="18" customHeight="1" x14ac:dyDescent="0.25">
      <c r="A147" s="463"/>
      <c r="B147" s="3"/>
      <c r="C147" s="14"/>
      <c r="D147" s="114"/>
      <c r="E147" s="114"/>
      <c r="F147" s="114"/>
      <c r="G147" s="134"/>
      <c r="J147" s="145" t="s">
        <v>200</v>
      </c>
      <c r="K147" s="146">
        <f>SUM(K9:K138)</f>
        <v>8260311.9161403971</v>
      </c>
      <c r="L147" s="126"/>
      <c r="M147" s="126"/>
      <c r="N147" s="137"/>
      <c r="O147" s="126" t="s">
        <v>199</v>
      </c>
      <c r="P147" s="137"/>
      <c r="Q147" s="144">
        <f>SUM(K140:K146)</f>
        <v>8260311.9161404008</v>
      </c>
    </row>
    <row r="148" spans="1:17" ht="18" customHeight="1" x14ac:dyDescent="0.25">
      <c r="A148" s="463"/>
      <c r="B148" s="14"/>
      <c r="C148" s="14"/>
      <c r="E148" s="114"/>
      <c r="F148" s="114"/>
      <c r="G148" s="14"/>
      <c r="H148" s="133"/>
      <c r="I148" s="147"/>
      <c r="J148" s="14"/>
      <c r="K148" s="14"/>
      <c r="L148" s="148"/>
      <c r="M148" s="3"/>
      <c r="N148" s="3"/>
      <c r="O148" s="3"/>
    </row>
    <row r="149" spans="1:17" ht="15.75" x14ac:dyDescent="0.25">
      <c r="A149" s="463"/>
      <c r="B149" s="14"/>
      <c r="C149" s="14"/>
      <c r="D149" s="43"/>
      <c r="E149" s="43"/>
      <c r="F149" s="43"/>
      <c r="G149" s="43"/>
      <c r="H149" s="3"/>
      <c r="I149" s="50" t="s">
        <v>201</v>
      </c>
      <c r="K149" s="146"/>
      <c r="L149" s="3"/>
      <c r="N149" s="3"/>
      <c r="O149" s="3"/>
      <c r="P149" s="87"/>
    </row>
    <row r="150" spans="1:17" x14ac:dyDescent="0.2">
      <c r="A150" s="463"/>
      <c r="B150" s="3"/>
      <c r="C150" s="3"/>
      <c r="D150" s="43"/>
      <c r="E150" s="43"/>
      <c r="F150" s="149"/>
      <c r="G150" s="149"/>
      <c r="H150" s="450" t="s">
        <v>171</v>
      </c>
      <c r="I150" s="450" t="s">
        <v>202</v>
      </c>
      <c r="K150" s="3"/>
      <c r="L150" s="3"/>
      <c r="N150" s="3"/>
      <c r="O150" s="3"/>
      <c r="P150" s="94"/>
    </row>
    <row r="151" spans="1:17" ht="15.75" x14ac:dyDescent="0.25">
      <c r="A151" s="463"/>
      <c r="B151" s="3"/>
      <c r="C151" s="3"/>
      <c r="D151" s="139" t="s">
        <v>203</v>
      </c>
      <c r="E151" s="43"/>
      <c r="F151" s="150" t="s">
        <v>204</v>
      </c>
      <c r="G151" s="150" t="s">
        <v>204</v>
      </c>
      <c r="H151" s="450" t="s">
        <v>179</v>
      </c>
      <c r="I151" s="450" t="s">
        <v>205</v>
      </c>
      <c r="K151" s="50"/>
      <c r="L151" s="50"/>
      <c r="N151" s="3"/>
      <c r="O151" s="3"/>
      <c r="P151" s="94"/>
    </row>
    <row r="152" spans="1:17" x14ac:dyDescent="0.2">
      <c r="A152" s="463"/>
      <c r="B152" s="3"/>
      <c r="C152" s="3"/>
      <c r="D152" s="43"/>
      <c r="E152" s="43"/>
      <c r="F152" s="151" t="s">
        <v>206</v>
      </c>
      <c r="G152" s="151" t="s">
        <v>180</v>
      </c>
      <c r="H152" s="152" t="s">
        <v>207</v>
      </c>
      <c r="I152" s="450" t="s">
        <v>180</v>
      </c>
      <c r="J152" s="50"/>
      <c r="K152" s="50"/>
      <c r="N152" s="3"/>
      <c r="O152" s="3"/>
      <c r="P152" s="94"/>
    </row>
    <row r="153" spans="1:17" x14ac:dyDescent="0.2">
      <c r="A153" s="463"/>
      <c r="B153" s="3"/>
      <c r="C153" s="3"/>
      <c r="D153" s="153" t="s">
        <v>208</v>
      </c>
      <c r="E153" s="153"/>
      <c r="F153" s="154" t="s">
        <v>209</v>
      </c>
      <c r="G153" s="154" t="s">
        <v>184</v>
      </c>
      <c r="H153" s="155" t="s">
        <v>184</v>
      </c>
      <c r="I153" s="155" t="s">
        <v>184</v>
      </c>
      <c r="J153" s="156" t="s">
        <v>210</v>
      </c>
      <c r="N153" s="3"/>
      <c r="O153" s="3"/>
      <c r="P153" s="94"/>
    </row>
    <row r="154" spans="1:17" x14ac:dyDescent="0.2">
      <c r="A154" s="463"/>
      <c r="B154" s="3"/>
      <c r="C154" s="3"/>
      <c r="D154" s="336" t="s">
        <v>211</v>
      </c>
      <c r="E154" s="43"/>
      <c r="F154" s="337">
        <f>G154/$H$162</f>
        <v>29.751166407465011</v>
      </c>
      <c r="G154" s="338">
        <v>95.65</v>
      </c>
      <c r="H154" s="339">
        <f>I154-G154</f>
        <v>413.47</v>
      </c>
      <c r="I154" s="340">
        <v>509.12</v>
      </c>
      <c r="J154" s="152">
        <v>1</v>
      </c>
      <c r="N154" s="157"/>
      <c r="O154" s="3"/>
      <c r="P154" s="94"/>
    </row>
    <row r="155" spans="1:17" x14ac:dyDescent="0.2">
      <c r="A155" s="463"/>
      <c r="B155" s="3"/>
      <c r="C155" s="3"/>
      <c r="D155" s="336" t="s">
        <v>212</v>
      </c>
      <c r="E155" s="43"/>
      <c r="F155" s="337">
        <f t="shared" ref="F155:F159" si="55">G155/$H$162</f>
        <v>29.751166407465011</v>
      </c>
      <c r="G155" s="338">
        <v>95.65</v>
      </c>
      <c r="H155" s="339">
        <f t="shared" ref="H155:H159" si="56">I155-G155</f>
        <v>438.90999999999997</v>
      </c>
      <c r="I155" s="340">
        <v>534.55999999999995</v>
      </c>
      <c r="J155" s="152">
        <v>1</v>
      </c>
      <c r="N155" s="157"/>
      <c r="O155" s="3"/>
      <c r="P155" s="94"/>
    </row>
    <row r="156" spans="1:17" x14ac:dyDescent="0.2">
      <c r="A156" s="463"/>
      <c r="B156" s="3"/>
      <c r="C156" s="3"/>
      <c r="D156" s="336" t="s">
        <v>213</v>
      </c>
      <c r="E156" s="43"/>
      <c r="F156" s="337">
        <f t="shared" si="55"/>
        <v>18.758942457231729</v>
      </c>
      <c r="G156" s="341">
        <v>60.31</v>
      </c>
      <c r="H156" s="339">
        <f t="shared" si="56"/>
        <v>234.08999999999997</v>
      </c>
      <c r="I156" s="340">
        <v>294.39999999999998</v>
      </c>
      <c r="J156" s="152">
        <v>1</v>
      </c>
      <c r="N156" s="157"/>
      <c r="O156" s="3"/>
      <c r="P156" s="87"/>
    </row>
    <row r="157" spans="1:17" x14ac:dyDescent="0.2">
      <c r="A157" s="463"/>
      <c r="B157" s="3"/>
      <c r="C157" s="3"/>
      <c r="D157" s="336" t="s">
        <v>214</v>
      </c>
      <c r="E157" s="43"/>
      <c r="F157" s="337">
        <f t="shared" si="55"/>
        <v>25.632970451010888</v>
      </c>
      <c r="G157" s="338">
        <v>82.41</v>
      </c>
      <c r="H157" s="339">
        <f t="shared" si="56"/>
        <v>287.56000000000006</v>
      </c>
      <c r="I157" s="340">
        <v>369.97</v>
      </c>
      <c r="J157" s="152">
        <v>1</v>
      </c>
      <c r="N157" s="157"/>
      <c r="O157" s="3"/>
      <c r="P157" s="87"/>
    </row>
    <row r="158" spans="1:17" x14ac:dyDescent="0.2">
      <c r="A158" s="463"/>
      <c r="B158" s="3"/>
      <c r="C158" s="3"/>
      <c r="D158" s="336" t="s">
        <v>215</v>
      </c>
      <c r="E158" s="43"/>
      <c r="F158" s="337">
        <f t="shared" si="55"/>
        <v>9.5054432348367026</v>
      </c>
      <c r="G158" s="338">
        <v>30.56</v>
      </c>
      <c r="H158" s="339">
        <f t="shared" si="56"/>
        <v>133.5</v>
      </c>
      <c r="I158" s="340">
        <v>164.06</v>
      </c>
      <c r="J158" s="152">
        <v>1</v>
      </c>
      <c r="N158" s="157"/>
      <c r="O158" s="3"/>
      <c r="P158" s="87"/>
    </row>
    <row r="159" spans="1:17" x14ac:dyDescent="0.2">
      <c r="A159" s="463"/>
      <c r="B159" s="3"/>
      <c r="C159" s="3"/>
      <c r="D159" s="59" t="s">
        <v>216</v>
      </c>
      <c r="E159" s="43"/>
      <c r="F159" s="337">
        <f t="shared" si="55"/>
        <v>15.343701399688959</v>
      </c>
      <c r="G159" s="338">
        <v>49.33</v>
      </c>
      <c r="H159" s="339">
        <f t="shared" si="56"/>
        <v>122.64</v>
      </c>
      <c r="I159" s="340">
        <v>171.97</v>
      </c>
      <c r="J159" s="152">
        <v>1</v>
      </c>
      <c r="N159" s="157"/>
      <c r="O159" s="3"/>
      <c r="P159" s="87"/>
    </row>
    <row r="160" spans="1:17" x14ac:dyDescent="0.2">
      <c r="A160" s="463"/>
      <c r="B160" s="3"/>
      <c r="C160" s="3"/>
      <c r="D160" s="158"/>
      <c r="E160" s="159"/>
      <c r="F160" s="160"/>
      <c r="G160" s="161"/>
      <c r="H160" s="162"/>
      <c r="I160" s="450"/>
      <c r="J160" s="3"/>
      <c r="N160" s="3"/>
      <c r="O160" s="3"/>
      <c r="P160" s="87"/>
    </row>
    <row r="161" spans="1:16" ht="15.75" x14ac:dyDescent="0.25">
      <c r="A161" s="463"/>
      <c r="B161" s="3"/>
      <c r="C161" s="3"/>
      <c r="D161" s="139" t="s">
        <v>217</v>
      </c>
      <c r="E161" s="43"/>
      <c r="F161" s="43"/>
      <c r="G161" s="43"/>
      <c r="H161" s="3"/>
      <c r="I161" s="3"/>
      <c r="J161" s="3"/>
      <c r="N161" s="3"/>
      <c r="O161" s="3"/>
      <c r="P161" s="87"/>
    </row>
    <row r="162" spans="1:16" x14ac:dyDescent="0.2">
      <c r="A162" s="463"/>
      <c r="B162" s="3"/>
      <c r="C162" s="3"/>
      <c r="D162" s="43" t="s">
        <v>218</v>
      </c>
      <c r="E162" s="43"/>
      <c r="F162" s="3"/>
      <c r="G162" s="3"/>
      <c r="H162" s="342">
        <v>3.2149999999999999</v>
      </c>
      <c r="I162" s="3" t="s">
        <v>219</v>
      </c>
      <c r="J162" s="152">
        <v>2</v>
      </c>
      <c r="N162" s="3"/>
      <c r="O162" s="3"/>
      <c r="P162" s="87"/>
    </row>
    <row r="163" spans="1:16" x14ac:dyDescent="0.2">
      <c r="A163" s="463"/>
      <c r="B163" s="3"/>
      <c r="C163" s="3"/>
      <c r="D163" s="43"/>
      <c r="E163" s="43"/>
      <c r="F163" s="3"/>
      <c r="G163" s="3"/>
      <c r="H163" s="450"/>
      <c r="I163" s="450" t="s">
        <v>220</v>
      </c>
      <c r="J163" s="50"/>
      <c r="N163" s="3"/>
      <c r="O163" s="3"/>
      <c r="P163" s="87"/>
    </row>
    <row r="164" spans="1:16" ht="15.75" x14ac:dyDescent="0.25">
      <c r="A164" s="463"/>
      <c r="B164" s="3"/>
      <c r="C164" s="3"/>
      <c r="D164" s="139" t="s">
        <v>221</v>
      </c>
      <c r="E164" s="43"/>
      <c r="F164" s="3"/>
      <c r="G164" s="3"/>
      <c r="H164" s="450"/>
      <c r="I164" s="450" t="s">
        <v>63</v>
      </c>
      <c r="J164" s="50"/>
      <c r="N164" s="3"/>
      <c r="O164" s="3"/>
      <c r="P164" s="87"/>
    </row>
    <row r="165" spans="1:16" x14ac:dyDescent="0.2">
      <c r="A165" s="463"/>
      <c r="B165" s="3"/>
      <c r="C165" s="3"/>
      <c r="D165" s="43"/>
      <c r="F165" s="59" t="s">
        <v>222</v>
      </c>
      <c r="G165" s="156" t="s">
        <v>222</v>
      </c>
      <c r="H165" s="450"/>
      <c r="I165" s="450" t="s">
        <v>223</v>
      </c>
      <c r="J165" s="50"/>
      <c r="N165" s="3"/>
      <c r="O165" s="3"/>
      <c r="P165" s="87"/>
    </row>
    <row r="166" spans="1:16" x14ac:dyDescent="0.2">
      <c r="A166" s="463"/>
      <c r="B166" s="3"/>
      <c r="C166" s="3"/>
      <c r="D166" s="153" t="s">
        <v>224</v>
      </c>
      <c r="F166" s="164" t="s">
        <v>225</v>
      </c>
      <c r="G166" s="165" t="s">
        <v>226</v>
      </c>
      <c r="H166" s="155"/>
      <c r="I166" s="155" t="s">
        <v>184</v>
      </c>
      <c r="J166" s="50"/>
      <c r="N166" s="157"/>
      <c r="O166" s="3"/>
      <c r="P166" s="87"/>
    </row>
    <row r="167" spans="1:16" x14ac:dyDescent="0.2">
      <c r="A167" s="463"/>
      <c r="B167" s="3"/>
      <c r="C167" s="3"/>
      <c r="D167" s="336" t="s">
        <v>211</v>
      </c>
      <c r="F167" s="59" t="s">
        <v>227</v>
      </c>
      <c r="G167" s="156" t="s">
        <v>228</v>
      </c>
      <c r="H167" s="162"/>
      <c r="I167" s="163">
        <v>47.58</v>
      </c>
      <c r="J167" s="152">
        <v>3</v>
      </c>
      <c r="N167" s="3"/>
      <c r="O167" s="3"/>
      <c r="P167" s="87"/>
    </row>
    <row r="168" spans="1:16" x14ac:dyDescent="0.2">
      <c r="B168" s="3"/>
      <c r="C168" s="3"/>
      <c r="D168" s="336" t="s">
        <v>212</v>
      </c>
      <c r="F168" s="59" t="s">
        <v>227</v>
      </c>
      <c r="G168" s="156" t="s">
        <v>228</v>
      </c>
      <c r="H168" s="162"/>
      <c r="I168" s="163">
        <v>47.58</v>
      </c>
      <c r="J168" s="152"/>
      <c r="N168" s="3"/>
      <c r="O168" s="3"/>
      <c r="P168" s="87"/>
    </row>
    <row r="169" spans="1:16" x14ac:dyDescent="0.2">
      <c r="B169" s="3"/>
      <c r="C169" s="3"/>
      <c r="D169" s="336" t="s">
        <v>213</v>
      </c>
      <c r="F169" s="166" t="s">
        <v>229</v>
      </c>
      <c r="G169" s="166" t="s">
        <v>230</v>
      </c>
      <c r="H169" s="162"/>
      <c r="I169" s="163">
        <v>42.82</v>
      </c>
      <c r="J169" s="152">
        <v>3</v>
      </c>
      <c r="N169" s="3"/>
      <c r="O169" s="3"/>
      <c r="P169" s="87"/>
    </row>
    <row r="170" spans="1:16" x14ac:dyDescent="0.2">
      <c r="B170" s="3"/>
      <c r="C170" s="3"/>
      <c r="D170" s="336" t="s">
        <v>214</v>
      </c>
      <c r="F170" s="59" t="s">
        <v>231</v>
      </c>
      <c r="G170" s="156" t="s">
        <v>232</v>
      </c>
      <c r="H170" s="317"/>
      <c r="I170" s="163">
        <v>47.75</v>
      </c>
      <c r="J170" s="152">
        <v>3</v>
      </c>
      <c r="N170" s="3"/>
      <c r="O170" s="3"/>
      <c r="P170" s="87"/>
    </row>
    <row r="171" spans="1:16" x14ac:dyDescent="0.2">
      <c r="B171" s="3"/>
      <c r="C171" s="3"/>
      <c r="D171" s="336" t="s">
        <v>215</v>
      </c>
      <c r="F171" s="59" t="s">
        <v>227</v>
      </c>
      <c r="G171" s="156" t="s">
        <v>44</v>
      </c>
      <c r="H171" s="317"/>
      <c r="I171" s="163">
        <v>47.58</v>
      </c>
      <c r="J171" s="152">
        <v>3</v>
      </c>
      <c r="N171" s="3"/>
      <c r="O171" s="3"/>
      <c r="P171" s="87"/>
    </row>
    <row r="172" spans="1:16" x14ac:dyDescent="0.2">
      <c r="B172" s="3"/>
      <c r="C172" s="3"/>
      <c r="D172" s="59" t="s">
        <v>216</v>
      </c>
      <c r="F172" s="59" t="s">
        <v>93</v>
      </c>
      <c r="G172" s="59" t="s">
        <v>93</v>
      </c>
      <c r="H172" s="162"/>
      <c r="I172" s="163">
        <v>25.34</v>
      </c>
      <c r="J172" s="152">
        <v>3</v>
      </c>
      <c r="N172" s="3"/>
      <c r="O172" s="3"/>
      <c r="P172" s="87"/>
    </row>
    <row r="173" spans="1:16" x14ac:dyDescent="0.2">
      <c r="B173" s="3"/>
      <c r="C173" s="3"/>
      <c r="D173" s="158"/>
      <c r="E173" s="43"/>
      <c r="F173" s="3"/>
      <c r="G173" s="3"/>
      <c r="H173" s="3"/>
      <c r="I173" s="87"/>
      <c r="J173" s="3"/>
      <c r="K173" s="3"/>
      <c r="L173" s="3"/>
      <c r="N173" s="3"/>
      <c r="O173" s="3"/>
      <c r="P173" s="87"/>
    </row>
    <row r="174" spans="1:16" x14ac:dyDescent="0.2">
      <c r="C174" s="3"/>
      <c r="D174" s="3" t="s">
        <v>233</v>
      </c>
      <c r="E174" s="43"/>
      <c r="F174" s="3"/>
      <c r="G174" s="3"/>
      <c r="H174" s="3"/>
      <c r="I174" s="87"/>
      <c r="J174" s="3"/>
      <c r="K174" s="3"/>
      <c r="L174" s="3"/>
      <c r="M174" s="3"/>
      <c r="N174" s="3"/>
      <c r="O174" s="3"/>
      <c r="P174" s="87"/>
    </row>
    <row r="175" spans="1:16" x14ac:dyDescent="0.2">
      <c r="B175" s="3"/>
      <c r="C175" s="3"/>
      <c r="D175" s="81" t="s">
        <v>234</v>
      </c>
      <c r="E175" s="43"/>
      <c r="F175" s="3"/>
      <c r="G175" s="3"/>
      <c r="H175" s="3"/>
      <c r="I175" s="87"/>
      <c r="J175" s="3"/>
      <c r="K175" s="3"/>
      <c r="L175" s="3"/>
      <c r="M175" s="3"/>
      <c r="N175" s="3"/>
      <c r="O175" s="3"/>
      <c r="P175" s="87"/>
    </row>
    <row r="176" spans="1:16" x14ac:dyDescent="0.2">
      <c r="B176" s="3"/>
      <c r="C176" s="3"/>
      <c r="D176" s="343" t="s">
        <v>235</v>
      </c>
      <c r="E176" s="43"/>
      <c r="F176" s="3"/>
      <c r="G176" s="3"/>
      <c r="H176" s="3"/>
      <c r="I176" s="87"/>
      <c r="J176" s="3"/>
      <c r="K176" s="3"/>
      <c r="L176" s="3"/>
      <c r="M176" s="3"/>
      <c r="N176" s="3"/>
      <c r="O176" s="3"/>
      <c r="P176" s="87"/>
    </row>
    <row r="177" spans="2:16" x14ac:dyDescent="0.2">
      <c r="B177" s="3"/>
      <c r="C177" s="3"/>
      <c r="D177" s="81" t="s">
        <v>236</v>
      </c>
      <c r="E177" s="3"/>
      <c r="F177" s="3"/>
      <c r="G177" s="3"/>
      <c r="H177" s="3"/>
      <c r="I177" s="87"/>
      <c r="J177" s="3"/>
      <c r="K177" s="3"/>
      <c r="L177" s="3"/>
      <c r="M177" s="3"/>
      <c r="N177" s="3"/>
      <c r="O177" s="3"/>
      <c r="P177" s="87"/>
    </row>
    <row r="179" spans="2:16" x14ac:dyDescent="0.2">
      <c r="D179" s="167"/>
    </row>
    <row r="180" spans="2:16" x14ac:dyDescent="0.2">
      <c r="D180" s="167"/>
    </row>
    <row r="181" spans="2:16" x14ac:dyDescent="0.2">
      <c r="D181" s="167"/>
    </row>
    <row r="182" spans="2:16" x14ac:dyDescent="0.2">
      <c r="D182" s="167"/>
    </row>
    <row r="183" spans="2:16" x14ac:dyDescent="0.2">
      <c r="D183" s="168"/>
    </row>
    <row r="184" spans="2:16" x14ac:dyDescent="0.2">
      <c r="B184" s="3"/>
      <c r="C184" s="3"/>
      <c r="D184" s="3"/>
      <c r="E184" s="3"/>
      <c r="F184" s="3"/>
      <c r="G184" s="3"/>
      <c r="H184" s="3"/>
      <c r="I184" s="87"/>
      <c r="J184" s="3"/>
      <c r="K184" s="3"/>
      <c r="L184" s="3"/>
      <c r="M184" s="3"/>
      <c r="N184" s="3"/>
      <c r="O184" s="3"/>
      <c r="P184" s="87"/>
    </row>
    <row r="185" spans="2:16" x14ac:dyDescent="0.2">
      <c r="B185" s="3"/>
      <c r="C185" s="3"/>
      <c r="D185" s="169"/>
      <c r="E185" s="3"/>
      <c r="F185" s="3"/>
      <c r="G185" s="3"/>
      <c r="H185" s="3"/>
      <c r="I185" s="87"/>
      <c r="J185" s="3"/>
      <c r="K185" s="3"/>
      <c r="L185" s="3"/>
      <c r="M185" s="3"/>
      <c r="N185" s="3"/>
      <c r="O185" s="3"/>
      <c r="P185" s="87"/>
    </row>
    <row r="186" spans="2:16" x14ac:dyDescent="0.2">
      <c r="B186" s="3"/>
      <c r="C186" s="3"/>
      <c r="D186" s="167"/>
      <c r="E186" s="3"/>
      <c r="F186" s="3"/>
      <c r="G186" s="3"/>
      <c r="H186" s="3"/>
      <c r="I186" s="87"/>
      <c r="J186" s="3"/>
      <c r="K186" s="3"/>
      <c r="L186" s="3"/>
      <c r="M186" s="3"/>
      <c r="N186" s="3"/>
      <c r="O186" s="3"/>
      <c r="P186" s="87"/>
    </row>
    <row r="187" spans="2:16" x14ac:dyDescent="0.2">
      <c r="B187" s="3"/>
      <c r="C187" s="3"/>
      <c r="D187" s="167"/>
      <c r="E187" s="3"/>
      <c r="F187" s="3"/>
      <c r="G187" s="3"/>
      <c r="H187" s="3"/>
      <c r="I187" s="87"/>
      <c r="J187" s="3"/>
      <c r="K187" s="3"/>
      <c r="L187" s="3"/>
      <c r="M187" s="3"/>
      <c r="N187" s="3"/>
      <c r="O187" s="3"/>
      <c r="P187" s="87"/>
    </row>
    <row r="188" spans="2:16" x14ac:dyDescent="0.2">
      <c r="B188" s="3"/>
      <c r="C188" s="3"/>
      <c r="D188" s="168"/>
      <c r="E188" s="3"/>
      <c r="F188" s="3"/>
      <c r="G188" s="3"/>
      <c r="H188" s="3"/>
      <c r="I188" s="87"/>
      <c r="J188" s="3"/>
      <c r="K188" s="3"/>
      <c r="L188" s="3"/>
      <c r="M188" s="3"/>
      <c r="N188" s="3"/>
      <c r="O188" s="3"/>
      <c r="P188" s="87"/>
    </row>
    <row r="189" spans="2:16" x14ac:dyDescent="0.2">
      <c r="B189" s="3"/>
      <c r="C189" s="3"/>
      <c r="D189" s="168"/>
      <c r="E189" s="3"/>
      <c r="F189" s="3"/>
      <c r="G189" s="3"/>
      <c r="H189" s="3"/>
      <c r="I189" s="87"/>
      <c r="J189" s="3"/>
      <c r="K189" s="3"/>
      <c r="L189" s="3"/>
      <c r="M189" s="3"/>
      <c r="N189" s="3"/>
      <c r="O189" s="3"/>
      <c r="P189" s="87"/>
    </row>
    <row r="190" spans="2:16" x14ac:dyDescent="0.2">
      <c r="B190" s="3"/>
      <c r="C190" s="3"/>
      <c r="D190" s="3"/>
      <c r="E190" s="3"/>
      <c r="F190" s="3"/>
      <c r="G190" s="3"/>
      <c r="H190" s="3"/>
      <c r="I190" s="87"/>
      <c r="J190" s="3"/>
      <c r="K190" s="3"/>
      <c r="L190" s="3"/>
      <c r="M190" s="3"/>
      <c r="N190" s="3"/>
      <c r="O190" s="3"/>
      <c r="P190" s="87"/>
    </row>
    <row r="191" spans="2:16" x14ac:dyDescent="0.2">
      <c r="B191" s="3"/>
      <c r="C191" s="3"/>
      <c r="D191" s="3"/>
      <c r="E191" s="3"/>
      <c r="F191" s="3"/>
      <c r="G191" s="3"/>
      <c r="H191" s="3"/>
      <c r="I191" s="87"/>
      <c r="J191" s="3"/>
      <c r="K191" s="3"/>
      <c r="L191" s="3"/>
      <c r="M191" s="3"/>
      <c r="N191" s="3"/>
      <c r="O191" s="3"/>
      <c r="P191" s="87"/>
    </row>
    <row r="192" spans="2:16" x14ac:dyDescent="0.2">
      <c r="B192" s="3"/>
      <c r="C192" s="3"/>
      <c r="D192" s="3"/>
      <c r="E192" s="3"/>
      <c r="F192" s="3"/>
      <c r="G192" s="3"/>
      <c r="H192" s="3"/>
      <c r="I192" s="87"/>
      <c r="J192" s="3"/>
      <c r="K192" s="3"/>
      <c r="L192" s="3"/>
      <c r="M192" s="3"/>
      <c r="N192" s="3"/>
      <c r="O192" s="3"/>
      <c r="P192" s="87"/>
    </row>
    <row r="193" spans="2:16" x14ac:dyDescent="0.2">
      <c r="B193" s="3"/>
      <c r="C193" s="3"/>
      <c r="D193" s="3"/>
      <c r="E193" s="3"/>
      <c r="F193" s="3"/>
      <c r="G193" s="3"/>
      <c r="H193" s="3"/>
      <c r="I193" s="87"/>
      <c r="J193" s="3"/>
      <c r="K193" s="3"/>
      <c r="L193" s="3"/>
      <c r="M193" s="3"/>
      <c r="N193" s="3"/>
      <c r="O193" s="3"/>
      <c r="P193" s="87"/>
    </row>
    <row r="194" spans="2:16" x14ac:dyDescent="0.2">
      <c r="B194" s="3"/>
      <c r="C194" s="3"/>
      <c r="D194" s="3"/>
      <c r="E194" s="3"/>
      <c r="F194" s="3"/>
      <c r="G194" s="3"/>
      <c r="H194" s="3"/>
      <c r="I194" s="87"/>
      <c r="J194" s="3"/>
      <c r="K194" s="3"/>
      <c r="L194" s="3"/>
      <c r="M194" s="3"/>
      <c r="N194" s="3"/>
      <c r="O194" s="3"/>
      <c r="P194" s="87"/>
    </row>
    <row r="195" spans="2:16" x14ac:dyDescent="0.2">
      <c r="B195" s="3"/>
      <c r="C195" s="3"/>
      <c r="D195" s="3"/>
      <c r="E195" s="3"/>
      <c r="F195" s="3"/>
      <c r="G195" s="3"/>
      <c r="H195" s="3"/>
      <c r="I195" s="87"/>
      <c r="J195" s="3"/>
      <c r="K195" s="3"/>
      <c r="L195" s="3"/>
      <c r="M195" s="3"/>
      <c r="N195" s="3"/>
      <c r="O195" s="3"/>
      <c r="P195" s="87"/>
    </row>
    <row r="196" spans="2:16" x14ac:dyDescent="0.2">
      <c r="B196" s="3"/>
      <c r="C196" s="3"/>
      <c r="D196" s="3"/>
      <c r="E196" s="3"/>
      <c r="F196" s="3"/>
      <c r="G196" s="3"/>
      <c r="H196" s="3"/>
      <c r="I196" s="87"/>
      <c r="J196" s="3"/>
      <c r="K196" s="3"/>
      <c r="L196" s="3"/>
      <c r="M196" s="3"/>
      <c r="N196" s="3"/>
      <c r="O196" s="3"/>
      <c r="P196" s="87"/>
    </row>
    <row r="197" spans="2:16" x14ac:dyDescent="0.2">
      <c r="B197" s="3"/>
      <c r="C197" s="3"/>
      <c r="D197" s="3"/>
      <c r="E197" s="3"/>
      <c r="F197" s="3"/>
      <c r="G197" s="3"/>
      <c r="H197" s="3"/>
      <c r="I197" s="87"/>
      <c r="J197" s="3"/>
      <c r="K197" s="3"/>
      <c r="L197" s="3"/>
      <c r="M197" s="3"/>
      <c r="N197" s="3"/>
      <c r="O197" s="3"/>
      <c r="P197" s="87"/>
    </row>
    <row r="198" spans="2:16" x14ac:dyDescent="0.2">
      <c r="B198" s="3"/>
      <c r="C198" s="3"/>
      <c r="D198" s="3"/>
      <c r="E198" s="3"/>
      <c r="F198" s="3"/>
      <c r="G198" s="3"/>
      <c r="H198" s="3"/>
      <c r="I198" s="87"/>
      <c r="J198" s="3"/>
      <c r="K198" s="3"/>
      <c r="L198" s="3"/>
      <c r="M198" s="3"/>
      <c r="N198" s="3"/>
      <c r="O198" s="3"/>
      <c r="P198" s="87"/>
    </row>
    <row r="199" spans="2:16" x14ac:dyDescent="0.2">
      <c r="B199" s="3"/>
      <c r="C199" s="3"/>
      <c r="D199" s="3"/>
      <c r="E199" s="3"/>
      <c r="F199" s="3"/>
      <c r="G199" s="3"/>
      <c r="H199" s="3"/>
      <c r="I199" s="87"/>
      <c r="J199" s="3"/>
      <c r="K199" s="3"/>
      <c r="L199" s="3"/>
      <c r="M199" s="3"/>
      <c r="N199" s="3"/>
      <c r="O199" s="3"/>
      <c r="P199" s="87"/>
    </row>
    <row r="200" spans="2:16" x14ac:dyDescent="0.2">
      <c r="B200" s="3"/>
      <c r="C200" s="3"/>
      <c r="D200" s="3"/>
      <c r="E200" s="3"/>
      <c r="F200" s="3"/>
      <c r="G200" s="3"/>
      <c r="H200" s="3"/>
      <c r="I200" s="87"/>
      <c r="J200" s="3"/>
      <c r="K200" s="3"/>
      <c r="L200" s="3"/>
      <c r="M200" s="3"/>
      <c r="N200" s="3"/>
      <c r="O200" s="3"/>
      <c r="P200" s="87"/>
    </row>
    <row r="201" spans="2:16" x14ac:dyDescent="0.2">
      <c r="B201" s="3"/>
      <c r="C201" s="3"/>
      <c r="E201" s="3"/>
      <c r="F201" s="3"/>
      <c r="G201" s="3"/>
      <c r="H201" s="3"/>
      <c r="I201" s="87"/>
      <c r="J201" s="3"/>
      <c r="K201" s="3"/>
      <c r="L201" s="3"/>
      <c r="M201" s="3"/>
      <c r="N201" s="3"/>
      <c r="O201" s="3"/>
      <c r="P201" s="87"/>
    </row>
    <row r="202" spans="2:16" x14ac:dyDescent="0.2">
      <c r="B202" s="3"/>
      <c r="C202" s="3"/>
      <c r="E202" s="3"/>
      <c r="F202" s="3"/>
      <c r="G202" s="3"/>
      <c r="H202" s="3"/>
      <c r="I202" s="87"/>
      <c r="J202" s="3"/>
      <c r="K202" s="3"/>
      <c r="L202" s="3"/>
      <c r="M202" s="3"/>
      <c r="N202" s="3"/>
      <c r="O202" s="3"/>
      <c r="P202" s="87"/>
    </row>
  </sheetData>
  <printOptions horizontalCentered="1"/>
  <pageMargins left="0.25" right="0.25" top="0.35" bottom="0.56000000000000005" header="0.22" footer="0.28000000000000003"/>
  <pageSetup paperSize="3" scale="50" orientation="landscape" r:id="rId1"/>
  <headerFooter alignWithMargins="0">
    <oddFooter>&amp;C&amp;F
&amp;   Stockpile Sheet 13 
&amp;
Page &amp;P of &amp;N</oddFooter>
  </headerFooter>
  <rowBreaks count="2" manualBreakCount="2">
    <brk id="93" min="1" max="13" man="1"/>
    <brk id="190"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13314" r:id="rId5" name="Button 2">
              <controlPr locked="0" defaultSize="0" autoFill="0" autoLine="0" autoPict="0">
                <anchor moveWithCells="1" sizeWithCells="1">
                  <from>
                    <xdr:col>0</xdr:col>
                    <xdr:colOff>0</xdr:colOff>
                    <xdr:row>42</xdr:row>
                    <xdr:rowOff>0</xdr:rowOff>
                  </from>
                  <to>
                    <xdr:col>0</xdr:col>
                    <xdr:colOff>0</xdr:colOff>
                    <xdr:row>42</xdr:row>
                    <xdr:rowOff>0</xdr:rowOff>
                  </to>
                </anchor>
              </controlPr>
            </control>
          </mc:Choice>
        </mc:AlternateContent>
        <mc:AlternateContent xmlns:mc="http://schemas.openxmlformats.org/markup-compatibility/2006">
          <mc:Choice Requires="x14">
            <control shapeId="13315" r:id="rId6" name="Button 3">
              <controlPr locked="0" defaultSize="0" autoFill="0" autoLine="0" autoPict="0">
                <anchor moveWithCells="1" sizeWithCells="1">
                  <from>
                    <xdr:col>0</xdr:col>
                    <xdr:colOff>0</xdr:colOff>
                    <xdr:row>96</xdr:row>
                    <xdr:rowOff>0</xdr:rowOff>
                  </from>
                  <to>
                    <xdr:col>0</xdr:col>
                    <xdr:colOff>0</xdr:colOff>
                    <xdr:row>96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7"/>
  <sheetViews>
    <sheetView defaultGridColor="0" view="pageBreakPreview" colorId="22" zoomScale="70" zoomScaleNormal="75" zoomScaleSheetLayoutView="70" workbookViewId="0">
      <pane xSplit="2" ySplit="10" topLeftCell="C38" activePane="bottomRight" state="frozen"/>
      <selection activeCell="A16" sqref="A16"/>
      <selection pane="topRight" activeCell="A16" sqref="A16"/>
      <selection pane="bottomLeft" activeCell="A16" sqref="A16"/>
      <selection pane="bottomRight" activeCell="A16" sqref="A16"/>
    </sheetView>
  </sheetViews>
  <sheetFormatPr defaultColWidth="9.77734375" defaultRowHeight="15" x14ac:dyDescent="0.2"/>
  <cols>
    <col min="1" max="1" width="7.109375" style="4" customWidth="1"/>
    <col min="2" max="2" width="44.33203125" style="4" customWidth="1"/>
    <col min="3" max="3" width="15.5546875" style="4" customWidth="1"/>
    <col min="4" max="4" width="28.5546875" style="4" customWidth="1"/>
    <col min="5" max="5" width="16.44140625" style="4" customWidth="1"/>
    <col min="6" max="6" width="11.109375" style="4" customWidth="1"/>
    <col min="7" max="7" width="87.33203125" style="4" customWidth="1"/>
    <col min="8" max="8" width="38" style="4" customWidth="1"/>
    <col min="9" max="16384" width="9.77734375" style="4"/>
  </cols>
  <sheetData>
    <row r="1" spans="1:11" x14ac:dyDescent="0.2">
      <c r="A1" s="14"/>
      <c r="B1" s="14"/>
      <c r="C1" s="14"/>
      <c r="D1" s="14"/>
      <c r="E1" s="2" t="str">
        <f>'1 General'!C1</f>
        <v>Cobre</v>
      </c>
    </row>
    <row r="2" spans="1:11" ht="18" x14ac:dyDescent="0.25">
      <c r="A2" s="437"/>
      <c r="B2" s="14"/>
      <c r="C2" s="14"/>
      <c r="D2" s="14"/>
      <c r="E2" s="2" t="s">
        <v>237</v>
      </c>
    </row>
    <row r="3" spans="1:11" x14ac:dyDescent="0.2">
      <c r="A3" s="78" t="s">
        <v>238</v>
      </c>
      <c r="B3" s="14"/>
      <c r="C3" s="91"/>
      <c r="D3" s="14"/>
      <c r="E3" s="79">
        <f>'1 General'!$C$3</f>
        <v>41978</v>
      </c>
    </row>
    <row r="4" spans="1:11" x14ac:dyDescent="0.2">
      <c r="A4" s="78"/>
      <c r="B4" s="14"/>
      <c r="C4" s="14"/>
      <c r="D4" s="14"/>
      <c r="E4" s="2"/>
    </row>
    <row r="5" spans="1:11" ht="15.75" x14ac:dyDescent="0.25">
      <c r="A5" s="133" t="s">
        <v>239</v>
      </c>
      <c r="B5" s="3"/>
      <c r="C5" s="78"/>
      <c r="D5" s="3"/>
      <c r="E5" s="3"/>
    </row>
    <row r="6" spans="1:11" x14ac:dyDescent="0.2">
      <c r="A6" s="78"/>
      <c r="B6" s="3" t="s">
        <v>240</v>
      </c>
      <c r="C6" s="14"/>
      <c r="D6" s="3"/>
      <c r="E6" s="3"/>
    </row>
    <row r="7" spans="1:11" x14ac:dyDescent="0.2">
      <c r="A7" s="78"/>
      <c r="B7" s="3"/>
      <c r="C7" s="14"/>
      <c r="D7" s="3"/>
      <c r="E7" s="3"/>
    </row>
    <row r="8" spans="1:11" x14ac:dyDescent="0.2">
      <c r="A8" s="170"/>
      <c r="B8" s="3"/>
      <c r="C8" s="74"/>
      <c r="D8" s="50" t="s">
        <v>175</v>
      </c>
      <c r="E8" s="50" t="s">
        <v>66</v>
      </c>
    </row>
    <row r="9" spans="1:11" x14ac:dyDescent="0.2">
      <c r="A9" s="14"/>
      <c r="B9" s="3"/>
      <c r="C9" s="2"/>
      <c r="D9" s="50" t="s">
        <v>180</v>
      </c>
      <c r="E9" s="50" t="s">
        <v>180</v>
      </c>
      <c r="G9" s="156"/>
    </row>
    <row r="10" spans="1:11" x14ac:dyDescent="0.2">
      <c r="A10" s="14"/>
      <c r="B10" s="14" t="s">
        <v>241</v>
      </c>
      <c r="C10" s="2" t="s">
        <v>100</v>
      </c>
      <c r="D10" s="2" t="s">
        <v>242</v>
      </c>
      <c r="E10" s="2" t="s">
        <v>186</v>
      </c>
      <c r="F10" s="2"/>
      <c r="G10" s="171"/>
    </row>
    <row r="11" spans="1:11" x14ac:dyDescent="0.2">
      <c r="A11" s="100"/>
      <c r="B11" s="173" t="str">
        <f>'3   Material'!D35</f>
        <v xml:space="preserve">SWRDF Top </v>
      </c>
      <c r="C11" s="455">
        <v>85.2</v>
      </c>
      <c r="D11" s="207">
        <f>1153/(1+'16   Sum'!$C$20)</f>
        <v>898.67498051441942</v>
      </c>
      <c r="E11" s="207">
        <f t="shared" ref="E11:E22" si="0">C11*D11</f>
        <v>76567.108339828541</v>
      </c>
      <c r="F11" s="174"/>
      <c r="G11" s="175"/>
      <c r="I11" s="3"/>
      <c r="J11" s="3"/>
      <c r="K11" s="3"/>
    </row>
    <row r="12" spans="1:11" x14ac:dyDescent="0.2">
      <c r="A12" s="100"/>
      <c r="B12" s="173" t="str">
        <f>'3   Material'!D36</f>
        <v>SWRDF Outslopes</v>
      </c>
      <c r="C12" s="455">
        <v>255.6</v>
      </c>
      <c r="D12" s="207">
        <f>D11</f>
        <v>898.67498051441942</v>
      </c>
      <c r="E12" s="207">
        <f t="shared" si="0"/>
        <v>229701.32501948561</v>
      </c>
      <c r="F12" s="176"/>
      <c r="G12" s="175"/>
      <c r="I12" s="3"/>
      <c r="J12" s="3"/>
      <c r="K12" s="3"/>
    </row>
    <row r="13" spans="1:11" x14ac:dyDescent="0.2">
      <c r="A13" s="14"/>
      <c r="B13" s="173" t="str">
        <f>'3   Material'!D37</f>
        <v xml:space="preserve">SWRDF Top </v>
      </c>
      <c r="C13" s="45">
        <v>24.7</v>
      </c>
      <c r="D13" s="207">
        <f t="shared" ref="D13:D24" si="1">D12</f>
        <v>898.67498051441942</v>
      </c>
      <c r="E13" s="207">
        <f t="shared" si="0"/>
        <v>22197.27201870616</v>
      </c>
      <c r="F13" s="176"/>
      <c r="G13" s="175"/>
      <c r="I13" s="3"/>
      <c r="J13" s="3"/>
      <c r="K13" s="3"/>
    </row>
    <row r="14" spans="1:11" x14ac:dyDescent="0.2">
      <c r="A14" s="14"/>
      <c r="B14" s="173" t="str">
        <f>'3   Material'!D38</f>
        <v>Hanover Mountain Deposit</v>
      </c>
      <c r="C14" s="45">
        <v>93.3</v>
      </c>
      <c r="D14" s="207">
        <f t="shared" si="1"/>
        <v>898.67498051441942</v>
      </c>
      <c r="E14" s="207">
        <f t="shared" si="0"/>
        <v>83846.375681995327</v>
      </c>
      <c r="F14" s="176"/>
      <c r="G14" s="175"/>
      <c r="I14" s="3"/>
      <c r="J14" s="3"/>
      <c r="K14" s="3"/>
    </row>
    <row r="15" spans="1:11" x14ac:dyDescent="0.2">
      <c r="A15" s="14"/>
      <c r="B15" s="173" t="str">
        <f>'3   Material'!D39</f>
        <v>Pearson-Barnes Mine Area</v>
      </c>
      <c r="C15" s="45">
        <v>11.9</v>
      </c>
      <c r="D15" s="207">
        <f t="shared" si="1"/>
        <v>898.67498051441942</v>
      </c>
      <c r="E15" s="207">
        <f t="shared" si="0"/>
        <v>10694.232268121592</v>
      </c>
      <c r="F15" s="176"/>
      <c r="G15" s="175"/>
      <c r="I15" s="3"/>
      <c r="J15" s="3"/>
      <c r="K15" s="3"/>
    </row>
    <row r="16" spans="1:11" x14ac:dyDescent="0.2">
      <c r="A16" s="14"/>
      <c r="B16" s="173" t="str">
        <f>'3   Material'!D40</f>
        <v>Low Grade WRF</v>
      </c>
      <c r="C16" s="45">
        <v>27.83</v>
      </c>
      <c r="D16" s="207">
        <f t="shared" si="1"/>
        <v>898.67498051441942</v>
      </c>
      <c r="E16" s="207">
        <f t="shared" si="0"/>
        <v>25010.124707716292</v>
      </c>
      <c r="F16" s="176"/>
      <c r="G16" s="175"/>
      <c r="I16" s="3"/>
      <c r="J16" s="3"/>
      <c r="K16" s="3"/>
    </row>
    <row r="17" spans="1:11" x14ac:dyDescent="0.2">
      <c r="A17" s="14"/>
      <c r="B17" s="173" t="str">
        <f>'3   Material'!D41</f>
        <v>MTI Reclaim Pond</v>
      </c>
      <c r="C17" s="45">
        <v>33</v>
      </c>
      <c r="D17" s="207">
        <f t="shared" si="1"/>
        <v>898.67498051441942</v>
      </c>
      <c r="E17" s="207">
        <f t="shared" si="0"/>
        <v>29656.274356975842</v>
      </c>
      <c r="F17" s="176"/>
      <c r="G17" s="175"/>
      <c r="I17" s="3"/>
      <c r="J17" s="3"/>
    </row>
    <row r="18" spans="1:11" x14ac:dyDescent="0.2">
      <c r="A18" s="14"/>
      <c r="B18" s="173" t="str">
        <f>'3   Material'!D43</f>
        <v>MTI  Outslope</v>
      </c>
      <c r="C18" s="45">
        <v>36.33</v>
      </c>
      <c r="D18" s="207">
        <f t="shared" si="1"/>
        <v>898.67498051441942</v>
      </c>
      <c r="E18" s="207">
        <f t="shared" ref="E18" si="2">C18*D18</f>
        <v>32648.862042088855</v>
      </c>
      <c r="F18" s="176"/>
      <c r="G18" s="175"/>
      <c r="I18" s="3"/>
      <c r="J18" s="3"/>
    </row>
    <row r="19" spans="1:11" x14ac:dyDescent="0.2">
      <c r="A19" s="14"/>
      <c r="B19" s="173" t="str">
        <f>'3   Material'!D44</f>
        <v>MTI  Top</v>
      </c>
      <c r="C19" s="45">
        <v>108.2</v>
      </c>
      <c r="D19" s="207">
        <f t="shared" si="1"/>
        <v>898.67498051441942</v>
      </c>
      <c r="E19" s="207">
        <f t="shared" si="0"/>
        <v>97236.632891660178</v>
      </c>
      <c r="F19" s="176"/>
      <c r="G19" s="175"/>
      <c r="I19" s="3"/>
      <c r="J19" s="3"/>
    </row>
    <row r="20" spans="1:11" x14ac:dyDescent="0.2">
      <c r="A20" s="14"/>
      <c r="B20" s="173" t="str">
        <f>'3   Material'!D45</f>
        <v>Tailing Pipeline Corridor</v>
      </c>
      <c r="C20" s="330">
        <v>1.446</v>
      </c>
      <c r="D20" s="207">
        <f t="shared" si="1"/>
        <v>898.67498051441942</v>
      </c>
      <c r="E20" s="207">
        <f t="shared" si="0"/>
        <v>1299.4840218238505</v>
      </c>
      <c r="F20" s="176"/>
      <c r="G20" s="175"/>
      <c r="I20" s="3"/>
      <c r="J20" s="3"/>
      <c r="K20" s="3"/>
    </row>
    <row r="21" spans="1:11" x14ac:dyDescent="0.2">
      <c r="A21" s="14"/>
      <c r="B21" s="325" t="s">
        <v>31</v>
      </c>
      <c r="C21" s="454">
        <v>45</v>
      </c>
      <c r="D21" s="207">
        <f t="shared" si="1"/>
        <v>898.67498051441942</v>
      </c>
      <c r="E21" s="207">
        <f t="shared" si="0"/>
        <v>40440.374123148875</v>
      </c>
      <c r="F21" s="14"/>
      <c r="G21" s="175"/>
    </row>
    <row r="22" spans="1:11" x14ac:dyDescent="0.2">
      <c r="A22" s="14"/>
      <c r="B22" s="322" t="s">
        <v>398</v>
      </c>
      <c r="C22" s="454">
        <v>37</v>
      </c>
      <c r="D22" s="207">
        <f t="shared" si="1"/>
        <v>898.67498051441942</v>
      </c>
      <c r="E22" s="207">
        <f t="shared" si="0"/>
        <v>33250.974279033515</v>
      </c>
      <c r="F22" s="14"/>
      <c r="G22" s="175"/>
    </row>
    <row r="23" spans="1:11" x14ac:dyDescent="0.2">
      <c r="A23" s="14"/>
      <c r="B23" s="322" t="s">
        <v>413</v>
      </c>
      <c r="C23" s="454">
        <v>17.600000000000001</v>
      </c>
      <c r="D23" s="207">
        <f t="shared" si="1"/>
        <v>898.67498051441942</v>
      </c>
      <c r="E23" s="207">
        <f>C23*D23</f>
        <v>15816.679657053783</v>
      </c>
      <c r="F23" s="14"/>
      <c r="G23" s="175"/>
    </row>
    <row r="24" spans="1:11" x14ac:dyDescent="0.2">
      <c r="A24" s="14"/>
      <c r="B24" s="444" t="s">
        <v>436</v>
      </c>
      <c r="C24" s="454">
        <v>20.9</v>
      </c>
      <c r="D24" s="207">
        <f t="shared" si="1"/>
        <v>898.67498051441942</v>
      </c>
      <c r="E24" s="207">
        <f>C24*D24</f>
        <v>18782.307092751365</v>
      </c>
      <c r="F24" s="14"/>
      <c r="G24" s="175"/>
    </row>
    <row r="25" spans="1:11" x14ac:dyDescent="0.2">
      <c r="A25" s="14"/>
      <c r="B25" s="58"/>
      <c r="C25" s="69"/>
      <c r="D25" s="207"/>
      <c r="E25" s="207"/>
      <c r="G25" s="175"/>
    </row>
    <row r="26" spans="1:11" ht="18" x14ac:dyDescent="0.25">
      <c r="A26" s="14"/>
      <c r="B26" s="177" t="s">
        <v>198</v>
      </c>
      <c r="D26" s="207"/>
      <c r="E26" s="207"/>
      <c r="G26" s="175"/>
    </row>
    <row r="27" spans="1:11" x14ac:dyDescent="0.2">
      <c r="A27" s="14"/>
      <c r="B27" s="178" t="s">
        <v>243</v>
      </c>
      <c r="C27" s="456">
        <v>0.38</v>
      </c>
      <c r="D27" s="207">
        <f t="shared" ref="D27:D32" si="3">D13</f>
        <v>898.67498051441942</v>
      </c>
      <c r="E27" s="207">
        <f t="shared" ref="E27:E32" si="4">C27*D27</f>
        <v>341.49649259547937</v>
      </c>
      <c r="F27" s="14"/>
      <c r="G27" s="175"/>
    </row>
    <row r="28" spans="1:11" x14ac:dyDescent="0.2">
      <c r="A28" s="14"/>
      <c r="B28" s="46" t="s">
        <v>244</v>
      </c>
      <c r="C28" s="456">
        <v>0.2</v>
      </c>
      <c r="D28" s="207">
        <f t="shared" si="3"/>
        <v>898.67498051441942</v>
      </c>
      <c r="E28" s="207">
        <f t="shared" si="4"/>
        <v>179.73499610288388</v>
      </c>
      <c r="F28" s="14"/>
      <c r="G28" s="175"/>
    </row>
    <row r="29" spans="1:11" x14ac:dyDescent="0.2">
      <c r="A29" s="14"/>
      <c r="B29" s="43" t="s">
        <v>245</v>
      </c>
      <c r="C29" s="456">
        <v>0.52</v>
      </c>
      <c r="D29" s="207">
        <f t="shared" si="3"/>
        <v>898.67498051441942</v>
      </c>
      <c r="E29" s="207">
        <f t="shared" si="4"/>
        <v>467.31098986749811</v>
      </c>
      <c r="F29" s="14"/>
      <c r="G29" s="175"/>
    </row>
    <row r="30" spans="1:11" x14ac:dyDescent="0.2">
      <c r="A30" s="14"/>
      <c r="B30" s="46" t="s">
        <v>246</v>
      </c>
      <c r="C30" s="456">
        <v>0.34</v>
      </c>
      <c r="D30" s="207">
        <f t="shared" si="3"/>
        <v>898.67498051441942</v>
      </c>
      <c r="E30" s="207">
        <f t="shared" si="4"/>
        <v>305.54949337490262</v>
      </c>
      <c r="F30" s="14"/>
      <c r="G30" s="175"/>
    </row>
    <row r="31" spans="1:11" x14ac:dyDescent="0.2">
      <c r="A31" s="14"/>
      <c r="B31" s="46" t="s">
        <v>247</v>
      </c>
      <c r="C31" s="456">
        <v>0.84</v>
      </c>
      <c r="D31" s="207">
        <f t="shared" si="3"/>
        <v>898.67498051441942</v>
      </c>
      <c r="E31" s="207">
        <f t="shared" si="4"/>
        <v>754.88698363211233</v>
      </c>
      <c r="F31" s="14"/>
      <c r="G31" s="175"/>
    </row>
    <row r="32" spans="1:11" x14ac:dyDescent="0.2">
      <c r="A32" s="14"/>
      <c r="B32" s="46" t="s">
        <v>248</v>
      </c>
      <c r="C32" s="456">
        <v>0.46</v>
      </c>
      <c r="D32" s="207">
        <f t="shared" si="3"/>
        <v>898.67498051441942</v>
      </c>
      <c r="E32" s="207">
        <f t="shared" si="4"/>
        <v>413.39049103663297</v>
      </c>
      <c r="F32" s="14"/>
      <c r="G32" s="175"/>
    </row>
    <row r="33" spans="1:7" x14ac:dyDescent="0.2">
      <c r="A33" s="14"/>
      <c r="B33" s="14" t="s">
        <v>399</v>
      </c>
      <c r="C33" s="456">
        <v>0.5</v>
      </c>
      <c r="D33" s="207">
        <f t="shared" ref="D33:D36" si="5">D19</f>
        <v>898.67498051441942</v>
      </c>
      <c r="E33" s="207">
        <f>C33*D33</f>
        <v>449.33749025720971</v>
      </c>
      <c r="F33" s="14"/>
      <c r="G33" s="175"/>
    </row>
    <row r="34" spans="1:7" x14ac:dyDescent="0.2">
      <c r="A34" s="14"/>
      <c r="B34" s="156" t="s">
        <v>249</v>
      </c>
      <c r="C34" s="93">
        <v>0.01</v>
      </c>
      <c r="D34" s="207">
        <f t="shared" si="5"/>
        <v>898.67498051441942</v>
      </c>
      <c r="E34" s="207">
        <f>C34*D34</f>
        <v>8.9867498051441945</v>
      </c>
      <c r="F34" s="14"/>
      <c r="G34" s="175"/>
    </row>
    <row r="35" spans="1:7" x14ac:dyDescent="0.2">
      <c r="A35" s="14"/>
      <c r="B35" s="14" t="s">
        <v>400</v>
      </c>
      <c r="C35" s="456">
        <v>0.62</v>
      </c>
      <c r="D35" s="207">
        <f t="shared" si="5"/>
        <v>898.67498051441942</v>
      </c>
      <c r="E35" s="207">
        <f>C35*D35</f>
        <v>557.17848791894005</v>
      </c>
      <c r="F35" s="14"/>
      <c r="G35" s="175"/>
    </row>
    <row r="36" spans="1:7" x14ac:dyDescent="0.2">
      <c r="A36" s="14"/>
      <c r="B36" s="156" t="s">
        <v>250</v>
      </c>
      <c r="C36" s="456">
        <v>1.1299999999999999</v>
      </c>
      <c r="D36" s="207">
        <f t="shared" si="5"/>
        <v>898.67498051441942</v>
      </c>
      <c r="E36" s="207">
        <f>C36*D36</f>
        <v>1015.5027279812939</v>
      </c>
      <c r="F36" s="14"/>
      <c r="G36" s="175"/>
    </row>
    <row r="37" spans="1:7" x14ac:dyDescent="0.2">
      <c r="A37" s="14"/>
      <c r="B37" s="38"/>
      <c r="D37" s="207"/>
      <c r="E37" s="207"/>
      <c r="G37" s="175"/>
    </row>
    <row r="38" spans="1:7" ht="18.75" x14ac:dyDescent="0.3">
      <c r="A38" s="14"/>
      <c r="B38" s="172" t="s">
        <v>251</v>
      </c>
      <c r="C38" s="69"/>
      <c r="D38" s="207"/>
      <c r="E38" s="207"/>
      <c r="G38" s="175"/>
    </row>
    <row r="39" spans="1:7" x14ac:dyDescent="0.2">
      <c r="A39" s="3"/>
      <c r="B39" s="58" t="s">
        <v>404</v>
      </c>
      <c r="C39" s="180">
        <v>0.22483471074380162</v>
      </c>
      <c r="D39" s="207">
        <f t="shared" ref="D39:D46" si="6">D11</f>
        <v>898.67498051441942</v>
      </c>
      <c r="E39" s="207">
        <f t="shared" ref="E39:E47" si="7">C39*D39</f>
        <v>202.05332929665104</v>
      </c>
      <c r="G39" s="175"/>
    </row>
    <row r="40" spans="1:7" x14ac:dyDescent="0.2">
      <c r="A40" s="3"/>
      <c r="B40" s="443" t="s">
        <v>426</v>
      </c>
      <c r="C40" s="457">
        <v>17.366</v>
      </c>
      <c r="D40" s="207">
        <f t="shared" si="6"/>
        <v>898.67498051441942</v>
      </c>
      <c r="E40" s="207">
        <f t="shared" si="7"/>
        <v>15606.389711613407</v>
      </c>
      <c r="G40" s="175"/>
    </row>
    <row r="41" spans="1:7" x14ac:dyDescent="0.2">
      <c r="A41" s="3"/>
      <c r="B41" s="58" t="s">
        <v>405</v>
      </c>
      <c r="C41" s="457">
        <v>18.3</v>
      </c>
      <c r="D41" s="207">
        <f t="shared" si="6"/>
        <v>898.67498051441942</v>
      </c>
      <c r="E41" s="207">
        <f t="shared" si="7"/>
        <v>16445.752143413876</v>
      </c>
      <c r="G41" s="175"/>
    </row>
    <row r="42" spans="1:7" x14ac:dyDescent="0.2">
      <c r="A42" s="3"/>
      <c r="B42" s="449" t="s">
        <v>454</v>
      </c>
      <c r="C42" s="180">
        <v>1.7</v>
      </c>
      <c r="D42" s="207">
        <f t="shared" si="6"/>
        <v>898.67498051441942</v>
      </c>
      <c r="E42" s="207">
        <f t="shared" si="7"/>
        <v>1527.7474668745131</v>
      </c>
      <c r="G42" s="175"/>
    </row>
    <row r="43" spans="1:7" x14ac:dyDescent="0.2">
      <c r="A43" s="3"/>
      <c r="B43" s="443" t="s">
        <v>427</v>
      </c>
      <c r="C43" s="180">
        <v>4.6231175390266301</v>
      </c>
      <c r="D43" s="207">
        <f t="shared" si="6"/>
        <v>898.67498051441942</v>
      </c>
      <c r="E43" s="207">
        <f t="shared" si="7"/>
        <v>4154.6800643006272</v>
      </c>
      <c r="G43" s="175"/>
    </row>
    <row r="44" spans="1:7" x14ac:dyDescent="0.2">
      <c r="A44" s="3"/>
      <c r="B44" s="443" t="s">
        <v>428</v>
      </c>
      <c r="C44" s="180">
        <v>0.91</v>
      </c>
      <c r="D44" s="207">
        <f t="shared" si="6"/>
        <v>898.67498051441942</v>
      </c>
      <c r="E44" s="207">
        <f t="shared" si="7"/>
        <v>817.79423226812173</v>
      </c>
      <c r="G44" s="175"/>
    </row>
    <row r="45" spans="1:7" x14ac:dyDescent="0.2">
      <c r="A45" s="3"/>
      <c r="B45" s="443" t="s">
        <v>429</v>
      </c>
      <c r="C45" s="180">
        <v>5.0359977961938434</v>
      </c>
      <c r="D45" s="207">
        <f t="shared" si="6"/>
        <v>898.67498051441942</v>
      </c>
      <c r="E45" s="207">
        <f t="shared" si="7"/>
        <v>4525.7252213651609</v>
      </c>
      <c r="G45" s="175"/>
    </row>
    <row r="46" spans="1:7" x14ac:dyDescent="0.2">
      <c r="A46" s="3"/>
      <c r="B46" s="443" t="s">
        <v>430</v>
      </c>
      <c r="C46" s="180">
        <v>4.2640000000000002</v>
      </c>
      <c r="D46" s="207">
        <f t="shared" si="6"/>
        <v>898.67498051441942</v>
      </c>
      <c r="E46" s="207">
        <f t="shared" si="7"/>
        <v>3831.9501169134846</v>
      </c>
      <c r="F46" s="179"/>
      <c r="G46" s="175"/>
    </row>
    <row r="47" spans="1:7" x14ac:dyDescent="0.2">
      <c r="A47" s="3"/>
      <c r="B47" s="443" t="s">
        <v>431</v>
      </c>
      <c r="C47" s="180">
        <v>3.3460000000000001</v>
      </c>
      <c r="D47" s="207">
        <f t="shared" ref="D47" si="8">D19</f>
        <v>898.67498051441942</v>
      </c>
      <c r="E47" s="207">
        <f t="shared" si="7"/>
        <v>3006.9664848012476</v>
      </c>
      <c r="F47" s="181"/>
      <c r="G47" s="182"/>
    </row>
    <row r="48" spans="1:7" x14ac:dyDescent="0.2">
      <c r="A48" s="3"/>
      <c r="B48" s="58"/>
      <c r="C48" s="180"/>
      <c r="D48" s="107"/>
      <c r="E48" s="126"/>
      <c r="F48" s="181"/>
      <c r="G48" s="182"/>
    </row>
    <row r="49" spans="1:14" x14ac:dyDescent="0.2">
      <c r="A49" s="3"/>
      <c r="B49" s="58"/>
      <c r="C49" s="180"/>
      <c r="D49" s="142" t="s">
        <v>392</v>
      </c>
      <c r="E49" s="331">
        <f>SUM(E11:E13,E39,E43:E45,E41,E47,E24)</f>
        <v>376400.98394621734</v>
      </c>
      <c r="F49" s="181"/>
      <c r="J49" s="183"/>
      <c r="K49" s="3"/>
      <c r="L49" s="3"/>
      <c r="M49" s="184"/>
      <c r="N49" s="3"/>
    </row>
    <row r="50" spans="1:14" x14ac:dyDescent="0.2">
      <c r="A50" s="3"/>
      <c r="B50" s="58"/>
      <c r="C50" s="180"/>
      <c r="D50" s="142" t="str">
        <f>B14</f>
        <v>Hanover Mountain Deposit</v>
      </c>
      <c r="E50" s="331">
        <f>SUM(E14,E40)</f>
        <v>99452.76539360873</v>
      </c>
      <c r="F50" s="181"/>
      <c r="J50" s="183"/>
      <c r="K50" s="3"/>
      <c r="L50" s="3"/>
      <c r="M50" s="184"/>
      <c r="N50" s="3"/>
    </row>
    <row r="51" spans="1:14" x14ac:dyDescent="0.2">
      <c r="A51" s="3"/>
      <c r="B51" s="185"/>
      <c r="C51" s="186"/>
      <c r="D51" s="142" t="str">
        <f>B15</f>
        <v>Pearson-Barnes Mine Area</v>
      </c>
      <c r="E51" s="331">
        <f>SUM(E15)</f>
        <v>10694.232268121592</v>
      </c>
      <c r="F51" s="181"/>
      <c r="J51" s="187"/>
      <c r="K51" s="3"/>
      <c r="L51" s="3"/>
      <c r="M51" s="176"/>
      <c r="N51" s="3"/>
    </row>
    <row r="52" spans="1:14" x14ac:dyDescent="0.2">
      <c r="A52" s="3"/>
      <c r="B52" s="185"/>
      <c r="C52" s="186"/>
      <c r="D52" s="142" t="str">
        <f>B16</f>
        <v>Low Grade WRF</v>
      </c>
      <c r="E52" s="331">
        <f>E16+E46</f>
        <v>28842.074824629777</v>
      </c>
      <c r="F52" s="181"/>
      <c r="J52" s="187"/>
      <c r="K52" s="3"/>
      <c r="L52" s="3"/>
      <c r="M52" s="176"/>
      <c r="N52" s="3"/>
    </row>
    <row r="53" spans="1:14" x14ac:dyDescent="0.2">
      <c r="A53" s="3"/>
      <c r="B53" s="58"/>
      <c r="D53" s="142" t="s">
        <v>444</v>
      </c>
      <c r="E53" s="116">
        <f>SUM(E17:E20,E42)</f>
        <v>162369.00077942325</v>
      </c>
      <c r="F53" s="181"/>
      <c r="G53" s="143"/>
      <c r="J53" s="188"/>
      <c r="K53" s="3"/>
      <c r="L53" s="3"/>
      <c r="M53" s="176"/>
      <c r="N53" s="3"/>
    </row>
    <row r="54" spans="1:14" x14ac:dyDescent="0.2">
      <c r="A54" s="3"/>
      <c r="B54" s="58"/>
      <c r="D54" s="142" t="s">
        <v>407</v>
      </c>
      <c r="E54" s="116">
        <f>E21+E22</f>
        <v>73691.348402182397</v>
      </c>
      <c r="F54" s="181"/>
      <c r="G54" s="143"/>
      <c r="J54" s="188"/>
      <c r="K54" s="3"/>
      <c r="L54" s="3"/>
      <c r="M54" s="176"/>
      <c r="N54" s="3"/>
    </row>
    <row r="55" spans="1:14" x14ac:dyDescent="0.2">
      <c r="A55" s="3"/>
      <c r="B55" s="58"/>
      <c r="C55" s="71"/>
      <c r="D55" s="142" t="s">
        <v>198</v>
      </c>
      <c r="E55" s="116">
        <f>SUM(E27:E36)</f>
        <v>4493.3749025720972</v>
      </c>
      <c r="J55" s="188"/>
      <c r="K55" s="3"/>
      <c r="L55" s="3"/>
      <c r="M55" s="176"/>
      <c r="N55" s="3"/>
    </row>
    <row r="56" spans="1:14" x14ac:dyDescent="0.2">
      <c r="A56" s="3"/>
      <c r="B56" s="58"/>
      <c r="C56" s="71"/>
      <c r="D56" s="142" t="str">
        <f>'15   Other'!E65</f>
        <v>Continental Pit</v>
      </c>
      <c r="E56" s="116">
        <f>E23</f>
        <v>15816.679657053783</v>
      </c>
      <c r="J56" s="188"/>
      <c r="K56" s="3"/>
      <c r="L56" s="3"/>
      <c r="M56" s="176"/>
      <c r="N56" s="3"/>
    </row>
    <row r="57" spans="1:14" ht="17.25" customHeight="1" x14ac:dyDescent="0.2">
      <c r="A57" s="3"/>
      <c r="B57" s="58"/>
      <c r="C57" s="71"/>
      <c r="D57" s="29"/>
      <c r="F57" s="181"/>
      <c r="G57" s="143"/>
      <c r="J57" s="188"/>
      <c r="K57" s="3"/>
      <c r="L57" s="3"/>
      <c r="M57" s="176"/>
      <c r="N57" s="3"/>
    </row>
    <row r="58" spans="1:14" ht="15" customHeight="1" x14ac:dyDescent="0.25">
      <c r="A58" s="14"/>
      <c r="B58" s="14"/>
      <c r="C58" s="126"/>
      <c r="D58" s="189" t="s">
        <v>252</v>
      </c>
      <c r="E58" s="146">
        <f>SUM(E11:E47)</f>
        <v>771760.46017380909</v>
      </c>
      <c r="F58" s="143"/>
      <c r="G58" s="190"/>
      <c r="J58" s="183"/>
      <c r="K58" s="3"/>
      <c r="L58" s="3"/>
      <c r="M58" s="184"/>
      <c r="N58" s="3"/>
    </row>
    <row r="59" spans="1:14" ht="15" customHeight="1" x14ac:dyDescent="0.25">
      <c r="A59" s="14"/>
      <c r="B59" s="14"/>
      <c r="C59" s="126"/>
      <c r="D59" s="191"/>
      <c r="E59" s="146"/>
      <c r="F59" s="143"/>
      <c r="G59" s="190"/>
      <c r="J59" s="183"/>
      <c r="K59" s="3"/>
      <c r="L59" s="3"/>
      <c r="M59" s="184"/>
      <c r="N59" s="3"/>
    </row>
    <row r="60" spans="1:14" x14ac:dyDescent="0.2">
      <c r="A60" s="14"/>
      <c r="B60" s="472" t="str">
        <f>"*Rocky Mountain Reclamation Quote June, 18 2014, $1153/acre minus "&amp;'16   Sum'!$C$20 *100&amp;"% indirect costs.  Quote includes cost for scarifying (ripping) surface."</f>
        <v>*Rocky Mountain Reclamation Quote June, 18 2014, $1153/acre minus 28.3% indirect costs.  Quote includes cost for scarifying (ripping) surface.</v>
      </c>
      <c r="C60" s="473"/>
      <c r="D60" s="473"/>
      <c r="E60" s="473"/>
      <c r="J60" s="187"/>
      <c r="K60" s="3"/>
      <c r="L60" s="3"/>
      <c r="M60" s="176"/>
      <c r="N60" s="3"/>
    </row>
    <row r="61" spans="1:14" ht="15.75" x14ac:dyDescent="0.25">
      <c r="A61" s="14"/>
      <c r="B61" s="14"/>
      <c r="D61" s="14"/>
      <c r="E61" s="146"/>
      <c r="J61" s="192"/>
      <c r="K61" s="3"/>
      <c r="L61" s="3"/>
      <c r="M61" s="193"/>
      <c r="N61" s="3"/>
    </row>
    <row r="62" spans="1:14" x14ac:dyDescent="0.2">
      <c r="E62" s="181" t="s">
        <v>253</v>
      </c>
      <c r="F62" s="194">
        <f>SUM(E49:E56)</f>
        <v>771760.46017380897</v>
      </c>
      <c r="G62" s="331"/>
      <c r="J62" s="192"/>
      <c r="K62" s="3"/>
      <c r="L62" s="3"/>
      <c r="M62" s="193"/>
      <c r="N62" s="3"/>
    </row>
    <row r="63" spans="1:14" x14ac:dyDescent="0.2">
      <c r="B63" s="169"/>
      <c r="J63" s="188"/>
      <c r="K63" s="3"/>
      <c r="L63" s="3"/>
      <c r="M63" s="176"/>
      <c r="N63" s="3"/>
    </row>
    <row r="64" spans="1:14" x14ac:dyDescent="0.2">
      <c r="B64" s="167"/>
      <c r="J64" s="187"/>
      <c r="K64" s="3"/>
      <c r="L64" s="3"/>
      <c r="M64" s="176"/>
      <c r="N64" s="3"/>
    </row>
    <row r="65" spans="1:14" x14ac:dyDescent="0.2">
      <c r="A65" s="1"/>
      <c r="B65" s="167"/>
      <c r="J65" s="192"/>
      <c r="K65" s="3"/>
      <c r="L65" s="3"/>
      <c r="M65" s="184"/>
      <c r="N65" s="3"/>
    </row>
    <row r="66" spans="1:14" x14ac:dyDescent="0.2">
      <c r="A66" s="1"/>
      <c r="B66" s="168"/>
      <c r="J66" s="187"/>
      <c r="K66" s="3"/>
      <c r="L66" s="3"/>
      <c r="M66" s="176"/>
      <c r="N66" s="3"/>
    </row>
    <row r="67" spans="1:14" x14ac:dyDescent="0.2">
      <c r="G67" s="168"/>
      <c r="J67" s="188"/>
      <c r="K67" s="3"/>
      <c r="L67" s="3"/>
      <c r="M67" s="184"/>
      <c r="N67" s="3"/>
    </row>
    <row r="68" spans="1:14" x14ac:dyDescent="0.2">
      <c r="J68" s="192"/>
      <c r="K68" s="3"/>
      <c r="L68" s="3"/>
      <c r="M68" s="184"/>
      <c r="N68" s="3"/>
    </row>
    <row r="69" spans="1:14" x14ac:dyDescent="0.2">
      <c r="J69" s="3"/>
      <c r="K69" s="3"/>
      <c r="L69" s="3"/>
      <c r="M69" s="3"/>
      <c r="N69" s="3"/>
    </row>
    <row r="76" spans="1:14" x14ac:dyDescent="0.2">
      <c r="D76" s="91"/>
    </row>
    <row r="77" spans="1:14" x14ac:dyDescent="0.2">
      <c r="D77" s="91"/>
    </row>
    <row r="78" spans="1:14" x14ac:dyDescent="0.2">
      <c r="D78" s="91"/>
    </row>
    <row r="79" spans="1:14" x14ac:dyDescent="0.2">
      <c r="D79" s="91"/>
    </row>
    <row r="80" spans="1:14" x14ac:dyDescent="0.2">
      <c r="D80" s="91"/>
    </row>
    <row r="81" spans="4:4" x14ac:dyDescent="0.2">
      <c r="D81" s="91"/>
    </row>
    <row r="82" spans="4:4" x14ac:dyDescent="0.2">
      <c r="D82" s="91"/>
    </row>
    <row r="83" spans="4:4" x14ac:dyDescent="0.2">
      <c r="D83" s="195"/>
    </row>
    <row r="84" spans="4:4" x14ac:dyDescent="0.2">
      <c r="D84" s="195"/>
    </row>
    <row r="86" spans="4:4" x14ac:dyDescent="0.2">
      <c r="D86" s="138"/>
    </row>
    <row r="87" spans="4:4" x14ac:dyDescent="0.2">
      <c r="D87" s="91"/>
    </row>
  </sheetData>
  <mergeCells count="1">
    <mergeCell ref="B60:E60"/>
  </mergeCells>
  <printOptions horizontalCentered="1"/>
  <pageMargins left="0.5" right="0.49" top="0.5" bottom="0.78" header="0.5" footer="0.5"/>
  <pageSetup scale="65" pageOrder="overThenDown" orientation="portrait" r:id="rId1"/>
  <headerFooter alignWithMargins="0">
    <oddFooter>&amp;C&amp;F
&amp;   Stockpile Sheet 14 
&amp;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Button 2">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14339" r:id="rId5" name="Button 3">
              <controlPr locked="0" defaultSize="0" autoFill="0" autoLine="0" autoPict="0">
                <anchor moveWithCells="1" sizeWithCells="1">
                  <from>
                    <xdr:col>0</xdr:col>
                    <xdr:colOff>0</xdr:colOff>
                    <xdr:row>10</xdr:row>
                    <xdr:rowOff>0</xdr:rowOff>
                  </from>
                  <to>
                    <xdr:col>0</xdr:col>
                    <xdr:colOff>0</xdr:colOff>
                    <xdr:row>10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115"/>
  <sheetViews>
    <sheetView defaultGridColor="0" view="pageBreakPreview" colorId="22" zoomScale="55" zoomScaleNormal="70" zoomScaleSheetLayoutView="55" workbookViewId="0">
      <pane ySplit="7" topLeftCell="A38" activePane="bottomLeft" state="frozen"/>
      <selection activeCell="A16" sqref="A16"/>
      <selection pane="bottomLeft" activeCell="A16" sqref="A16"/>
    </sheetView>
  </sheetViews>
  <sheetFormatPr defaultColWidth="9.77734375" defaultRowHeight="15" x14ac:dyDescent="0.2"/>
  <cols>
    <col min="1" max="1" width="33.21875" style="4" customWidth="1"/>
    <col min="2" max="2" width="30.44140625" style="4" customWidth="1"/>
    <col min="3" max="3" width="8.21875" style="4" bestFit="1" customWidth="1"/>
    <col min="4" max="4" width="4.5546875" style="4" bestFit="1" customWidth="1"/>
    <col min="5" max="5" width="10" style="108" customWidth="1"/>
    <col min="6" max="6" width="12.88671875" style="4" bestFit="1" customWidth="1"/>
    <col min="7" max="7" width="13.33203125" style="4" customWidth="1"/>
    <col min="8" max="8" width="18" style="4" customWidth="1"/>
    <col min="9" max="9" width="5.6640625" style="4" bestFit="1" customWidth="1"/>
    <col min="10" max="10" width="117.88671875" style="4" customWidth="1"/>
    <col min="11" max="11" width="26.5546875" style="4" customWidth="1"/>
    <col min="12" max="12" width="28.33203125" style="4" customWidth="1"/>
    <col min="13" max="13" width="20.33203125" style="4" customWidth="1"/>
    <col min="14" max="14" width="9.77734375" style="4"/>
    <col min="15" max="15" width="10.33203125" style="4" bestFit="1" customWidth="1"/>
    <col min="16" max="16384" width="9.77734375" style="4"/>
  </cols>
  <sheetData>
    <row r="1" spans="1:25" x14ac:dyDescent="0.2">
      <c r="B1" s="14"/>
      <c r="C1" s="14"/>
      <c r="D1" s="14"/>
      <c r="E1" s="81"/>
      <c r="G1" s="3"/>
      <c r="H1" s="3"/>
      <c r="I1" s="3"/>
      <c r="J1" s="2" t="str">
        <f>'1 General'!C1</f>
        <v>Cobre</v>
      </c>
      <c r="K1" s="3"/>
      <c r="L1" s="3"/>
      <c r="M1" s="3"/>
      <c r="N1" s="3"/>
      <c r="O1" s="3"/>
      <c r="P1" s="3"/>
      <c r="Q1" s="3"/>
      <c r="R1" s="3"/>
      <c r="S1" s="3"/>
      <c r="T1" s="3"/>
      <c r="U1" s="3"/>
      <c r="V1" s="3"/>
      <c r="W1" s="3"/>
      <c r="X1" s="3"/>
    </row>
    <row r="2" spans="1:25" ht="18" x14ac:dyDescent="0.25">
      <c r="A2" s="437"/>
      <c r="B2" s="14"/>
      <c r="C2" s="14"/>
      <c r="D2" s="14"/>
      <c r="E2" s="81"/>
      <c r="G2" s="3"/>
      <c r="H2" s="3"/>
      <c r="I2" s="3"/>
      <c r="J2" s="2" t="s">
        <v>254</v>
      </c>
      <c r="K2" s="3"/>
      <c r="L2" s="3"/>
      <c r="M2" s="3"/>
      <c r="N2" s="3"/>
      <c r="O2" s="3"/>
      <c r="P2" s="3"/>
      <c r="Q2" s="3"/>
      <c r="R2" s="3"/>
      <c r="S2" s="3"/>
      <c r="T2" s="3"/>
      <c r="U2" s="3"/>
      <c r="V2" s="3"/>
      <c r="W2" s="3"/>
      <c r="X2" s="3"/>
    </row>
    <row r="3" spans="1:25" x14ac:dyDescent="0.2">
      <c r="A3" s="78" t="s">
        <v>255</v>
      </c>
      <c r="C3" s="14"/>
      <c r="D3" s="14"/>
      <c r="E3" s="81"/>
      <c r="G3" s="3"/>
      <c r="H3" s="3"/>
      <c r="I3" s="3"/>
      <c r="J3" s="79">
        <f>'1 General'!C3</f>
        <v>41978</v>
      </c>
      <c r="K3" s="3"/>
      <c r="L3" s="3"/>
      <c r="M3" s="3"/>
      <c r="N3" s="3"/>
      <c r="O3" s="3"/>
      <c r="P3" s="3"/>
      <c r="Q3" s="3"/>
      <c r="R3" s="3"/>
      <c r="S3" s="3"/>
      <c r="T3" s="3"/>
      <c r="U3" s="3"/>
      <c r="V3" s="3"/>
      <c r="W3" s="3"/>
      <c r="X3" s="3"/>
    </row>
    <row r="4" spans="1:25" x14ac:dyDescent="0.2">
      <c r="A4" s="14"/>
      <c r="B4" s="14"/>
      <c r="C4" s="14"/>
      <c r="D4" s="14"/>
      <c r="E4" s="196"/>
      <c r="F4" s="2"/>
      <c r="G4" s="3"/>
      <c r="H4" s="3"/>
      <c r="I4" s="3"/>
      <c r="J4" s="3"/>
      <c r="K4" s="3"/>
      <c r="L4" s="3"/>
      <c r="M4" s="3"/>
      <c r="N4" s="3"/>
      <c r="O4" s="3"/>
      <c r="P4" s="3"/>
      <c r="Q4" s="3"/>
      <c r="R4" s="3"/>
      <c r="S4" s="3"/>
      <c r="T4" s="3"/>
      <c r="U4" s="3"/>
      <c r="V4" s="3"/>
      <c r="W4" s="3"/>
      <c r="X4" s="3"/>
    </row>
    <row r="5" spans="1:25" x14ac:dyDescent="0.2">
      <c r="A5" s="125"/>
      <c r="B5" s="357"/>
      <c r="C5" s="357"/>
      <c r="D5" s="357"/>
      <c r="E5" s="376" t="s">
        <v>175</v>
      </c>
      <c r="F5" s="357" t="s">
        <v>66</v>
      </c>
      <c r="G5" s="357"/>
      <c r="H5" s="357"/>
      <c r="I5" s="357"/>
      <c r="J5" s="357"/>
      <c r="K5" s="3"/>
      <c r="L5" s="3"/>
      <c r="M5" s="3"/>
      <c r="N5" s="3"/>
      <c r="O5" s="3"/>
      <c r="P5" s="3"/>
      <c r="Q5" s="3"/>
      <c r="R5" s="3"/>
      <c r="S5" s="3"/>
      <c r="T5" s="3"/>
      <c r="U5" s="3"/>
      <c r="V5" s="3"/>
      <c r="W5" s="3"/>
      <c r="X5" s="3"/>
      <c r="Y5" s="3"/>
    </row>
    <row r="6" spans="1:25" x14ac:dyDescent="0.2">
      <c r="A6" s="125"/>
      <c r="B6" s="357"/>
      <c r="C6" s="356"/>
      <c r="D6" s="357"/>
      <c r="E6" s="376" t="s">
        <v>180</v>
      </c>
      <c r="F6" s="357" t="s">
        <v>180</v>
      </c>
      <c r="G6" s="357"/>
      <c r="H6" s="357"/>
      <c r="I6" s="357"/>
      <c r="J6" s="357"/>
      <c r="K6" s="197"/>
      <c r="L6" s="3"/>
      <c r="M6" s="3"/>
      <c r="N6" s="3"/>
      <c r="O6" s="3"/>
      <c r="P6" s="3"/>
      <c r="Q6" s="3"/>
      <c r="R6" s="3"/>
      <c r="S6" s="3"/>
      <c r="T6" s="3"/>
      <c r="U6" s="3"/>
      <c r="V6" s="3"/>
      <c r="W6" s="3"/>
      <c r="X6" s="3"/>
      <c r="Y6" s="3"/>
    </row>
    <row r="7" spans="1:25" ht="18" x14ac:dyDescent="0.2">
      <c r="A7" s="415" t="s">
        <v>18</v>
      </c>
      <c r="B7" s="356" t="s">
        <v>256</v>
      </c>
      <c r="C7" s="356" t="s">
        <v>257</v>
      </c>
      <c r="D7" s="356" t="s">
        <v>175</v>
      </c>
      <c r="E7" s="374" t="s">
        <v>187</v>
      </c>
      <c r="F7" s="356" t="s">
        <v>186</v>
      </c>
      <c r="G7" s="357" t="s">
        <v>210</v>
      </c>
      <c r="H7" s="357" t="s">
        <v>258</v>
      </c>
      <c r="I7" s="357" t="s">
        <v>259</v>
      </c>
      <c r="J7" s="357" t="s">
        <v>19</v>
      </c>
      <c r="K7" s="3"/>
      <c r="L7" s="3"/>
      <c r="M7" s="3"/>
      <c r="N7" s="3"/>
      <c r="O7" s="3"/>
      <c r="P7" s="3"/>
      <c r="Q7" s="3"/>
      <c r="R7" s="3"/>
      <c r="S7" s="3"/>
      <c r="T7" s="3"/>
      <c r="U7" s="3"/>
      <c r="V7" s="3"/>
      <c r="W7" s="3"/>
      <c r="X7" s="3"/>
      <c r="Y7" s="3"/>
    </row>
    <row r="8" spans="1:25" customFormat="1" ht="18" x14ac:dyDescent="0.25">
      <c r="A8" s="201" t="s">
        <v>198</v>
      </c>
      <c r="B8" s="199"/>
      <c r="C8" s="174"/>
      <c r="D8" s="66"/>
      <c r="E8" s="340"/>
      <c r="F8" s="340"/>
      <c r="G8" s="66"/>
      <c r="H8" s="156"/>
      <c r="I8" s="3"/>
      <c r="J8" s="200"/>
      <c r="K8" s="3"/>
      <c r="L8" s="125"/>
      <c r="M8" s="125"/>
      <c r="N8" s="125"/>
      <c r="O8" s="125"/>
      <c r="P8" s="125"/>
      <c r="Q8" s="125"/>
      <c r="R8" s="125"/>
      <c r="S8" s="125"/>
      <c r="T8" s="125"/>
      <c r="U8" s="125"/>
      <c r="V8" s="125"/>
      <c r="W8" s="125"/>
      <c r="X8" s="125"/>
      <c r="Y8" s="125"/>
    </row>
    <row r="9" spans="1:25" customFormat="1" x14ac:dyDescent="0.2">
      <c r="A9" s="333" t="s">
        <v>409</v>
      </c>
      <c r="B9" s="199" t="s">
        <v>245</v>
      </c>
      <c r="C9" s="206">
        <f>270*40/200</f>
        <v>54</v>
      </c>
      <c r="D9" s="66" t="s">
        <v>261</v>
      </c>
      <c r="E9" s="340">
        <f>1870.2/8*$C$70</f>
        <v>198.00742500000001</v>
      </c>
      <c r="F9" s="417">
        <f>C9*E9</f>
        <v>10692.400950000001</v>
      </c>
      <c r="G9" s="156" t="s">
        <v>262</v>
      </c>
      <c r="H9" s="357" t="s">
        <v>263</v>
      </c>
      <c r="I9" s="357">
        <v>541</v>
      </c>
      <c r="J9" s="200" t="s">
        <v>264</v>
      </c>
      <c r="K9" s="3"/>
      <c r="L9" s="125"/>
      <c r="M9" s="125"/>
      <c r="N9" s="125"/>
      <c r="O9" s="125"/>
      <c r="P9" s="125"/>
      <c r="Q9" s="125"/>
      <c r="R9" s="125"/>
      <c r="S9" s="125"/>
      <c r="T9" s="125"/>
      <c r="U9" s="125"/>
      <c r="V9" s="125"/>
      <c r="W9" s="125"/>
      <c r="X9" s="125"/>
      <c r="Y9" s="125"/>
    </row>
    <row r="10" spans="1:25" customFormat="1" x14ac:dyDescent="0.2">
      <c r="A10" s="333" t="s">
        <v>409</v>
      </c>
      <c r="B10" s="199" t="s">
        <v>246</v>
      </c>
      <c r="C10" s="206">
        <f>153*40/200</f>
        <v>30.6</v>
      </c>
      <c r="D10" s="66" t="s">
        <v>261</v>
      </c>
      <c r="E10" s="340">
        <f>1870.2/8*$C$70</f>
        <v>198.00742500000001</v>
      </c>
      <c r="F10" s="417">
        <f>C10*E10</f>
        <v>6059.0272050000003</v>
      </c>
      <c r="G10" s="156" t="s">
        <v>262</v>
      </c>
      <c r="H10" s="357" t="s">
        <v>263</v>
      </c>
      <c r="I10" s="357">
        <v>541</v>
      </c>
      <c r="J10" s="200" t="s">
        <v>264</v>
      </c>
      <c r="K10" s="3"/>
      <c r="L10" s="125"/>
      <c r="M10" s="125"/>
      <c r="N10" s="125"/>
      <c r="O10" s="125"/>
      <c r="P10" s="125"/>
      <c r="Q10" s="125"/>
      <c r="R10" s="125"/>
      <c r="S10" s="125"/>
      <c r="T10" s="125"/>
      <c r="U10" s="125"/>
      <c r="V10" s="125"/>
      <c r="W10" s="125"/>
      <c r="X10" s="125"/>
      <c r="Y10" s="125"/>
    </row>
    <row r="11" spans="1:25" customFormat="1" x14ac:dyDescent="0.2">
      <c r="A11" s="333" t="s">
        <v>409</v>
      </c>
      <c r="B11" s="199" t="s">
        <v>247</v>
      </c>
      <c r="C11" s="206">
        <f>235*40/200</f>
        <v>47</v>
      </c>
      <c r="D11" s="66" t="s">
        <v>261</v>
      </c>
      <c r="E11" s="340">
        <f>1870.2/8*$C$70</f>
        <v>198.00742500000001</v>
      </c>
      <c r="F11" s="417">
        <f>C11*E11</f>
        <v>9306.3489750000008</v>
      </c>
      <c r="G11" s="156" t="s">
        <v>262</v>
      </c>
      <c r="H11" s="357" t="s">
        <v>263</v>
      </c>
      <c r="I11" s="357">
        <v>541</v>
      </c>
      <c r="J11" s="200" t="s">
        <v>264</v>
      </c>
      <c r="K11" s="3"/>
      <c r="L11" s="125"/>
      <c r="M11" s="125"/>
      <c r="N11" s="125"/>
      <c r="O11" s="125"/>
      <c r="P11" s="125"/>
      <c r="Q11" s="125"/>
      <c r="R11" s="125"/>
      <c r="S11" s="125"/>
      <c r="T11" s="125"/>
      <c r="U11" s="125"/>
      <c r="V11" s="125"/>
      <c r="W11" s="125"/>
      <c r="X11" s="125"/>
      <c r="Y11" s="125"/>
    </row>
    <row r="12" spans="1:25" customFormat="1" x14ac:dyDescent="0.2">
      <c r="A12" s="333" t="s">
        <v>409</v>
      </c>
      <c r="B12" s="199" t="str">
        <f>'14   Reveg'!B33</f>
        <v>East WRF Containment</v>
      </c>
      <c r="C12" s="206">
        <f>200*40/200</f>
        <v>40</v>
      </c>
      <c r="D12" s="66" t="s">
        <v>261</v>
      </c>
      <c r="E12" s="340">
        <f>1870.2/8*$C$70</f>
        <v>198.00742500000001</v>
      </c>
      <c r="F12" s="417">
        <f>C12*E12</f>
        <v>7920.2970000000005</v>
      </c>
      <c r="G12" s="156" t="s">
        <v>262</v>
      </c>
      <c r="H12" s="357" t="s">
        <v>263</v>
      </c>
      <c r="I12" s="357">
        <v>541</v>
      </c>
      <c r="J12" s="200" t="s">
        <v>264</v>
      </c>
      <c r="K12" s="3"/>
      <c r="L12" s="125"/>
      <c r="M12" s="125"/>
      <c r="N12" s="125"/>
      <c r="O12" s="125"/>
      <c r="P12" s="125"/>
      <c r="Q12" s="125"/>
      <c r="R12" s="125"/>
      <c r="S12" s="125"/>
      <c r="T12" s="125"/>
      <c r="U12" s="125"/>
      <c r="V12" s="125"/>
      <c r="W12" s="125"/>
      <c r="X12" s="125"/>
      <c r="Y12" s="125"/>
    </row>
    <row r="13" spans="1:25" customFormat="1" x14ac:dyDescent="0.2">
      <c r="A13" s="205"/>
      <c r="B13" s="199"/>
      <c r="C13" s="206"/>
      <c r="D13" s="66"/>
      <c r="E13" s="340"/>
      <c r="F13" s="417"/>
      <c r="G13" s="171"/>
      <c r="H13" s="156"/>
      <c r="I13" s="3"/>
      <c r="J13" s="200"/>
      <c r="K13" s="3"/>
      <c r="L13" s="125"/>
      <c r="M13" s="125"/>
      <c r="N13" s="125"/>
      <c r="O13" s="125"/>
      <c r="P13" s="125"/>
      <c r="Q13" s="125"/>
      <c r="R13" s="125"/>
      <c r="S13" s="125"/>
      <c r="T13" s="125"/>
      <c r="U13" s="125"/>
      <c r="V13" s="125"/>
      <c r="W13" s="125"/>
      <c r="X13" s="125"/>
      <c r="Y13" s="125"/>
    </row>
    <row r="14" spans="1:25" customFormat="1" ht="18" x14ac:dyDescent="0.25">
      <c r="A14" s="201" t="s">
        <v>265</v>
      </c>
      <c r="B14" s="199"/>
      <c r="C14" s="206"/>
      <c r="D14" s="66"/>
      <c r="E14" s="340"/>
      <c r="F14" s="417"/>
      <c r="G14" s="171"/>
      <c r="H14" s="156"/>
      <c r="I14" s="3"/>
      <c r="J14" s="200"/>
      <c r="K14" s="3"/>
      <c r="L14" s="125"/>
      <c r="M14" s="125"/>
      <c r="N14" s="125"/>
      <c r="O14" s="125"/>
      <c r="P14" s="125"/>
      <c r="Q14" s="125"/>
      <c r="R14" s="125"/>
      <c r="S14" s="125"/>
      <c r="T14" s="125"/>
      <c r="U14" s="125"/>
      <c r="V14" s="125"/>
      <c r="W14" s="125"/>
      <c r="X14" s="125"/>
      <c r="Y14" s="125"/>
    </row>
    <row r="15" spans="1:25" ht="57.75" customHeight="1" x14ac:dyDescent="0.2">
      <c r="A15" s="65" t="s">
        <v>266</v>
      </c>
      <c r="B15" s="414" t="s">
        <v>267</v>
      </c>
      <c r="C15" s="411">
        <f>7*100</f>
        <v>700</v>
      </c>
      <c r="D15" s="356" t="s">
        <v>260</v>
      </c>
      <c r="E15" s="412">
        <f>14/(1+'16   Sum'!$C$20)*1.02</f>
        <v>11.130163678877631</v>
      </c>
      <c r="F15" s="413">
        <f>C15*E15</f>
        <v>7791.114575214342</v>
      </c>
      <c r="G15" s="434" t="s">
        <v>268</v>
      </c>
      <c r="H15" s="474" t="s">
        <v>269</v>
      </c>
      <c r="I15" s="475"/>
      <c r="J15" s="475"/>
      <c r="K15" s="3"/>
      <c r="L15" s="3"/>
      <c r="M15" s="3"/>
      <c r="N15" s="3"/>
      <c r="O15" s="3"/>
      <c r="P15" s="3"/>
      <c r="Q15" s="3"/>
      <c r="R15" s="3"/>
      <c r="S15" s="3"/>
      <c r="T15" s="3"/>
      <c r="U15" s="3"/>
      <c r="V15" s="3"/>
      <c r="W15" s="3"/>
      <c r="X15" s="3"/>
      <c r="Y15" s="3"/>
    </row>
    <row r="16" spans="1:25" ht="18" x14ac:dyDescent="0.25">
      <c r="A16" s="198"/>
      <c r="B16" s="199"/>
      <c r="C16" s="174"/>
      <c r="D16" s="171"/>
      <c r="E16" s="203"/>
      <c r="F16" s="202"/>
      <c r="G16" s="171"/>
      <c r="H16" s="156"/>
      <c r="I16" s="3"/>
      <c r="J16" s="3"/>
      <c r="K16" s="3"/>
      <c r="L16" s="3"/>
      <c r="M16" s="3"/>
      <c r="N16" s="3"/>
      <c r="O16" s="3"/>
      <c r="P16" s="3"/>
      <c r="Q16" s="3"/>
      <c r="R16" s="3"/>
      <c r="S16" s="3"/>
      <c r="T16" s="3"/>
      <c r="U16" s="3"/>
      <c r="V16" s="3"/>
      <c r="W16" s="3"/>
      <c r="X16" s="3"/>
      <c r="Y16" s="3"/>
    </row>
    <row r="17" spans="1:25" ht="18" x14ac:dyDescent="0.25">
      <c r="A17" s="201" t="s">
        <v>410</v>
      </c>
      <c r="C17" s="14"/>
      <c r="D17" s="2"/>
      <c r="E17" s="203"/>
      <c r="F17" s="202"/>
      <c r="G17" s="171"/>
      <c r="H17" s="3"/>
      <c r="I17" s="3"/>
      <c r="J17" s="3"/>
      <c r="K17" s="3"/>
      <c r="L17" s="3"/>
      <c r="M17" s="3"/>
      <c r="N17" s="3"/>
      <c r="O17" s="3"/>
      <c r="P17" s="3"/>
      <c r="Q17" s="3"/>
      <c r="R17" s="3"/>
      <c r="S17" s="3"/>
      <c r="T17" s="3"/>
      <c r="U17" s="3"/>
      <c r="V17" s="3"/>
      <c r="W17" s="3"/>
      <c r="X17" s="3"/>
      <c r="Y17" s="3"/>
    </row>
    <row r="18" spans="1:25" ht="15" customHeight="1" x14ac:dyDescent="0.2">
      <c r="A18" s="333" t="s">
        <v>392</v>
      </c>
      <c r="B18" s="4" t="s">
        <v>270</v>
      </c>
      <c r="C18" s="402">
        <v>8595</v>
      </c>
      <c r="D18" s="356" t="s">
        <v>260</v>
      </c>
      <c r="E18" s="412">
        <v>5.86</v>
      </c>
      <c r="F18" s="413">
        <f t="shared" ref="F18" si="0">C18*E18</f>
        <v>50366.700000000004</v>
      </c>
      <c r="G18" s="436" t="s">
        <v>415</v>
      </c>
      <c r="H18" s="171" t="s">
        <v>272</v>
      </c>
      <c r="I18" s="3"/>
      <c r="J18" s="3"/>
      <c r="K18" s="3"/>
      <c r="L18" s="3"/>
      <c r="M18" s="3"/>
      <c r="N18" s="3"/>
      <c r="O18" s="3"/>
      <c r="P18" s="3"/>
      <c r="Q18" s="3"/>
      <c r="R18" s="3"/>
      <c r="S18" s="3"/>
      <c r="T18" s="3"/>
      <c r="U18" s="3"/>
      <c r="V18" s="3"/>
      <c r="W18" s="3"/>
      <c r="X18" s="3"/>
      <c r="Y18" s="3"/>
    </row>
    <row r="19" spans="1:25" ht="15" customHeight="1" x14ac:dyDescent="0.2">
      <c r="A19" s="333" t="str">
        <f>A41</f>
        <v>MTI</v>
      </c>
      <c r="B19" s="4" t="s">
        <v>270</v>
      </c>
      <c r="C19" s="402">
        <v>1353</v>
      </c>
      <c r="D19" s="356" t="s">
        <v>260</v>
      </c>
      <c r="E19" s="412">
        <v>5.86</v>
      </c>
      <c r="F19" s="413">
        <f t="shared" ref="F19" si="1">C19*E19</f>
        <v>7928.5800000000008</v>
      </c>
      <c r="G19" s="436" t="s">
        <v>415</v>
      </c>
      <c r="H19" s="171" t="s">
        <v>272</v>
      </c>
      <c r="I19" s="3"/>
      <c r="J19" s="3"/>
      <c r="K19" s="3"/>
      <c r="L19" s="3"/>
      <c r="M19" s="3"/>
      <c r="N19" s="3"/>
      <c r="O19" s="3"/>
      <c r="P19" s="3"/>
      <c r="Q19" s="3"/>
      <c r="R19" s="3"/>
      <c r="S19" s="3"/>
      <c r="T19" s="3"/>
      <c r="U19" s="3"/>
      <c r="V19" s="3"/>
      <c r="W19" s="3"/>
      <c r="X19" s="3"/>
      <c r="Y19" s="3"/>
    </row>
    <row r="20" spans="1:25" x14ac:dyDescent="0.2">
      <c r="A20" s="38" t="str">
        <f>A18</f>
        <v>SWRDF</v>
      </c>
      <c r="B20" s="4" t="s">
        <v>281</v>
      </c>
      <c r="C20" s="402">
        <v>14126</v>
      </c>
      <c r="D20" s="356" t="s">
        <v>260</v>
      </c>
      <c r="E20" s="412">
        <v>2.12</v>
      </c>
      <c r="F20" s="413">
        <f>C20*E20</f>
        <v>29947.120000000003</v>
      </c>
      <c r="G20" s="436" t="s">
        <v>415</v>
      </c>
      <c r="H20" s="171" t="s">
        <v>282</v>
      </c>
      <c r="J20" s="3"/>
      <c r="K20" s="3"/>
      <c r="L20" s="3"/>
      <c r="M20" s="3"/>
      <c r="N20" s="3"/>
      <c r="O20" s="3"/>
      <c r="P20" s="3"/>
      <c r="Q20" s="3"/>
      <c r="R20" s="3"/>
      <c r="S20" s="3"/>
      <c r="T20" s="3"/>
      <c r="U20" s="3"/>
      <c r="V20" s="3"/>
      <c r="W20" s="3"/>
      <c r="X20" s="3"/>
      <c r="Y20" s="3"/>
    </row>
    <row r="21" spans="1:25" x14ac:dyDescent="0.2">
      <c r="A21" s="38" t="str">
        <f>A19</f>
        <v>MTI</v>
      </c>
      <c r="B21" s="4" t="s">
        <v>281</v>
      </c>
      <c r="C21" s="402">
        <v>3894</v>
      </c>
      <c r="D21" s="356" t="s">
        <v>260</v>
      </c>
      <c r="E21" s="412">
        <v>1.86</v>
      </c>
      <c r="F21" s="413">
        <f>C21*E21</f>
        <v>7242.84</v>
      </c>
      <c r="G21" s="436" t="s">
        <v>415</v>
      </c>
      <c r="H21" s="171" t="s">
        <v>282</v>
      </c>
      <c r="J21" s="3"/>
      <c r="K21" s="3"/>
      <c r="L21" s="3"/>
      <c r="M21" s="3"/>
      <c r="N21" s="3"/>
      <c r="O21" s="3"/>
      <c r="P21" s="3"/>
      <c r="Q21" s="3"/>
      <c r="R21" s="3"/>
      <c r="S21" s="3"/>
      <c r="T21" s="3"/>
      <c r="U21" s="3"/>
      <c r="V21" s="3"/>
      <c r="W21" s="3"/>
      <c r="X21" s="3"/>
      <c r="Y21" s="3"/>
    </row>
    <row r="22" spans="1:25" x14ac:dyDescent="0.2">
      <c r="A22" s="38" t="str">
        <f>A20</f>
        <v>SWRDF</v>
      </c>
      <c r="B22" s="4" t="s">
        <v>283</v>
      </c>
      <c r="C22" s="402">
        <v>25463</v>
      </c>
      <c r="D22" s="356" t="s">
        <v>260</v>
      </c>
      <c r="E22" s="412">
        <v>1.81</v>
      </c>
      <c r="F22" s="413">
        <f>C22*E22</f>
        <v>46088.03</v>
      </c>
      <c r="G22" s="436" t="s">
        <v>415</v>
      </c>
      <c r="H22" s="171" t="s">
        <v>284</v>
      </c>
      <c r="J22" s="3"/>
      <c r="K22" s="3"/>
      <c r="L22" s="3"/>
      <c r="M22" s="3"/>
      <c r="N22" s="3"/>
      <c r="O22" s="3"/>
      <c r="P22" s="3"/>
      <c r="Q22" s="3"/>
      <c r="R22" s="3"/>
      <c r="S22" s="3"/>
      <c r="T22" s="3"/>
      <c r="U22" s="3"/>
      <c r="V22" s="3"/>
      <c r="W22" s="3"/>
      <c r="X22" s="3"/>
      <c r="Y22" s="3"/>
    </row>
    <row r="23" spans="1:25" x14ac:dyDescent="0.2">
      <c r="A23" s="38" t="str">
        <f>A18</f>
        <v>SWRDF</v>
      </c>
      <c r="B23" s="325" t="s">
        <v>450</v>
      </c>
      <c r="C23" s="362">
        <v>39589</v>
      </c>
      <c r="D23" s="357" t="s">
        <v>285</v>
      </c>
      <c r="E23" s="419">
        <v>0.48</v>
      </c>
      <c r="F23" s="413">
        <f t="shared" ref="F23:F26" si="2">C23*E23</f>
        <v>19002.719999999998</v>
      </c>
      <c r="G23" s="436" t="s">
        <v>415</v>
      </c>
      <c r="H23" s="171" t="s">
        <v>286</v>
      </c>
      <c r="I23" s="3"/>
      <c r="J23" s="3"/>
      <c r="K23" s="3"/>
      <c r="L23" s="3"/>
      <c r="M23" s="3"/>
      <c r="N23" s="3"/>
      <c r="O23" s="3"/>
      <c r="P23" s="3"/>
      <c r="Q23" s="3"/>
      <c r="R23" s="3"/>
      <c r="S23" s="3"/>
      <c r="T23" s="3"/>
      <c r="U23" s="3"/>
      <c r="V23" s="3"/>
      <c r="W23" s="3"/>
      <c r="X23" s="3"/>
      <c r="Y23" s="3"/>
    </row>
    <row r="24" spans="1:25" x14ac:dyDescent="0.2">
      <c r="A24" s="38" t="str">
        <f>A19</f>
        <v>MTI</v>
      </c>
      <c r="B24" s="325" t="s">
        <v>450</v>
      </c>
      <c r="C24" s="362">
        <v>3894</v>
      </c>
      <c r="D24" s="357" t="s">
        <v>285</v>
      </c>
      <c r="E24" s="419">
        <v>0.48</v>
      </c>
      <c r="F24" s="413">
        <f>C24*E24</f>
        <v>1869.12</v>
      </c>
      <c r="G24" s="436" t="s">
        <v>415</v>
      </c>
      <c r="H24" s="171" t="s">
        <v>286</v>
      </c>
      <c r="I24" s="3"/>
      <c r="J24" s="3"/>
      <c r="K24" s="3"/>
      <c r="L24" s="3"/>
      <c r="M24" s="3"/>
      <c r="N24" s="3"/>
      <c r="O24" s="3"/>
      <c r="P24" s="3"/>
      <c r="Q24" s="3"/>
      <c r="R24" s="3"/>
      <c r="S24" s="3"/>
      <c r="T24" s="3"/>
      <c r="U24" s="3"/>
      <c r="V24" s="3"/>
      <c r="W24" s="3"/>
      <c r="X24" s="3"/>
      <c r="Y24" s="3"/>
    </row>
    <row r="25" spans="1:25" x14ac:dyDescent="0.2">
      <c r="A25" s="38" t="str">
        <f>A18</f>
        <v>SWRDF</v>
      </c>
      <c r="B25" s="325" t="s">
        <v>287</v>
      </c>
      <c r="C25" s="362">
        <v>3964</v>
      </c>
      <c r="D25" s="357" t="s">
        <v>285</v>
      </c>
      <c r="E25" s="419">
        <v>3.28</v>
      </c>
      <c r="F25" s="413">
        <f t="shared" si="2"/>
        <v>13001.92</v>
      </c>
      <c r="G25" s="436" t="s">
        <v>415</v>
      </c>
      <c r="H25" s="171" t="s">
        <v>288</v>
      </c>
      <c r="I25" s="3"/>
      <c r="J25" s="3"/>
      <c r="K25" s="3"/>
      <c r="L25" s="3"/>
      <c r="M25" s="3"/>
      <c r="N25" s="3"/>
      <c r="O25" s="3"/>
      <c r="P25" s="3"/>
      <c r="Q25" s="3"/>
      <c r="R25" s="3"/>
      <c r="S25" s="3"/>
      <c r="T25" s="3"/>
      <c r="U25" s="3"/>
      <c r="V25" s="3"/>
      <c r="W25" s="3"/>
      <c r="X25" s="3"/>
      <c r="Y25" s="3"/>
    </row>
    <row r="26" spans="1:25" ht="17.25" customHeight="1" x14ac:dyDescent="0.2">
      <c r="A26" s="38" t="s">
        <v>444</v>
      </c>
      <c r="B26" s="325" t="s">
        <v>289</v>
      </c>
      <c r="C26" s="402">
        <v>2141</v>
      </c>
      <c r="D26" s="357" t="s">
        <v>285</v>
      </c>
      <c r="E26" s="419">
        <v>9.3800000000000008</v>
      </c>
      <c r="F26" s="413">
        <f t="shared" si="2"/>
        <v>20082.580000000002</v>
      </c>
      <c r="G26" s="436" t="s">
        <v>415</v>
      </c>
      <c r="H26" s="171" t="s">
        <v>288</v>
      </c>
      <c r="I26" s="3"/>
      <c r="J26" s="3"/>
      <c r="K26" s="3"/>
      <c r="L26" s="3"/>
      <c r="M26" s="3"/>
      <c r="N26" s="3"/>
      <c r="O26" s="3"/>
      <c r="P26" s="3"/>
      <c r="Q26" s="3"/>
      <c r="R26" s="3"/>
      <c r="S26" s="3"/>
      <c r="T26" s="3"/>
      <c r="U26" s="3"/>
      <c r="V26" s="3"/>
      <c r="W26" s="3"/>
      <c r="X26" s="3"/>
      <c r="Y26" s="3"/>
    </row>
    <row r="27" spans="1:25" ht="17.25" customHeight="1" x14ac:dyDescent="0.2">
      <c r="A27" s="38"/>
      <c r="B27" s="114"/>
      <c r="C27" s="174"/>
      <c r="D27" s="3"/>
      <c r="E27" s="203"/>
      <c r="F27" s="207"/>
      <c r="G27" s="156"/>
      <c r="J27" s="3"/>
      <c r="K27" s="3"/>
      <c r="L27" s="3"/>
      <c r="M27" s="3"/>
      <c r="N27" s="3"/>
      <c r="O27" s="3"/>
      <c r="P27" s="3"/>
      <c r="Q27" s="3"/>
      <c r="R27" s="3"/>
      <c r="S27" s="3"/>
      <c r="T27" s="3"/>
      <c r="U27" s="3"/>
      <c r="V27" s="3"/>
      <c r="W27" s="3"/>
      <c r="X27" s="3"/>
      <c r="Y27" s="3"/>
    </row>
    <row r="28" spans="1:25" ht="17.25" customHeight="1" x14ac:dyDescent="0.25">
      <c r="A28" s="208" t="s">
        <v>290</v>
      </c>
      <c r="B28" s="114"/>
      <c r="C28" s="174"/>
      <c r="D28" s="3"/>
      <c r="E28" s="203"/>
      <c r="F28" s="207"/>
      <c r="G28" s="156"/>
      <c r="H28" s="3"/>
      <c r="I28" s="3"/>
      <c r="J28" s="3"/>
      <c r="K28" s="3"/>
      <c r="L28" s="3"/>
      <c r="M28" s="3"/>
      <c r="N28" s="3"/>
      <c r="O28" s="3"/>
      <c r="P28" s="3"/>
      <c r="Q28" s="3"/>
      <c r="R28" s="3"/>
      <c r="S28" s="3"/>
      <c r="T28" s="3"/>
      <c r="U28" s="3"/>
      <c r="V28" s="3"/>
      <c r="W28" s="3"/>
      <c r="X28" s="3"/>
      <c r="Y28" s="3"/>
    </row>
    <row r="29" spans="1:25" x14ac:dyDescent="0.2">
      <c r="A29" s="38" t="str">
        <f>A18</f>
        <v>SWRDF</v>
      </c>
      <c r="B29" s="4" t="s">
        <v>273</v>
      </c>
      <c r="C29" s="402">
        <v>9025</v>
      </c>
      <c r="D29" s="356" t="s">
        <v>191</v>
      </c>
      <c r="E29" s="412">
        <f>11.05*$C$70</f>
        <v>9.3593500000000009</v>
      </c>
      <c r="F29" s="413">
        <f>C29*E29</f>
        <v>84468.133750000008</v>
      </c>
      <c r="G29" s="434" t="s">
        <v>262</v>
      </c>
      <c r="H29" s="357" t="s">
        <v>274</v>
      </c>
      <c r="I29" s="357">
        <v>483</v>
      </c>
      <c r="J29" s="3" t="s">
        <v>275</v>
      </c>
      <c r="K29" s="3"/>
      <c r="L29" s="3"/>
      <c r="M29" s="3"/>
      <c r="N29" s="3"/>
      <c r="O29" s="3"/>
      <c r="P29" s="3"/>
      <c r="Q29" s="3"/>
      <c r="R29" s="3"/>
      <c r="S29" s="3"/>
      <c r="T29" s="3"/>
      <c r="U29" s="3"/>
      <c r="V29" s="3"/>
      <c r="W29" s="3"/>
      <c r="X29" s="3"/>
      <c r="Y29" s="3"/>
    </row>
    <row r="30" spans="1:25" x14ac:dyDescent="0.2">
      <c r="A30" s="38" t="str">
        <f>A29</f>
        <v>SWRDF</v>
      </c>
      <c r="B30" s="4" t="s">
        <v>276</v>
      </c>
      <c r="C30" s="402">
        <f>C29</f>
        <v>9025</v>
      </c>
      <c r="D30" s="357" t="s">
        <v>191</v>
      </c>
      <c r="E30" s="412">
        <f>1.07*$C$70</f>
        <v>0.90629000000000004</v>
      </c>
      <c r="F30" s="413">
        <f>C30*E30</f>
        <v>8179.2672500000008</v>
      </c>
      <c r="G30" s="434" t="s">
        <v>262</v>
      </c>
      <c r="H30" s="357" t="s">
        <v>277</v>
      </c>
      <c r="I30" s="357">
        <v>238</v>
      </c>
      <c r="J30" s="3" t="s">
        <v>278</v>
      </c>
      <c r="K30" s="3"/>
      <c r="L30" s="3"/>
      <c r="M30" s="3"/>
      <c r="N30" s="3"/>
      <c r="O30" s="3"/>
      <c r="P30" s="3"/>
      <c r="Q30" s="3"/>
      <c r="R30" s="3"/>
      <c r="S30" s="3"/>
      <c r="T30" s="3"/>
      <c r="U30" s="3"/>
      <c r="V30" s="3"/>
      <c r="W30" s="3"/>
      <c r="X30" s="3"/>
      <c r="Y30" s="3"/>
    </row>
    <row r="31" spans="1:25" x14ac:dyDescent="0.2">
      <c r="A31" s="38" t="str">
        <f>A18</f>
        <v>SWRDF</v>
      </c>
      <c r="B31" s="4" t="s">
        <v>279</v>
      </c>
      <c r="C31" s="402">
        <v>36959</v>
      </c>
      <c r="D31" s="356" t="s">
        <v>191</v>
      </c>
      <c r="E31" s="412">
        <f>11.05*$C$70</f>
        <v>9.3593500000000009</v>
      </c>
      <c r="F31" s="413">
        <f t="shared" ref="F31:F32" si="3">C31*E31</f>
        <v>345912.21665000002</v>
      </c>
      <c r="G31" s="434" t="s">
        <v>262</v>
      </c>
      <c r="H31" s="357" t="s">
        <v>274</v>
      </c>
      <c r="I31" s="357">
        <v>483</v>
      </c>
      <c r="J31" s="3" t="s">
        <v>275</v>
      </c>
      <c r="K31" s="3"/>
      <c r="L31" s="3"/>
      <c r="M31" s="3"/>
      <c r="N31" s="3"/>
      <c r="O31" s="3"/>
      <c r="P31" s="3"/>
      <c r="Q31" s="3"/>
      <c r="R31" s="3"/>
      <c r="S31" s="3"/>
      <c r="T31" s="3"/>
      <c r="U31" s="3"/>
      <c r="V31" s="3"/>
      <c r="W31" s="3"/>
      <c r="X31" s="3"/>
      <c r="Y31" s="3"/>
    </row>
    <row r="32" spans="1:25" x14ac:dyDescent="0.2">
      <c r="A32" s="38" t="str">
        <f>A18</f>
        <v>SWRDF</v>
      </c>
      <c r="B32" s="114" t="s">
        <v>280</v>
      </c>
      <c r="C32" s="361">
        <f>C31</f>
        <v>36959</v>
      </c>
      <c r="D32" s="357" t="s">
        <v>191</v>
      </c>
      <c r="E32" s="412">
        <f>1.07*$C$70</f>
        <v>0.90629000000000004</v>
      </c>
      <c r="F32" s="413">
        <f t="shared" si="3"/>
        <v>33495.572110000001</v>
      </c>
      <c r="G32" s="434" t="s">
        <v>262</v>
      </c>
      <c r="H32" s="357" t="s">
        <v>277</v>
      </c>
      <c r="I32" s="357">
        <v>238</v>
      </c>
      <c r="J32" s="3" t="s">
        <v>278</v>
      </c>
      <c r="K32" s="3"/>
      <c r="L32" s="3"/>
      <c r="M32" s="3"/>
      <c r="N32" s="3"/>
      <c r="O32" s="3"/>
      <c r="P32" s="3"/>
      <c r="Q32" s="3"/>
      <c r="R32" s="3"/>
      <c r="S32" s="3"/>
      <c r="T32" s="3"/>
      <c r="U32" s="3"/>
      <c r="V32" s="3"/>
      <c r="W32" s="3"/>
      <c r="X32" s="3"/>
      <c r="Y32" s="3"/>
    </row>
    <row r="33" spans="1:25" x14ac:dyDescent="0.2">
      <c r="A33" s="38" t="str">
        <f>A19</f>
        <v>MTI</v>
      </c>
      <c r="B33" s="4" t="s">
        <v>273</v>
      </c>
      <c r="C33" s="402">
        <v>1421</v>
      </c>
      <c r="D33" s="356" t="s">
        <v>191</v>
      </c>
      <c r="E33" s="412">
        <f>11.05*$C$70</f>
        <v>9.3593500000000009</v>
      </c>
      <c r="F33" s="413">
        <f>C33*E33</f>
        <v>13299.636350000001</v>
      </c>
      <c r="G33" s="434" t="s">
        <v>262</v>
      </c>
      <c r="H33" s="357" t="s">
        <v>274</v>
      </c>
      <c r="I33" s="357">
        <v>483</v>
      </c>
      <c r="J33" s="3" t="s">
        <v>275</v>
      </c>
      <c r="K33" s="3"/>
      <c r="L33" s="3"/>
      <c r="M33" s="3"/>
      <c r="N33" s="3"/>
      <c r="O33" s="3"/>
      <c r="P33" s="3"/>
      <c r="Q33" s="3"/>
      <c r="R33" s="3"/>
      <c r="S33" s="3"/>
      <c r="T33" s="3"/>
      <c r="U33" s="3"/>
      <c r="V33" s="3"/>
      <c r="W33" s="3"/>
      <c r="X33" s="3"/>
      <c r="Y33" s="3"/>
    </row>
    <row r="34" spans="1:25" x14ac:dyDescent="0.2">
      <c r="A34" s="38" t="str">
        <f>A33</f>
        <v>MTI</v>
      </c>
      <c r="B34" s="4" t="s">
        <v>276</v>
      </c>
      <c r="C34" s="402">
        <f>C33</f>
        <v>1421</v>
      </c>
      <c r="D34" s="357" t="s">
        <v>191</v>
      </c>
      <c r="E34" s="412">
        <f>1.07*$C$70</f>
        <v>0.90629000000000004</v>
      </c>
      <c r="F34" s="413">
        <f>C34*E34</f>
        <v>1287.83809</v>
      </c>
      <c r="G34" s="434" t="s">
        <v>262</v>
      </c>
      <c r="H34" s="357" t="s">
        <v>277</v>
      </c>
      <c r="I34" s="357">
        <v>238</v>
      </c>
      <c r="J34" s="3" t="s">
        <v>278</v>
      </c>
      <c r="K34" s="3"/>
      <c r="L34" s="3"/>
      <c r="M34" s="3"/>
      <c r="N34" s="3"/>
      <c r="O34" s="3"/>
      <c r="P34" s="3"/>
      <c r="Q34" s="3"/>
      <c r="R34" s="3"/>
      <c r="S34" s="3"/>
      <c r="T34" s="3"/>
      <c r="U34" s="3"/>
      <c r="V34" s="3"/>
      <c r="W34" s="3"/>
      <c r="X34" s="3"/>
      <c r="Y34" s="3"/>
    </row>
    <row r="35" spans="1:25" x14ac:dyDescent="0.2">
      <c r="A35" s="38" t="str">
        <f>A33</f>
        <v>MTI</v>
      </c>
      <c r="B35" s="4" t="s">
        <v>279</v>
      </c>
      <c r="C35" s="402">
        <v>5818</v>
      </c>
      <c r="D35" s="356" t="s">
        <v>191</v>
      </c>
      <c r="E35" s="412">
        <f>11.05*$C$70</f>
        <v>9.3593500000000009</v>
      </c>
      <c r="F35" s="413">
        <f t="shared" ref="F35:F36" si="4">C35*E35</f>
        <v>54452.698300000004</v>
      </c>
      <c r="G35" s="434" t="s">
        <v>262</v>
      </c>
      <c r="H35" s="357" t="s">
        <v>274</v>
      </c>
      <c r="I35" s="357">
        <v>483</v>
      </c>
      <c r="J35" s="3" t="s">
        <v>275</v>
      </c>
      <c r="K35" s="3"/>
      <c r="L35" s="3"/>
      <c r="M35" s="3"/>
      <c r="N35" s="3"/>
      <c r="O35" s="3"/>
      <c r="P35" s="3"/>
      <c r="Q35" s="3"/>
      <c r="R35" s="3"/>
      <c r="S35" s="3"/>
      <c r="T35" s="3"/>
      <c r="U35" s="3"/>
      <c r="V35" s="3"/>
      <c r="W35" s="3"/>
      <c r="X35" s="3"/>
      <c r="Y35" s="3"/>
    </row>
    <row r="36" spans="1:25" x14ac:dyDescent="0.2">
      <c r="A36" s="38" t="str">
        <f>A34</f>
        <v>MTI</v>
      </c>
      <c r="B36" s="114" t="s">
        <v>280</v>
      </c>
      <c r="C36" s="361">
        <f>C35</f>
        <v>5818</v>
      </c>
      <c r="D36" s="357" t="s">
        <v>191</v>
      </c>
      <c r="E36" s="412">
        <f>1.07*$C$70</f>
        <v>0.90629000000000004</v>
      </c>
      <c r="F36" s="413">
        <f t="shared" si="4"/>
        <v>5272.79522</v>
      </c>
      <c r="G36" s="434" t="s">
        <v>262</v>
      </c>
      <c r="H36" s="357" t="s">
        <v>277</v>
      </c>
      <c r="I36" s="357">
        <v>238</v>
      </c>
      <c r="J36" s="3" t="s">
        <v>278</v>
      </c>
      <c r="K36" s="3"/>
      <c r="L36" s="3"/>
      <c r="M36" s="3"/>
      <c r="N36" s="3"/>
      <c r="O36" s="3"/>
      <c r="P36" s="3"/>
      <c r="Q36" s="3"/>
      <c r="R36" s="3"/>
      <c r="S36" s="3"/>
      <c r="T36" s="3"/>
      <c r="U36" s="3"/>
      <c r="V36" s="3"/>
      <c r="W36" s="3"/>
      <c r="X36" s="3"/>
      <c r="Y36" s="3"/>
    </row>
    <row r="37" spans="1:25" x14ac:dyDescent="0.2">
      <c r="A37" s="38" t="str">
        <f>A18</f>
        <v>SWRDF</v>
      </c>
      <c r="B37" s="114" t="s">
        <v>291</v>
      </c>
      <c r="C37" s="402">
        <v>17023</v>
      </c>
      <c r="D37" s="357" t="s">
        <v>191</v>
      </c>
      <c r="E37" s="412">
        <f>11.05*$C$70</f>
        <v>9.3593500000000009</v>
      </c>
      <c r="F37" s="413">
        <f t="shared" ref="F37:F48" si="5">C37*E37</f>
        <v>159324.21505000003</v>
      </c>
      <c r="G37" s="434" t="s">
        <v>262</v>
      </c>
      <c r="H37" s="357" t="s">
        <v>274</v>
      </c>
      <c r="I37" s="357">
        <v>483</v>
      </c>
      <c r="J37" s="3" t="s">
        <v>275</v>
      </c>
      <c r="K37" s="3"/>
      <c r="L37" s="3"/>
      <c r="M37" s="3"/>
      <c r="N37" s="3"/>
      <c r="O37" s="3"/>
      <c r="P37" s="3"/>
      <c r="Q37" s="3"/>
      <c r="R37" s="3"/>
      <c r="S37" s="3"/>
      <c r="T37" s="3"/>
      <c r="U37" s="3"/>
      <c r="V37" s="3"/>
      <c r="W37" s="3"/>
      <c r="X37" s="3"/>
      <c r="Y37" s="3"/>
    </row>
    <row r="38" spans="1:25" x14ac:dyDescent="0.2">
      <c r="A38" s="38" t="str">
        <f>A18</f>
        <v>SWRDF</v>
      </c>
      <c r="B38" s="114" t="s">
        <v>294</v>
      </c>
      <c r="C38" s="361">
        <f>C37</f>
        <v>17023</v>
      </c>
      <c r="D38" s="357" t="s">
        <v>191</v>
      </c>
      <c r="E38" s="412">
        <f>1.07*$C$70</f>
        <v>0.90629000000000004</v>
      </c>
      <c r="F38" s="413">
        <f>C38*E38</f>
        <v>15427.774670000001</v>
      </c>
      <c r="G38" s="434" t="s">
        <v>262</v>
      </c>
      <c r="H38" s="357" t="s">
        <v>277</v>
      </c>
      <c r="I38" s="357">
        <v>238</v>
      </c>
      <c r="J38" s="3" t="s">
        <v>278</v>
      </c>
      <c r="K38" s="3"/>
      <c r="L38" s="3"/>
      <c r="M38" s="3"/>
      <c r="N38" s="3"/>
      <c r="O38" s="3"/>
      <c r="P38" s="3"/>
      <c r="Q38" s="3"/>
      <c r="R38" s="3"/>
      <c r="S38" s="3"/>
      <c r="T38" s="3"/>
      <c r="U38" s="3"/>
      <c r="V38" s="3"/>
      <c r="W38" s="3"/>
      <c r="X38" s="3"/>
      <c r="Y38" s="3"/>
    </row>
    <row r="39" spans="1:25" x14ac:dyDescent="0.2">
      <c r="A39" s="38" t="str">
        <f>A18</f>
        <v>SWRDF</v>
      </c>
      <c r="B39" s="114" t="s">
        <v>292</v>
      </c>
      <c r="C39" s="402">
        <v>3817</v>
      </c>
      <c r="D39" s="357" t="s">
        <v>191</v>
      </c>
      <c r="E39" s="412">
        <f>11.05*$C$70</f>
        <v>9.3593500000000009</v>
      </c>
      <c r="F39" s="413">
        <f t="shared" si="5"/>
        <v>35724.63895</v>
      </c>
      <c r="G39" s="434" t="s">
        <v>262</v>
      </c>
      <c r="H39" s="357" t="s">
        <v>274</v>
      </c>
      <c r="I39" s="357">
        <v>483</v>
      </c>
      <c r="J39" s="3" t="s">
        <v>275</v>
      </c>
      <c r="K39" s="3"/>
      <c r="L39" s="3"/>
      <c r="M39" s="3"/>
      <c r="N39" s="3"/>
      <c r="O39" s="3"/>
      <c r="P39" s="3"/>
      <c r="Q39" s="3"/>
      <c r="R39" s="3"/>
      <c r="S39" s="3"/>
      <c r="T39" s="3"/>
      <c r="U39" s="3"/>
      <c r="V39" s="3"/>
      <c r="W39" s="3"/>
      <c r="X39" s="3"/>
      <c r="Y39" s="3"/>
    </row>
    <row r="40" spans="1:25" x14ac:dyDescent="0.2">
      <c r="A40" s="38" t="str">
        <f>A18</f>
        <v>SWRDF</v>
      </c>
      <c r="B40" s="114" t="s">
        <v>295</v>
      </c>
      <c r="C40" s="361">
        <f>C39</f>
        <v>3817</v>
      </c>
      <c r="D40" s="357" t="s">
        <v>191</v>
      </c>
      <c r="E40" s="412">
        <f>1.07*$C$70</f>
        <v>0.90629000000000004</v>
      </c>
      <c r="F40" s="413">
        <f>C40*E40</f>
        <v>3459.3089300000001</v>
      </c>
      <c r="G40" s="434" t="s">
        <v>262</v>
      </c>
      <c r="H40" s="357" t="s">
        <v>277</v>
      </c>
      <c r="I40" s="357">
        <v>238</v>
      </c>
      <c r="J40" s="3" t="s">
        <v>278</v>
      </c>
      <c r="K40" s="3"/>
      <c r="L40" s="3"/>
      <c r="M40" s="3"/>
      <c r="N40" s="3"/>
      <c r="O40" s="3"/>
      <c r="P40" s="3"/>
      <c r="Q40" s="3"/>
      <c r="R40" s="3"/>
      <c r="S40" s="3"/>
      <c r="T40" s="3"/>
      <c r="U40" s="3"/>
      <c r="V40" s="3"/>
      <c r="W40" s="3"/>
      <c r="X40" s="3"/>
      <c r="Y40" s="3"/>
    </row>
    <row r="41" spans="1:25" x14ac:dyDescent="0.2">
      <c r="A41" s="38" t="str">
        <f>A26</f>
        <v>MTI</v>
      </c>
      <c r="B41" s="325" t="s">
        <v>291</v>
      </c>
      <c r="C41" s="402">
        <v>1647</v>
      </c>
      <c r="D41" s="357" t="s">
        <v>191</v>
      </c>
      <c r="E41" s="412">
        <f>11.05*$C$70</f>
        <v>9.3593500000000009</v>
      </c>
      <c r="F41" s="413">
        <f t="shared" si="5"/>
        <v>15414.849450000002</v>
      </c>
      <c r="G41" s="434" t="s">
        <v>262</v>
      </c>
      <c r="H41" s="357" t="s">
        <v>274</v>
      </c>
      <c r="I41" s="357">
        <v>483</v>
      </c>
      <c r="J41" s="3" t="s">
        <v>275</v>
      </c>
      <c r="K41" s="3"/>
      <c r="L41" s="3"/>
      <c r="M41" s="3"/>
      <c r="N41" s="3"/>
      <c r="O41" s="3"/>
      <c r="P41" s="3"/>
      <c r="Q41" s="3"/>
      <c r="R41" s="3"/>
      <c r="S41" s="3"/>
      <c r="T41" s="3"/>
      <c r="U41" s="3"/>
      <c r="V41" s="3"/>
      <c r="W41" s="3"/>
      <c r="X41" s="3"/>
      <c r="Y41" s="3"/>
    </row>
    <row r="42" spans="1:25" x14ac:dyDescent="0.2">
      <c r="A42" s="38" t="str">
        <f>A41</f>
        <v>MTI</v>
      </c>
      <c r="B42" s="114" t="s">
        <v>292</v>
      </c>
      <c r="C42" s="402">
        <v>9206</v>
      </c>
      <c r="D42" s="357" t="s">
        <v>191</v>
      </c>
      <c r="E42" s="412">
        <f>11.05*$C$70</f>
        <v>9.3593500000000009</v>
      </c>
      <c r="F42" s="413">
        <f t="shared" si="5"/>
        <v>86162.176100000012</v>
      </c>
      <c r="G42" s="434" t="s">
        <v>262</v>
      </c>
      <c r="H42" s="357" t="s">
        <v>274</v>
      </c>
      <c r="I42" s="357">
        <v>483</v>
      </c>
      <c r="J42" s="3" t="s">
        <v>275</v>
      </c>
      <c r="K42" s="3"/>
      <c r="L42" s="3"/>
      <c r="M42" s="3"/>
      <c r="N42" s="3"/>
      <c r="O42" s="3"/>
      <c r="P42" s="3"/>
      <c r="Q42" s="3"/>
      <c r="R42" s="3"/>
      <c r="S42" s="3"/>
      <c r="T42" s="3"/>
      <c r="U42" s="3"/>
      <c r="V42" s="3"/>
      <c r="W42" s="3"/>
      <c r="X42" s="3"/>
      <c r="Y42" s="3"/>
    </row>
    <row r="43" spans="1:25" x14ac:dyDescent="0.2">
      <c r="A43" s="38" t="str">
        <f>A26</f>
        <v>MTI</v>
      </c>
      <c r="B43" s="325" t="s">
        <v>448</v>
      </c>
      <c r="C43" s="361">
        <f>C41+C42</f>
        <v>10853</v>
      </c>
      <c r="D43" s="357" t="s">
        <v>191</v>
      </c>
      <c r="E43" s="412">
        <f>1.07*$C$70</f>
        <v>0.90629000000000004</v>
      </c>
      <c r="F43" s="413">
        <f>C43*E43</f>
        <v>9835.9653699999999</v>
      </c>
      <c r="G43" s="434" t="s">
        <v>262</v>
      </c>
      <c r="H43" s="357" t="s">
        <v>277</v>
      </c>
      <c r="I43" s="357">
        <v>238</v>
      </c>
      <c r="J43" s="3" t="s">
        <v>278</v>
      </c>
      <c r="K43" s="3"/>
      <c r="L43" s="3"/>
      <c r="M43" s="3"/>
      <c r="N43" s="3"/>
      <c r="O43" s="3"/>
      <c r="P43" s="3"/>
      <c r="Q43" s="3"/>
      <c r="R43" s="3"/>
      <c r="S43" s="3"/>
      <c r="T43" s="3"/>
      <c r="U43" s="3"/>
      <c r="V43" s="3"/>
      <c r="W43" s="3"/>
      <c r="X43" s="3"/>
      <c r="Y43" s="3"/>
    </row>
    <row r="44" spans="1:25" x14ac:dyDescent="0.2">
      <c r="A44" s="38" t="str">
        <f>A18</f>
        <v>SWRDF</v>
      </c>
      <c r="B44" s="114" t="s">
        <v>293</v>
      </c>
      <c r="C44" s="402">
        <v>2202</v>
      </c>
      <c r="D44" s="357" t="s">
        <v>191</v>
      </c>
      <c r="E44" s="412">
        <f>11.05*$C$70</f>
        <v>9.3593500000000009</v>
      </c>
      <c r="F44" s="413">
        <f t="shared" si="5"/>
        <v>20609.288700000001</v>
      </c>
      <c r="G44" s="434" t="s">
        <v>262</v>
      </c>
      <c r="H44" s="357" t="s">
        <v>274</v>
      </c>
      <c r="I44" s="357">
        <v>483</v>
      </c>
      <c r="J44" s="3" t="s">
        <v>275</v>
      </c>
      <c r="K44" s="3"/>
      <c r="L44" s="3"/>
      <c r="M44" s="3"/>
      <c r="N44" s="3"/>
      <c r="O44" s="3"/>
      <c r="P44" s="3"/>
      <c r="Q44" s="3"/>
      <c r="R44" s="3"/>
      <c r="S44" s="3"/>
      <c r="T44" s="3"/>
      <c r="U44" s="3"/>
      <c r="V44" s="3"/>
      <c r="W44" s="3"/>
      <c r="X44" s="3"/>
      <c r="Y44" s="3"/>
    </row>
    <row r="45" spans="1:25" x14ac:dyDescent="0.2">
      <c r="A45" s="38" t="str">
        <f>A18</f>
        <v>SWRDF</v>
      </c>
      <c r="B45" s="114" t="s">
        <v>296</v>
      </c>
      <c r="C45" s="361">
        <f>C44</f>
        <v>2202</v>
      </c>
      <c r="D45" s="357" t="s">
        <v>191</v>
      </c>
      <c r="E45" s="412">
        <f>1.07*$C$70</f>
        <v>0.90629000000000004</v>
      </c>
      <c r="F45" s="413">
        <f>C45*E45</f>
        <v>1995.65058</v>
      </c>
      <c r="G45" s="434" t="s">
        <v>262</v>
      </c>
      <c r="H45" s="357" t="s">
        <v>277</v>
      </c>
      <c r="I45" s="357">
        <v>238</v>
      </c>
      <c r="J45" s="3" t="s">
        <v>278</v>
      </c>
      <c r="K45" s="3"/>
      <c r="L45" s="3"/>
      <c r="M45" s="3"/>
      <c r="N45" s="3"/>
      <c r="O45" s="3"/>
      <c r="P45" s="3"/>
      <c r="Q45" s="3"/>
      <c r="R45" s="3"/>
      <c r="S45" s="3"/>
      <c r="T45" s="3"/>
      <c r="U45" s="3"/>
      <c r="V45" s="3"/>
      <c r="W45" s="3"/>
      <c r="X45" s="3"/>
      <c r="Y45" s="3"/>
    </row>
    <row r="46" spans="1:25" x14ac:dyDescent="0.2">
      <c r="A46" s="38" t="str">
        <f>A43</f>
        <v>MTI</v>
      </c>
      <c r="B46" s="114" t="s">
        <v>293</v>
      </c>
      <c r="C46" s="402">
        <v>2248</v>
      </c>
      <c r="D46" s="357" t="s">
        <v>191</v>
      </c>
      <c r="E46" s="412">
        <f>11.05*$C$70</f>
        <v>9.3593500000000009</v>
      </c>
      <c r="F46" s="413">
        <f t="shared" si="5"/>
        <v>21039.818800000001</v>
      </c>
      <c r="G46" s="434" t="s">
        <v>262</v>
      </c>
      <c r="H46" s="357" t="s">
        <v>274</v>
      </c>
      <c r="I46" s="357">
        <v>483</v>
      </c>
      <c r="J46" s="3" t="s">
        <v>275</v>
      </c>
      <c r="K46" s="3"/>
      <c r="L46" s="3"/>
      <c r="M46" s="3"/>
      <c r="N46" s="3"/>
      <c r="O46" s="3"/>
      <c r="P46" s="3"/>
      <c r="Q46" s="3"/>
      <c r="R46" s="3"/>
      <c r="S46" s="3"/>
      <c r="T46" s="3"/>
      <c r="U46" s="3"/>
      <c r="V46" s="3"/>
      <c r="W46" s="3"/>
      <c r="X46" s="3"/>
      <c r="Y46" s="3"/>
    </row>
    <row r="47" spans="1:25" x14ac:dyDescent="0.2">
      <c r="A47" s="38" t="str">
        <f>A26</f>
        <v>MTI</v>
      </c>
      <c r="B47" s="114" t="s">
        <v>296</v>
      </c>
      <c r="C47" s="361">
        <f>C46</f>
        <v>2248</v>
      </c>
      <c r="D47" s="357" t="s">
        <v>191</v>
      </c>
      <c r="E47" s="412">
        <f>1.07*$C$70</f>
        <v>0.90629000000000004</v>
      </c>
      <c r="F47" s="413">
        <f t="shared" si="5"/>
        <v>2037.3399200000001</v>
      </c>
      <c r="G47" s="434" t="s">
        <v>262</v>
      </c>
      <c r="H47" s="357" t="s">
        <v>277</v>
      </c>
      <c r="I47" s="357">
        <v>238</v>
      </c>
      <c r="J47" s="3" t="s">
        <v>278</v>
      </c>
      <c r="K47" s="3"/>
      <c r="L47" s="3"/>
      <c r="M47" s="3"/>
      <c r="N47" s="3"/>
      <c r="O47" s="3"/>
      <c r="P47" s="3"/>
      <c r="Q47" s="3"/>
      <c r="R47" s="3"/>
      <c r="S47" s="3"/>
      <c r="T47" s="3"/>
      <c r="U47" s="3"/>
      <c r="V47" s="3"/>
      <c r="W47" s="3"/>
      <c r="X47" s="3"/>
      <c r="Y47" s="3"/>
    </row>
    <row r="48" spans="1:25" x14ac:dyDescent="0.2">
      <c r="A48" s="38" t="str">
        <f>A18</f>
        <v>SWRDF</v>
      </c>
      <c r="B48" s="114" t="s">
        <v>297</v>
      </c>
      <c r="C48" s="361">
        <f>SUM(C31,C37,C39)</f>
        <v>57799</v>
      </c>
      <c r="D48" s="357" t="s">
        <v>191</v>
      </c>
      <c r="E48" s="412">
        <v>32.33</v>
      </c>
      <c r="F48" s="413">
        <f t="shared" si="5"/>
        <v>1868641.67</v>
      </c>
      <c r="G48" s="434" t="s">
        <v>414</v>
      </c>
      <c r="H48" s="354"/>
      <c r="I48" s="354"/>
      <c r="J48" s="3"/>
      <c r="K48" s="3"/>
      <c r="L48" s="3"/>
      <c r="M48" s="3"/>
      <c r="N48" s="3"/>
      <c r="O48" s="3"/>
      <c r="P48" s="3"/>
      <c r="Q48" s="3"/>
      <c r="R48" s="3"/>
      <c r="S48" s="3"/>
      <c r="T48" s="3"/>
      <c r="U48" s="3"/>
      <c r="V48" s="3"/>
      <c r="W48" s="3"/>
      <c r="X48" s="3"/>
      <c r="Y48" s="3"/>
    </row>
    <row r="49" spans="1:28" x14ac:dyDescent="0.2">
      <c r="A49" s="38" t="str">
        <f>A26</f>
        <v>MTI</v>
      </c>
      <c r="B49" s="114" t="s">
        <v>297</v>
      </c>
      <c r="C49" s="361">
        <f>SUM(C41:C42,C35)</f>
        <v>16671</v>
      </c>
      <c r="D49" s="357" t="s">
        <v>191</v>
      </c>
      <c r="E49" s="412">
        <v>32.33</v>
      </c>
      <c r="F49" s="413">
        <f t="shared" ref="F49:F51" si="6">C49*E49</f>
        <v>538973.42999999993</v>
      </c>
      <c r="G49" s="434" t="s">
        <v>414</v>
      </c>
      <c r="H49" s="354"/>
      <c r="I49" s="354"/>
      <c r="J49" s="3"/>
      <c r="K49" s="3"/>
      <c r="L49" s="3"/>
      <c r="M49" s="3"/>
      <c r="N49" s="3"/>
      <c r="O49" s="3"/>
      <c r="P49" s="3"/>
      <c r="Q49" s="3"/>
      <c r="R49" s="3"/>
      <c r="S49" s="3"/>
      <c r="T49" s="3"/>
      <c r="U49" s="3"/>
      <c r="V49" s="3"/>
      <c r="W49" s="3"/>
      <c r="X49" s="3"/>
      <c r="Y49" s="3"/>
    </row>
    <row r="50" spans="1:28" x14ac:dyDescent="0.2">
      <c r="A50" s="38" t="str">
        <f>A29</f>
        <v>SWRDF</v>
      </c>
      <c r="B50" s="114" t="s">
        <v>298</v>
      </c>
      <c r="C50" s="361">
        <f>SUM(C29,C44)</f>
        <v>11227</v>
      </c>
      <c r="D50" s="357" t="s">
        <v>191</v>
      </c>
      <c r="E50" s="412">
        <f>5.04*$C$70</f>
        <v>4.2688800000000002</v>
      </c>
      <c r="F50" s="413">
        <f t="shared" si="6"/>
        <v>47926.715759999999</v>
      </c>
      <c r="G50" s="436" t="s">
        <v>262</v>
      </c>
      <c r="H50" s="357" t="s">
        <v>299</v>
      </c>
      <c r="I50" s="357">
        <v>302</v>
      </c>
      <c r="J50" s="200" t="s">
        <v>300</v>
      </c>
      <c r="K50" s="3"/>
      <c r="L50" s="3"/>
      <c r="M50" s="3"/>
      <c r="N50" s="3"/>
      <c r="O50" s="3"/>
      <c r="P50" s="3"/>
      <c r="Q50" s="3"/>
      <c r="R50" s="3"/>
      <c r="S50" s="3"/>
      <c r="T50" s="3"/>
      <c r="U50" s="3"/>
      <c r="V50" s="3"/>
      <c r="W50" s="3"/>
      <c r="X50" s="3"/>
      <c r="Y50" s="3"/>
    </row>
    <row r="51" spans="1:28" x14ac:dyDescent="0.2">
      <c r="A51" s="38" t="str">
        <f>A49</f>
        <v>MTI</v>
      </c>
      <c r="B51" s="114" t="s">
        <v>298</v>
      </c>
      <c r="C51" s="361">
        <f>SUM(C46:C46,C33)</f>
        <v>3669</v>
      </c>
      <c r="D51" s="357" t="s">
        <v>191</v>
      </c>
      <c r="E51" s="412">
        <f>5.04*$C$70</f>
        <v>4.2688800000000002</v>
      </c>
      <c r="F51" s="413">
        <f t="shared" si="6"/>
        <v>15662.52072</v>
      </c>
      <c r="G51" s="436" t="s">
        <v>262</v>
      </c>
      <c r="H51" s="357" t="s">
        <v>299</v>
      </c>
      <c r="I51" s="357">
        <v>302</v>
      </c>
      <c r="J51" s="200" t="s">
        <v>300</v>
      </c>
      <c r="K51" s="3"/>
      <c r="L51" s="3"/>
      <c r="M51" s="3"/>
      <c r="N51" s="3"/>
      <c r="O51" s="3"/>
      <c r="P51" s="3"/>
      <c r="Q51" s="3"/>
      <c r="R51" s="3"/>
      <c r="S51" s="3"/>
      <c r="T51" s="3"/>
      <c r="U51" s="3"/>
      <c r="V51" s="3"/>
      <c r="W51" s="3"/>
      <c r="X51" s="3"/>
      <c r="Y51" s="3"/>
    </row>
    <row r="52" spans="1:28" ht="15.75" x14ac:dyDescent="0.25">
      <c r="B52" s="114"/>
      <c r="C52" s="361"/>
      <c r="D52" s="357"/>
      <c r="E52" s="412"/>
      <c r="F52" s="413"/>
      <c r="G52" s="464"/>
      <c r="H52" s="354"/>
      <c r="I52" s="354"/>
      <c r="J52" s="465"/>
      <c r="K52" s="3"/>
      <c r="L52" s="3"/>
      <c r="M52" s="3"/>
      <c r="N52" s="3"/>
      <c r="O52" s="3"/>
      <c r="P52" s="3"/>
      <c r="Q52" s="3"/>
      <c r="R52" s="3"/>
      <c r="S52" s="3"/>
      <c r="T52" s="3"/>
      <c r="U52" s="3"/>
      <c r="V52" s="3"/>
      <c r="W52" s="3"/>
      <c r="X52" s="3"/>
      <c r="Y52" s="3"/>
    </row>
    <row r="53" spans="1:28" ht="18" x14ac:dyDescent="0.25">
      <c r="A53" s="416" t="s">
        <v>306</v>
      </c>
      <c r="B53" s="209"/>
      <c r="C53" s="356"/>
      <c r="D53" s="356"/>
      <c r="E53" s="412"/>
      <c r="F53" s="413"/>
      <c r="G53" s="436"/>
      <c r="H53" s="357"/>
      <c r="I53" s="357"/>
      <c r="J53" s="3"/>
      <c r="K53" s="3"/>
      <c r="L53" s="3"/>
      <c r="M53" s="3"/>
      <c r="N53" s="3"/>
      <c r="O53" s="3"/>
      <c r="P53" s="3"/>
      <c r="Q53" s="3"/>
      <c r="R53" s="3"/>
      <c r="S53" s="3"/>
      <c r="T53" s="3"/>
      <c r="U53" s="3"/>
      <c r="V53" s="3"/>
      <c r="W53" s="3"/>
      <c r="X53" s="3"/>
      <c r="Y53" s="3"/>
      <c r="Z53" s="3"/>
      <c r="AA53" s="3"/>
    </row>
    <row r="54" spans="1:28" x14ac:dyDescent="0.2">
      <c r="A54" s="3" t="s">
        <v>301</v>
      </c>
      <c r="B54" s="3"/>
      <c r="C54" s="361">
        <v>6635</v>
      </c>
      <c r="D54" s="357" t="s">
        <v>285</v>
      </c>
      <c r="E54" s="412">
        <v>2.82</v>
      </c>
      <c r="F54" s="413">
        <f>C54*E54</f>
        <v>18710.7</v>
      </c>
      <c r="G54" s="436" t="s">
        <v>271</v>
      </c>
      <c r="H54" s="436" t="s">
        <v>302</v>
      </c>
      <c r="I54" s="357"/>
      <c r="J54" s="211"/>
      <c r="K54" s="211"/>
      <c r="L54" s="3"/>
      <c r="M54" s="3"/>
      <c r="N54" s="3"/>
      <c r="O54" s="3"/>
      <c r="P54" s="3"/>
      <c r="Q54" s="3"/>
      <c r="R54" s="3"/>
      <c r="S54" s="3"/>
      <c r="T54" s="3"/>
      <c r="U54" s="3"/>
      <c r="V54" s="3"/>
      <c r="W54" s="3"/>
      <c r="X54" s="3"/>
      <c r="Y54" s="3"/>
      <c r="Z54" s="3"/>
      <c r="AA54" s="3"/>
      <c r="AB54" s="3"/>
    </row>
    <row r="55" spans="1:28" x14ac:dyDescent="0.2">
      <c r="A55" s="3" t="s">
        <v>303</v>
      </c>
      <c r="B55" s="3"/>
      <c r="C55" s="361">
        <v>2453</v>
      </c>
      <c r="D55" s="357" t="s">
        <v>285</v>
      </c>
      <c r="E55" s="412">
        <f>24.02*C70</f>
        <v>20.344939999999998</v>
      </c>
      <c r="F55" s="413">
        <f>C55*E55</f>
        <v>49906.137819999996</v>
      </c>
      <c r="G55" s="434" t="s">
        <v>262</v>
      </c>
      <c r="H55" s="418" t="s">
        <v>304</v>
      </c>
      <c r="I55" s="362">
        <v>316</v>
      </c>
      <c r="J55" s="3" t="s">
        <v>305</v>
      </c>
      <c r="L55" s="3"/>
      <c r="M55" s="3"/>
      <c r="N55" s="3"/>
      <c r="O55" s="3"/>
      <c r="P55" s="3"/>
      <c r="Q55" s="3"/>
      <c r="R55" s="3"/>
      <c r="S55" s="3"/>
      <c r="T55" s="3"/>
      <c r="U55" s="3"/>
      <c r="V55" s="3"/>
      <c r="W55" s="3"/>
      <c r="X55" s="3"/>
      <c r="Y55" s="3"/>
      <c r="Z55" s="3"/>
      <c r="AA55" s="3"/>
      <c r="AB55" s="3"/>
    </row>
    <row r="56" spans="1:28" ht="18" x14ac:dyDescent="0.25">
      <c r="A56" s="416" t="s">
        <v>419</v>
      </c>
      <c r="B56" s="209"/>
      <c r="C56" s="356"/>
      <c r="D56" s="356"/>
      <c r="E56" s="412"/>
      <c r="F56" s="413"/>
      <c r="G56" s="436"/>
      <c r="H56" s="357"/>
      <c r="I56" s="357"/>
      <c r="J56" s="3"/>
      <c r="K56" s="3"/>
      <c r="L56" s="3"/>
      <c r="M56" s="3"/>
      <c r="N56" s="3"/>
      <c r="O56" s="3"/>
      <c r="P56" s="3"/>
      <c r="Q56" s="3"/>
      <c r="R56" s="3"/>
      <c r="S56" s="3"/>
      <c r="T56" s="3"/>
      <c r="U56" s="3"/>
      <c r="V56" s="3"/>
      <c r="W56" s="3"/>
      <c r="X56" s="3"/>
      <c r="Y56" s="3"/>
      <c r="Z56" s="3"/>
      <c r="AA56" s="3"/>
    </row>
    <row r="57" spans="1:28" x14ac:dyDescent="0.2">
      <c r="A57" s="3" t="s">
        <v>420</v>
      </c>
      <c r="B57" s="3"/>
      <c r="C57" s="361">
        <v>6670</v>
      </c>
      <c r="D57" s="357" t="s">
        <v>285</v>
      </c>
      <c r="E57" s="412">
        <v>2.82</v>
      </c>
      <c r="F57" s="413">
        <f>C57*E57</f>
        <v>18809.399999999998</v>
      </c>
      <c r="G57" s="436" t="s">
        <v>271</v>
      </c>
      <c r="H57" s="436" t="s">
        <v>302</v>
      </c>
      <c r="I57" s="357"/>
      <c r="J57" s="211"/>
      <c r="K57" s="211"/>
      <c r="L57" s="3"/>
      <c r="M57" s="3"/>
      <c r="N57" s="3"/>
      <c r="O57" s="3"/>
      <c r="P57" s="3"/>
      <c r="Q57" s="3"/>
      <c r="R57" s="3"/>
      <c r="S57" s="3"/>
      <c r="T57" s="3"/>
      <c r="U57" s="3"/>
      <c r="V57" s="3"/>
      <c r="W57" s="3"/>
      <c r="X57" s="3"/>
      <c r="Y57" s="3"/>
      <c r="Z57" s="3"/>
      <c r="AA57" s="3"/>
      <c r="AB57" s="3"/>
    </row>
    <row r="58" spans="1:28" x14ac:dyDescent="0.2">
      <c r="A58" s="3" t="s">
        <v>421</v>
      </c>
      <c r="B58" s="3"/>
      <c r="C58" s="361">
        <v>3286</v>
      </c>
      <c r="D58" s="357" t="s">
        <v>285</v>
      </c>
      <c r="E58" s="412">
        <f>24.02*C70</f>
        <v>20.344939999999998</v>
      </c>
      <c r="F58" s="413">
        <f>C58*E58</f>
        <v>66853.472839999988</v>
      </c>
      <c r="G58" s="434" t="s">
        <v>262</v>
      </c>
      <c r="H58" s="418" t="s">
        <v>304</v>
      </c>
      <c r="I58" s="362">
        <v>316</v>
      </c>
      <c r="J58" s="3" t="s">
        <v>305</v>
      </c>
      <c r="L58" s="3"/>
      <c r="M58" s="3"/>
      <c r="N58" s="3"/>
      <c r="O58" s="3"/>
      <c r="P58" s="3"/>
      <c r="Q58" s="3"/>
      <c r="R58" s="3"/>
      <c r="S58" s="3"/>
      <c r="T58" s="3"/>
      <c r="U58" s="3"/>
      <c r="V58" s="3"/>
      <c r="W58" s="3"/>
      <c r="X58" s="3"/>
      <c r="Y58" s="3"/>
      <c r="Z58" s="3"/>
      <c r="AA58" s="3"/>
      <c r="AB58" s="3"/>
    </row>
    <row r="59" spans="1:28" ht="15.75" customHeight="1" x14ac:dyDescent="0.2">
      <c r="A59" s="38"/>
      <c r="B59" s="114"/>
      <c r="C59" s="70"/>
      <c r="D59" s="3"/>
      <c r="E59" s="80"/>
      <c r="F59" s="207"/>
      <c r="G59" s="3"/>
      <c r="J59" s="3"/>
      <c r="K59" s="3"/>
      <c r="L59" s="3"/>
      <c r="M59" s="3"/>
      <c r="N59" s="3"/>
      <c r="O59" s="3"/>
      <c r="P59" s="3"/>
      <c r="Q59" s="3"/>
      <c r="R59" s="3"/>
      <c r="S59" s="3"/>
      <c r="T59" s="3"/>
      <c r="U59" s="3"/>
      <c r="V59" s="3"/>
      <c r="W59" s="3"/>
      <c r="X59" s="3"/>
      <c r="Y59" s="3"/>
    </row>
    <row r="60" spans="1:28" x14ac:dyDescent="0.2">
      <c r="A60" s="38"/>
      <c r="B60" s="114"/>
      <c r="D60" s="3"/>
      <c r="E60" s="142" t="str">
        <f>A18</f>
        <v>SWRDF</v>
      </c>
      <c r="F60" s="212">
        <f>SUM(F18,F29,F31,F22:F23,F25,F37,F39,F38,F40,F48,F20,F32,F44,F45,F30,F50)</f>
        <v>2783570.9424000005</v>
      </c>
      <c r="G60" s="3"/>
      <c r="J60" s="3"/>
      <c r="K60" s="3"/>
      <c r="L60" s="3"/>
      <c r="M60" s="3"/>
      <c r="N60" s="3"/>
      <c r="O60" s="3"/>
      <c r="P60" s="3"/>
      <c r="Q60" s="3"/>
      <c r="R60" s="3"/>
      <c r="S60" s="3"/>
      <c r="T60" s="3"/>
      <c r="U60" s="3"/>
      <c r="V60" s="3"/>
      <c r="W60" s="3"/>
      <c r="X60" s="3"/>
      <c r="Y60" s="3"/>
    </row>
    <row r="61" spans="1:28" x14ac:dyDescent="0.2">
      <c r="A61" s="38"/>
      <c r="B61" s="114"/>
      <c r="D61" s="3"/>
      <c r="E61" s="142" t="str">
        <f>'14   Reveg'!D50</f>
        <v>Hanover Mountain Deposit</v>
      </c>
      <c r="F61" s="213">
        <f>F58+F57</f>
        <v>85662.872839999982</v>
      </c>
      <c r="G61" s="3"/>
      <c r="J61" s="3"/>
      <c r="K61" s="3"/>
      <c r="L61" s="3"/>
      <c r="M61" s="3"/>
      <c r="N61" s="3"/>
      <c r="O61" s="3"/>
      <c r="P61" s="3"/>
      <c r="Q61" s="3"/>
      <c r="R61" s="3"/>
      <c r="S61" s="3"/>
      <c r="T61" s="3"/>
      <c r="U61" s="3"/>
      <c r="V61" s="3"/>
      <c r="W61" s="3"/>
      <c r="X61" s="3"/>
      <c r="Y61" s="3"/>
    </row>
    <row r="62" spans="1:28" x14ac:dyDescent="0.2">
      <c r="A62" s="38"/>
      <c r="B62" s="14"/>
      <c r="D62" s="3"/>
      <c r="E62" s="142" t="s">
        <v>265</v>
      </c>
      <c r="F62" s="212">
        <f>F15</f>
        <v>7791.114575214342</v>
      </c>
      <c r="G62" s="148"/>
      <c r="H62" s="3"/>
      <c r="I62" s="3"/>
      <c r="J62" s="3"/>
      <c r="K62" s="3"/>
      <c r="L62" s="3"/>
      <c r="M62" s="3"/>
      <c r="N62" s="3"/>
      <c r="O62" s="3"/>
      <c r="P62" s="3"/>
      <c r="Q62" s="3"/>
      <c r="R62" s="3"/>
      <c r="S62" s="3"/>
      <c r="T62" s="3"/>
      <c r="U62" s="3"/>
      <c r="V62" s="3"/>
      <c r="W62" s="3"/>
      <c r="X62" s="3"/>
      <c r="Y62" s="3"/>
    </row>
    <row r="63" spans="1:28" x14ac:dyDescent="0.2">
      <c r="A63" s="38"/>
      <c r="B63" s="14"/>
      <c r="D63" s="3"/>
      <c r="E63" s="142" t="str">
        <f>A26</f>
        <v>MTI</v>
      </c>
      <c r="F63" s="212">
        <f>SUM(F26:F26,F41:F42,F43,F49,F46:F46,F47,F51,F19,F21,F33:F36,F24)</f>
        <v>800562.18831999996</v>
      </c>
      <c r="I63" s="3"/>
      <c r="J63" s="3"/>
      <c r="K63" s="3"/>
      <c r="L63" s="3"/>
      <c r="M63" s="3"/>
      <c r="N63" s="3"/>
      <c r="O63" s="3"/>
      <c r="P63" s="3"/>
      <c r="Q63" s="3"/>
      <c r="R63" s="3"/>
      <c r="S63" s="3"/>
      <c r="T63" s="3"/>
      <c r="U63" s="3"/>
      <c r="V63" s="3"/>
      <c r="W63" s="3"/>
      <c r="X63" s="3"/>
      <c r="Y63" s="3"/>
    </row>
    <row r="64" spans="1:28" ht="15.75" x14ac:dyDescent="0.2">
      <c r="A64" s="38"/>
      <c r="B64" s="14"/>
      <c r="D64" s="3"/>
      <c r="E64" s="142" t="s">
        <v>198</v>
      </c>
      <c r="F64" s="212">
        <f>SUM(F9:F12)</f>
        <v>33978.074130000001</v>
      </c>
      <c r="G64" s="148"/>
      <c r="H64" s="3"/>
      <c r="I64" s="3"/>
      <c r="J64" s="432"/>
      <c r="K64" s="3"/>
      <c r="L64" s="3"/>
      <c r="M64" s="3"/>
      <c r="N64" s="3"/>
      <c r="O64" s="3"/>
      <c r="P64" s="3"/>
      <c r="Q64" s="3"/>
      <c r="R64" s="3"/>
      <c r="S64" s="3"/>
      <c r="T64" s="3"/>
      <c r="U64" s="3"/>
      <c r="V64" s="3"/>
      <c r="W64" s="3"/>
      <c r="X64" s="3"/>
      <c r="Y64" s="3"/>
    </row>
    <row r="65" spans="1:26" ht="15.75" x14ac:dyDescent="0.2">
      <c r="B65" s="14"/>
      <c r="D65" s="3"/>
      <c r="E65" s="142" t="s">
        <v>306</v>
      </c>
      <c r="F65" s="213">
        <f>SUM(F54:F55)</f>
        <v>68616.837820000001</v>
      </c>
      <c r="G65" s="148"/>
      <c r="H65" s="3"/>
      <c r="I65" s="3"/>
      <c r="J65" s="432"/>
      <c r="K65" s="3"/>
      <c r="L65" s="3"/>
      <c r="M65" s="3"/>
      <c r="N65" s="3"/>
      <c r="O65" s="3"/>
      <c r="P65" s="3"/>
      <c r="Q65" s="3"/>
      <c r="R65" s="3"/>
      <c r="S65" s="3"/>
      <c r="T65" s="3"/>
      <c r="U65" s="3"/>
      <c r="V65" s="3"/>
      <c r="W65" s="3"/>
      <c r="X65" s="3"/>
      <c r="Y65" s="3"/>
    </row>
    <row r="66" spans="1:26" ht="15.75" x14ac:dyDescent="0.25">
      <c r="B66" s="14"/>
      <c r="C66" s="145"/>
      <c r="D66" s="3"/>
      <c r="E66" s="145" t="s">
        <v>307</v>
      </c>
      <c r="F66" s="214">
        <f>SUM(F9:F58)</f>
        <v>3780182.0300852135</v>
      </c>
      <c r="G66" s="3"/>
      <c r="H66" s="3"/>
      <c r="I66" s="3"/>
      <c r="J66" s="433"/>
      <c r="K66" s="3"/>
      <c r="L66" s="3"/>
      <c r="M66" s="3"/>
      <c r="N66" s="3"/>
      <c r="O66" s="3"/>
      <c r="P66" s="3"/>
      <c r="Q66" s="3"/>
      <c r="R66" s="3"/>
      <c r="S66" s="3"/>
      <c r="T66" s="3"/>
      <c r="U66" s="3"/>
      <c r="V66" s="3"/>
      <c r="W66" s="3"/>
      <c r="X66" s="3"/>
      <c r="Y66" s="3"/>
    </row>
    <row r="67" spans="1:26" x14ac:dyDescent="0.2">
      <c r="A67" s="3" t="s">
        <v>233</v>
      </c>
      <c r="B67" s="3"/>
      <c r="C67" s="3"/>
      <c r="D67" s="75"/>
      <c r="E67" s="81"/>
      <c r="F67" s="148"/>
      <c r="G67" s="3"/>
      <c r="H67" s="3"/>
      <c r="I67" s="3"/>
      <c r="J67" s="3"/>
      <c r="K67" s="3"/>
      <c r="L67" s="3"/>
      <c r="M67" s="3"/>
      <c r="N67" s="3"/>
      <c r="O67" s="3"/>
      <c r="P67" s="3"/>
      <c r="Q67" s="3"/>
      <c r="R67" s="3"/>
      <c r="S67" s="3"/>
      <c r="T67" s="3"/>
      <c r="U67" s="3"/>
      <c r="V67" s="3"/>
      <c r="W67" s="3"/>
      <c r="X67" s="3"/>
      <c r="Y67" s="3"/>
      <c r="Z67" s="3"/>
    </row>
    <row r="68" spans="1:26" x14ac:dyDescent="0.2">
      <c r="A68" s="4" t="s">
        <v>416</v>
      </c>
      <c r="B68" s="3"/>
      <c r="C68" s="3"/>
      <c r="D68" s="75"/>
      <c r="E68" s="81"/>
      <c r="F68" s="3"/>
      <c r="G68" s="3"/>
      <c r="H68" s="3"/>
      <c r="I68" s="3"/>
      <c r="J68" s="3"/>
      <c r="K68" s="3"/>
      <c r="L68" s="3"/>
      <c r="M68" s="3"/>
      <c r="N68" s="3"/>
      <c r="O68" s="3"/>
      <c r="P68" s="3"/>
      <c r="Q68" s="3"/>
      <c r="R68" s="3"/>
      <c r="S68" s="3"/>
      <c r="T68" s="3"/>
      <c r="U68" s="3"/>
      <c r="V68" s="3"/>
      <c r="W68" s="3"/>
      <c r="X68" s="3"/>
      <c r="Y68" s="3"/>
      <c r="Z68" s="3"/>
    </row>
    <row r="69" spans="1:26" ht="15.75" x14ac:dyDescent="0.25">
      <c r="A69" s="3" t="s">
        <v>308</v>
      </c>
      <c r="B69" s="50"/>
      <c r="C69" s="3"/>
      <c r="D69" s="3"/>
      <c r="E69" s="81"/>
      <c r="F69" s="3"/>
      <c r="G69" s="146"/>
      <c r="H69" s="3"/>
      <c r="I69" s="3"/>
      <c r="J69" s="157"/>
      <c r="K69" s="3"/>
      <c r="L69" s="3"/>
      <c r="M69" s="3"/>
      <c r="N69" s="3"/>
      <c r="O69" s="3"/>
      <c r="P69" s="3"/>
      <c r="Q69" s="3"/>
      <c r="R69" s="3"/>
      <c r="S69" s="3"/>
      <c r="T69" s="3"/>
      <c r="U69" s="3"/>
      <c r="V69" s="3"/>
      <c r="W69" s="3"/>
      <c r="X69" s="3"/>
      <c r="Y69" s="3"/>
      <c r="Z69" s="3"/>
    </row>
    <row r="70" spans="1:26" x14ac:dyDescent="0.2">
      <c r="A70" s="3"/>
      <c r="B70" s="2" t="s">
        <v>309</v>
      </c>
      <c r="C70" s="120">
        <v>0.84699999999999998</v>
      </c>
      <c r="H70" s="50"/>
      <c r="I70" s="215"/>
      <c r="J70" s="216"/>
      <c r="L70" s="3"/>
      <c r="M70" s="3"/>
      <c r="N70" s="3"/>
      <c r="O70" s="3"/>
      <c r="P70" s="3"/>
      <c r="Q70" s="3"/>
      <c r="R70" s="3"/>
      <c r="S70" s="3"/>
      <c r="T70" s="3"/>
      <c r="U70" s="3"/>
      <c r="V70" s="3"/>
      <c r="W70" s="3"/>
      <c r="X70" s="3"/>
      <c r="Y70" s="3"/>
      <c r="Z70" s="3"/>
    </row>
    <row r="71" spans="1:26" x14ac:dyDescent="0.2">
      <c r="A71" s="3"/>
      <c r="B71" s="50"/>
      <c r="C71" s="50"/>
      <c r="D71" s="3"/>
      <c r="E71" s="3"/>
      <c r="H71" s="50"/>
      <c r="I71" s="217"/>
      <c r="J71" s="218"/>
      <c r="L71" s="3"/>
      <c r="M71" s="3"/>
      <c r="N71" s="3"/>
      <c r="O71" s="3"/>
      <c r="P71" s="3"/>
      <c r="Q71" s="3"/>
      <c r="R71" s="3"/>
      <c r="S71" s="3"/>
      <c r="T71" s="3"/>
      <c r="U71" s="3"/>
      <c r="V71" s="3"/>
      <c r="W71" s="3"/>
      <c r="X71" s="3"/>
      <c r="Y71" s="3"/>
      <c r="Z71" s="3"/>
    </row>
    <row r="72" spans="1:26" x14ac:dyDescent="0.2">
      <c r="A72" s="3"/>
      <c r="B72" s="50"/>
      <c r="C72" s="50"/>
      <c r="D72" s="3"/>
      <c r="E72" s="3"/>
      <c r="H72" s="50"/>
      <c r="I72" s="217"/>
      <c r="J72" s="218"/>
      <c r="L72" s="3"/>
      <c r="M72" s="3"/>
      <c r="N72" s="3"/>
      <c r="O72" s="3"/>
      <c r="P72" s="3"/>
      <c r="Q72" s="3"/>
      <c r="R72" s="3"/>
      <c r="S72" s="3"/>
      <c r="T72" s="3"/>
      <c r="U72" s="3"/>
      <c r="V72" s="3"/>
      <c r="W72" s="3"/>
      <c r="X72" s="3"/>
      <c r="Y72" s="3"/>
      <c r="Z72" s="3"/>
    </row>
    <row r="73" spans="1:26" x14ac:dyDescent="0.2">
      <c r="A73" s="3"/>
      <c r="B73" s="50"/>
      <c r="C73" s="50"/>
      <c r="D73" s="50"/>
      <c r="E73" s="50"/>
      <c r="H73" s="50"/>
      <c r="I73" s="217"/>
      <c r="J73" s="218"/>
      <c r="L73" s="204"/>
      <c r="M73" s="3"/>
      <c r="N73" s="3"/>
      <c r="O73" s="3"/>
      <c r="P73" s="3"/>
      <c r="Q73" s="3"/>
      <c r="R73" s="3"/>
      <c r="S73" s="3"/>
      <c r="T73" s="3"/>
      <c r="U73" s="3"/>
      <c r="V73" s="3"/>
      <c r="W73" s="3"/>
      <c r="X73" s="3"/>
      <c r="Y73" s="3"/>
      <c r="Z73" s="3"/>
    </row>
    <row r="74" spans="1:26" x14ac:dyDescent="0.2">
      <c r="A74" s="3"/>
      <c r="B74" s="50"/>
      <c r="C74" s="50"/>
      <c r="D74" s="50"/>
      <c r="E74" s="435" t="s">
        <v>253</v>
      </c>
      <c r="F74" s="219">
        <f>SUM(F60:F65)</f>
        <v>3780182.0300852149</v>
      </c>
      <c r="H74" s="50"/>
      <c r="I74" s="217"/>
      <c r="J74" s="218"/>
      <c r="L74" s="204"/>
      <c r="M74" s="3"/>
      <c r="N74" s="3"/>
      <c r="O74" s="3"/>
      <c r="P74" s="3"/>
      <c r="Q74" s="3"/>
      <c r="R74" s="3"/>
      <c r="S74" s="3"/>
      <c r="T74" s="3"/>
      <c r="U74" s="3"/>
      <c r="V74" s="3"/>
      <c r="W74" s="3"/>
      <c r="X74" s="3"/>
      <c r="Y74" s="3"/>
      <c r="Z74" s="3"/>
    </row>
    <row r="75" spans="1:26" x14ac:dyDescent="0.2">
      <c r="A75" s="3"/>
      <c r="B75" s="50"/>
      <c r="C75" s="50"/>
      <c r="D75" s="3"/>
      <c r="E75" s="3"/>
      <c r="H75" s="460"/>
      <c r="I75" s="217"/>
      <c r="J75" s="218"/>
      <c r="L75" s="3"/>
      <c r="M75" s="3"/>
      <c r="N75" s="3"/>
      <c r="O75" s="3"/>
      <c r="P75" s="3"/>
      <c r="Q75" s="3"/>
      <c r="R75" s="3"/>
      <c r="S75" s="3"/>
      <c r="T75" s="3"/>
      <c r="U75" s="3"/>
      <c r="V75" s="3"/>
      <c r="W75" s="3"/>
      <c r="X75" s="3"/>
      <c r="Y75" s="3"/>
      <c r="Z75" s="3"/>
    </row>
    <row r="76" spans="1:26" x14ac:dyDescent="0.2">
      <c r="A76" s="3"/>
      <c r="B76" s="50"/>
      <c r="C76" s="50"/>
      <c r="D76" s="3"/>
      <c r="E76" s="3"/>
      <c r="H76" s="50"/>
      <c r="I76" s="217"/>
      <c r="J76" s="218"/>
      <c r="L76" s="3"/>
      <c r="M76" s="3"/>
      <c r="N76" s="3"/>
      <c r="O76" s="3"/>
      <c r="P76" s="3"/>
      <c r="Q76" s="3"/>
      <c r="R76" s="3"/>
      <c r="S76" s="3"/>
      <c r="T76" s="3"/>
      <c r="U76" s="3"/>
      <c r="V76" s="3"/>
      <c r="W76" s="3"/>
      <c r="X76" s="3"/>
      <c r="Y76" s="3"/>
      <c r="Z76" s="3"/>
    </row>
    <row r="77" spans="1:26" x14ac:dyDescent="0.2">
      <c r="A77" s="3"/>
      <c r="B77" s="81"/>
      <c r="C77" s="81"/>
      <c r="D77" s="81"/>
      <c r="E77" s="81"/>
      <c r="G77" s="3"/>
      <c r="H77" s="50"/>
      <c r="I77" s="217"/>
      <c r="J77" s="218"/>
      <c r="K77" s="156"/>
      <c r="L77" s="3"/>
      <c r="M77" s="3"/>
      <c r="N77" s="3"/>
      <c r="O77" s="3"/>
      <c r="P77" s="3"/>
      <c r="Q77" s="3"/>
      <c r="R77" s="3"/>
      <c r="S77" s="3"/>
      <c r="T77" s="3"/>
      <c r="U77" s="3"/>
      <c r="V77" s="3"/>
      <c r="W77" s="3"/>
      <c r="X77" s="3"/>
      <c r="Y77" s="3"/>
      <c r="Z77" s="3"/>
    </row>
    <row r="78" spans="1:26" x14ac:dyDescent="0.2">
      <c r="A78" s="3"/>
      <c r="B78" s="81"/>
      <c r="C78" s="81"/>
      <c r="D78" s="81"/>
      <c r="E78" s="81"/>
      <c r="G78" s="3"/>
      <c r="H78" s="50"/>
      <c r="I78" s="217"/>
      <c r="J78" s="218"/>
      <c r="K78" s="156"/>
      <c r="L78" s="3"/>
      <c r="M78" s="3"/>
      <c r="N78" s="3"/>
      <c r="O78" s="3"/>
      <c r="P78" s="3"/>
      <c r="Q78" s="3"/>
      <c r="R78" s="3"/>
      <c r="S78" s="3"/>
      <c r="T78" s="3"/>
      <c r="U78" s="3"/>
      <c r="V78" s="3"/>
      <c r="W78" s="3"/>
      <c r="X78" s="3"/>
      <c r="Y78" s="3"/>
      <c r="Z78" s="3"/>
    </row>
    <row r="79" spans="1:26" x14ac:dyDescent="0.2">
      <c r="A79" s="3"/>
      <c r="B79" s="81"/>
      <c r="C79" s="81"/>
      <c r="D79" s="81"/>
      <c r="E79" s="81"/>
      <c r="G79" s="3"/>
      <c r="H79" s="50"/>
      <c r="I79" s="217"/>
      <c r="J79" s="218"/>
      <c r="K79" s="156"/>
      <c r="L79" s="3"/>
      <c r="M79" s="3"/>
      <c r="N79" s="3"/>
      <c r="O79" s="3"/>
      <c r="P79" s="3"/>
      <c r="Q79" s="3"/>
      <c r="R79" s="3"/>
      <c r="S79" s="3"/>
      <c r="T79" s="3"/>
      <c r="U79" s="3"/>
      <c r="V79" s="3"/>
      <c r="W79" s="3"/>
      <c r="X79" s="3"/>
      <c r="Y79" s="3"/>
      <c r="Z79" s="3"/>
    </row>
    <row r="80" spans="1:26" x14ac:dyDescent="0.2">
      <c r="A80" s="3"/>
      <c r="B80" s="81"/>
      <c r="C80" s="81"/>
      <c r="D80" s="81"/>
      <c r="E80" s="81"/>
      <c r="G80" s="3"/>
      <c r="H80" s="50"/>
      <c r="I80" s="217"/>
      <c r="J80" s="218"/>
      <c r="K80" s="156"/>
      <c r="L80" s="3"/>
      <c r="M80" s="3"/>
      <c r="N80" s="3"/>
      <c r="O80" s="3"/>
      <c r="P80" s="3"/>
      <c r="Q80" s="3"/>
      <c r="R80" s="3"/>
      <c r="S80" s="3"/>
      <c r="T80" s="3"/>
      <c r="U80" s="3"/>
      <c r="V80" s="3"/>
      <c r="W80" s="3"/>
      <c r="X80" s="3"/>
      <c r="Y80" s="3"/>
      <c r="Z80" s="3"/>
    </row>
    <row r="81" spans="1:26" ht="46.5" customHeight="1" x14ac:dyDescent="0.2">
      <c r="A81" s="3"/>
      <c r="B81" s="81"/>
      <c r="C81" s="81"/>
      <c r="D81" s="81"/>
      <c r="E81" s="81"/>
      <c r="G81" s="3"/>
      <c r="H81" s="50"/>
      <c r="I81" s="217"/>
      <c r="J81" s="220"/>
      <c r="K81" s="156"/>
      <c r="L81" s="3"/>
      <c r="M81" s="3"/>
      <c r="N81" s="3"/>
      <c r="O81" s="3"/>
      <c r="P81" s="3"/>
      <c r="Q81" s="3"/>
      <c r="R81" s="3"/>
      <c r="S81" s="3"/>
      <c r="T81" s="3"/>
      <c r="U81" s="3"/>
      <c r="V81" s="3"/>
      <c r="W81" s="3"/>
      <c r="X81" s="3"/>
      <c r="Y81" s="3"/>
      <c r="Z81" s="3"/>
    </row>
    <row r="82" spans="1:26" x14ac:dyDescent="0.2">
      <c r="A82" s="3"/>
      <c r="B82" s="81"/>
      <c r="C82" s="81"/>
      <c r="D82" s="81"/>
      <c r="E82" s="81"/>
      <c r="G82" s="3"/>
      <c r="H82" s="3"/>
      <c r="I82" s="3"/>
      <c r="J82" s="3"/>
      <c r="K82" s="3"/>
      <c r="L82" s="3"/>
      <c r="M82" s="3"/>
      <c r="N82" s="3"/>
      <c r="O82" s="3"/>
      <c r="P82" s="3"/>
      <c r="Q82" s="3"/>
      <c r="R82" s="3"/>
      <c r="S82" s="3"/>
      <c r="T82" s="3"/>
      <c r="U82" s="3"/>
      <c r="V82" s="3"/>
      <c r="W82" s="3"/>
      <c r="X82" s="3"/>
      <c r="Y82" s="3"/>
      <c r="Z82" s="3"/>
    </row>
    <row r="83" spans="1:26" x14ac:dyDescent="0.2">
      <c r="A83" s="3"/>
      <c r="B83" s="81"/>
      <c r="C83" s="81"/>
      <c r="D83" s="81"/>
      <c r="E83" s="81"/>
      <c r="G83" s="3"/>
      <c r="H83" s="3"/>
      <c r="I83" s="3"/>
      <c r="K83" s="3"/>
      <c r="L83" s="3"/>
      <c r="M83" s="3"/>
      <c r="N83" s="3"/>
      <c r="O83" s="3"/>
      <c r="P83" s="3"/>
      <c r="Q83" s="3"/>
      <c r="R83" s="3"/>
      <c r="S83" s="3"/>
      <c r="T83" s="3"/>
      <c r="U83" s="3"/>
      <c r="V83" s="3"/>
      <c r="W83" s="3"/>
      <c r="X83" s="3"/>
      <c r="Y83" s="3"/>
      <c r="Z83" s="3"/>
    </row>
    <row r="84" spans="1:26" x14ac:dyDescent="0.2">
      <c r="A84" s="3"/>
      <c r="B84" s="81"/>
      <c r="C84" s="81"/>
      <c r="D84" s="81"/>
      <c r="E84" s="81"/>
      <c r="G84" s="3"/>
      <c r="H84" s="3"/>
      <c r="I84" s="3"/>
      <c r="J84" s="3"/>
      <c r="K84" s="3"/>
      <c r="L84" s="3"/>
      <c r="M84" s="3"/>
      <c r="N84" s="3"/>
      <c r="O84" s="3"/>
      <c r="P84" s="3"/>
      <c r="Q84" s="3"/>
      <c r="R84" s="3"/>
      <c r="S84" s="3"/>
      <c r="T84" s="3"/>
      <c r="U84" s="3"/>
      <c r="V84" s="3"/>
      <c r="W84" s="3"/>
      <c r="X84" s="3"/>
      <c r="Y84" s="3"/>
      <c r="Z84" s="3"/>
    </row>
    <row r="85" spans="1:26" x14ac:dyDescent="0.2">
      <c r="A85" s="3"/>
      <c r="B85" s="81"/>
      <c r="C85" s="81"/>
      <c r="D85" s="81"/>
      <c r="E85" s="81"/>
      <c r="G85" s="3"/>
      <c r="H85" s="3"/>
      <c r="I85" s="3"/>
      <c r="J85" s="3"/>
      <c r="K85" s="3"/>
      <c r="L85" s="3"/>
      <c r="M85" s="3"/>
      <c r="N85" s="3"/>
      <c r="O85" s="3"/>
      <c r="P85" s="3"/>
      <c r="Q85" s="3"/>
      <c r="R85" s="3"/>
      <c r="S85" s="3"/>
      <c r="T85" s="3"/>
      <c r="U85" s="3"/>
      <c r="V85" s="3"/>
      <c r="W85" s="3"/>
      <c r="X85" s="3"/>
      <c r="Y85" s="3"/>
      <c r="Z85" s="3"/>
    </row>
    <row r="86" spans="1:26" x14ac:dyDescent="0.2">
      <c r="A86" s="50"/>
      <c r="B86" s="81"/>
      <c r="C86" s="81"/>
      <c r="D86" s="81"/>
      <c r="E86" s="81"/>
      <c r="G86" s="3"/>
      <c r="H86" s="3"/>
      <c r="I86" s="199"/>
      <c r="K86" s="3"/>
      <c r="L86" s="3"/>
      <c r="M86" s="3"/>
      <c r="N86" s="3"/>
      <c r="O86" s="3"/>
      <c r="P86" s="3"/>
      <c r="Q86" s="3"/>
      <c r="R86" s="3"/>
      <c r="S86" s="3"/>
      <c r="T86" s="3"/>
      <c r="U86" s="3"/>
      <c r="V86" s="3"/>
      <c r="W86" s="3"/>
      <c r="X86" s="3"/>
      <c r="Y86" s="3"/>
    </row>
    <row r="87" spans="1:26" x14ac:dyDescent="0.2">
      <c r="F87" s="3"/>
      <c r="G87" s="3"/>
      <c r="M87" s="3"/>
      <c r="N87" s="3"/>
      <c r="O87" s="3"/>
      <c r="P87" s="3"/>
      <c r="Q87" s="3"/>
      <c r="R87" s="3"/>
      <c r="S87" s="3"/>
      <c r="T87" s="3"/>
      <c r="U87" s="3"/>
      <c r="V87" s="3"/>
      <c r="W87" s="3"/>
      <c r="X87" s="3"/>
      <c r="Y87" s="3"/>
      <c r="Z87" s="3"/>
    </row>
    <row r="88" spans="1:26" x14ac:dyDescent="0.2">
      <c r="F88" s="3"/>
      <c r="G88" s="3"/>
      <c r="H88" s="3"/>
      <c r="I88" s="3"/>
      <c r="J88" s="3"/>
      <c r="K88" s="3"/>
      <c r="L88" s="3"/>
      <c r="M88" s="3"/>
      <c r="N88" s="3"/>
      <c r="O88" s="3"/>
      <c r="P88" s="3"/>
      <c r="Q88" s="3"/>
      <c r="R88" s="3"/>
      <c r="S88" s="3"/>
      <c r="T88" s="3"/>
      <c r="U88" s="3"/>
      <c r="V88" s="3"/>
      <c r="W88" s="3"/>
      <c r="X88" s="3"/>
      <c r="Y88" s="3"/>
      <c r="Z88" s="3"/>
    </row>
    <row r="89" spans="1:26" x14ac:dyDescent="0.2">
      <c r="F89" s="3"/>
      <c r="G89" s="3"/>
      <c r="H89" s="169"/>
      <c r="I89" s="169"/>
      <c r="J89" s="3"/>
      <c r="K89" s="3"/>
      <c r="L89" s="3"/>
      <c r="M89" s="3"/>
      <c r="N89" s="3"/>
      <c r="O89" s="3"/>
      <c r="P89" s="3"/>
      <c r="Q89" s="3"/>
      <c r="R89" s="3"/>
      <c r="S89" s="3"/>
      <c r="T89" s="3"/>
      <c r="U89" s="3"/>
      <c r="V89" s="3"/>
      <c r="W89" s="3"/>
      <c r="X89" s="3"/>
      <c r="Y89" s="3"/>
      <c r="Z89" s="3"/>
    </row>
    <row r="90" spans="1:26" x14ac:dyDescent="0.2">
      <c r="F90" s="3"/>
      <c r="G90" s="3"/>
      <c r="H90" s="167"/>
      <c r="I90" s="167"/>
      <c r="J90" s="3"/>
      <c r="K90" s="3"/>
      <c r="L90" s="3"/>
      <c r="M90" s="3"/>
      <c r="N90" s="3"/>
      <c r="O90" s="3"/>
      <c r="P90" s="3"/>
      <c r="Q90" s="3"/>
      <c r="R90" s="3"/>
      <c r="S90" s="3"/>
      <c r="T90" s="3"/>
      <c r="U90" s="3"/>
      <c r="V90" s="3"/>
      <c r="W90" s="3"/>
      <c r="X90" s="3"/>
      <c r="Y90" s="3"/>
      <c r="Z90" s="3"/>
    </row>
    <row r="91" spans="1:26" x14ac:dyDescent="0.2">
      <c r="F91" s="3"/>
      <c r="G91" s="3"/>
      <c r="H91" s="167"/>
      <c r="I91" s="167"/>
      <c r="J91" s="3"/>
      <c r="K91" s="3"/>
      <c r="L91" s="3"/>
      <c r="M91" s="3"/>
      <c r="N91" s="3"/>
      <c r="O91" s="3"/>
      <c r="P91" s="3"/>
      <c r="Q91" s="3"/>
      <c r="R91" s="3"/>
      <c r="S91" s="3"/>
      <c r="T91" s="3"/>
      <c r="U91" s="3"/>
      <c r="V91" s="3"/>
      <c r="W91" s="3"/>
      <c r="X91" s="3"/>
      <c r="Y91" s="3"/>
      <c r="Z91" s="3"/>
    </row>
    <row r="92" spans="1:26" x14ac:dyDescent="0.2">
      <c r="F92" s="3"/>
      <c r="G92" s="3"/>
      <c r="H92" s="168"/>
      <c r="I92" s="168"/>
      <c r="J92" s="3"/>
      <c r="K92" s="3"/>
      <c r="L92" s="3"/>
      <c r="M92" s="3"/>
      <c r="N92" s="3"/>
      <c r="O92" s="3"/>
      <c r="P92" s="3"/>
      <c r="Q92" s="3"/>
      <c r="R92" s="3"/>
      <c r="S92" s="3"/>
      <c r="T92" s="3"/>
      <c r="U92" s="3"/>
      <c r="V92" s="3"/>
      <c r="W92" s="3"/>
      <c r="X92" s="3"/>
      <c r="Y92" s="3"/>
      <c r="Z92" s="3"/>
    </row>
    <row r="93" spans="1:26" x14ac:dyDescent="0.2">
      <c r="F93" s="3"/>
      <c r="G93" s="3"/>
      <c r="H93" s="3"/>
      <c r="I93" s="3"/>
      <c r="J93" s="3"/>
      <c r="K93" s="3"/>
      <c r="L93" s="3"/>
      <c r="M93" s="3"/>
      <c r="N93" s="3"/>
      <c r="O93" s="3"/>
      <c r="P93" s="3"/>
      <c r="Q93" s="3"/>
      <c r="R93" s="3"/>
      <c r="S93" s="3"/>
      <c r="T93" s="3"/>
      <c r="U93" s="3"/>
      <c r="V93" s="3"/>
      <c r="W93" s="3"/>
      <c r="X93" s="3"/>
      <c r="Y93" s="3"/>
      <c r="Z93" s="3"/>
    </row>
    <row r="94" spans="1:26" x14ac:dyDescent="0.2">
      <c r="F94" s="3"/>
      <c r="G94" s="3"/>
      <c r="H94" s="3"/>
      <c r="I94" s="3"/>
      <c r="J94" s="3"/>
      <c r="K94" s="3"/>
      <c r="L94" s="3"/>
      <c r="M94" s="3"/>
      <c r="N94" s="3"/>
      <c r="O94" s="3"/>
      <c r="P94" s="3"/>
      <c r="Q94" s="3"/>
      <c r="R94" s="3"/>
      <c r="S94" s="3"/>
      <c r="T94" s="3"/>
      <c r="U94" s="3"/>
      <c r="V94" s="3"/>
      <c r="W94" s="3"/>
      <c r="X94" s="3"/>
      <c r="Y94" s="3"/>
      <c r="Z94" s="3"/>
    </row>
    <row r="95" spans="1:26" x14ac:dyDescent="0.2">
      <c r="F95" s="3"/>
      <c r="G95" s="3"/>
      <c r="H95" s="3"/>
      <c r="I95" s="3"/>
      <c r="J95" s="3"/>
      <c r="K95" s="3"/>
      <c r="L95" s="3"/>
      <c r="M95" s="3"/>
      <c r="N95" s="3"/>
      <c r="O95" s="3"/>
      <c r="P95" s="3"/>
      <c r="Q95" s="3"/>
      <c r="R95" s="3"/>
      <c r="S95" s="3"/>
      <c r="T95" s="3"/>
      <c r="U95" s="3"/>
      <c r="V95" s="3"/>
      <c r="W95" s="3"/>
      <c r="X95" s="3"/>
      <c r="Y95" s="3"/>
      <c r="Z95" s="3"/>
    </row>
    <row r="96" spans="1:26" x14ac:dyDescent="0.2">
      <c r="F96" s="3"/>
      <c r="G96" s="3"/>
      <c r="H96" s="3"/>
      <c r="I96" s="3"/>
      <c r="J96" s="3"/>
      <c r="K96" s="3"/>
      <c r="L96" s="3"/>
      <c r="M96" s="3"/>
      <c r="N96" s="3"/>
      <c r="O96" s="3"/>
      <c r="P96" s="3"/>
      <c r="Q96" s="3"/>
      <c r="R96" s="3"/>
      <c r="S96" s="3"/>
      <c r="T96" s="3"/>
      <c r="U96" s="3"/>
      <c r="V96" s="3"/>
      <c r="W96" s="3"/>
      <c r="X96" s="3"/>
      <c r="Y96" s="3"/>
      <c r="Z96" s="3"/>
    </row>
    <row r="97" spans="1:26" x14ac:dyDescent="0.2">
      <c r="F97" s="3"/>
      <c r="G97" s="3"/>
      <c r="H97" s="3"/>
      <c r="I97" s="3"/>
      <c r="J97" s="3"/>
      <c r="K97" s="3"/>
      <c r="L97" s="3"/>
      <c r="M97" s="3"/>
      <c r="N97" s="3"/>
      <c r="O97" s="3"/>
      <c r="P97" s="3"/>
      <c r="Q97" s="3"/>
      <c r="R97" s="3"/>
      <c r="S97" s="3"/>
      <c r="T97" s="3"/>
      <c r="U97" s="3"/>
      <c r="V97" s="3"/>
      <c r="W97" s="3"/>
      <c r="X97" s="3"/>
      <c r="Y97" s="3"/>
      <c r="Z97" s="3"/>
    </row>
    <row r="98" spans="1:26" x14ac:dyDescent="0.2">
      <c r="F98" s="3"/>
      <c r="G98" s="3"/>
      <c r="H98" s="3"/>
      <c r="I98" s="3"/>
      <c r="J98" s="3"/>
      <c r="K98" s="3"/>
      <c r="L98" s="3"/>
      <c r="M98" s="3"/>
      <c r="N98" s="3"/>
      <c r="O98" s="3"/>
      <c r="P98" s="3"/>
      <c r="Q98" s="3"/>
      <c r="R98" s="3"/>
      <c r="S98" s="3"/>
      <c r="T98" s="3"/>
      <c r="U98" s="3"/>
      <c r="V98" s="3"/>
      <c r="W98" s="3"/>
      <c r="X98" s="3"/>
      <c r="Y98" s="3"/>
      <c r="Z98" s="3"/>
    </row>
    <row r="99" spans="1:26" x14ac:dyDescent="0.2">
      <c r="F99" s="3"/>
      <c r="G99" s="3"/>
      <c r="H99" s="3"/>
      <c r="I99" s="3"/>
      <c r="J99" s="3"/>
      <c r="K99" s="3"/>
      <c r="L99" s="3"/>
      <c r="M99" s="3"/>
      <c r="N99" s="3"/>
      <c r="O99" s="3"/>
      <c r="P99" s="3"/>
      <c r="Q99" s="3"/>
      <c r="R99" s="3"/>
      <c r="S99" s="3"/>
      <c r="T99" s="3"/>
      <c r="U99" s="3"/>
      <c r="V99" s="3"/>
      <c r="W99" s="3"/>
      <c r="X99" s="3"/>
      <c r="Y99" s="3"/>
      <c r="Z99" s="3"/>
    </row>
    <row r="100" spans="1:26" x14ac:dyDescent="0.2">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81"/>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81"/>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3"/>
      <c r="C103" s="3"/>
      <c r="D103" s="3"/>
      <c r="E103" s="81"/>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3"/>
      <c r="C104" s="3"/>
      <c r="D104" s="3"/>
      <c r="E104" s="81"/>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3"/>
      <c r="C105" s="3"/>
      <c r="D105" s="3"/>
      <c r="E105" s="81"/>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3"/>
      <c r="C106" s="3"/>
      <c r="D106" s="3"/>
      <c r="E106" s="81"/>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3"/>
      <c r="C107" s="3"/>
      <c r="D107" s="3"/>
      <c r="E107" s="81"/>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3"/>
      <c r="C108" s="3"/>
      <c r="D108" s="3"/>
      <c r="E108" s="81"/>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3"/>
      <c r="C109" s="3"/>
      <c r="D109" s="3"/>
      <c r="E109" s="81"/>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3"/>
      <c r="C110" s="3"/>
      <c r="D110" s="3"/>
      <c r="E110" s="81"/>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3"/>
      <c r="C111" s="3"/>
      <c r="D111" s="3"/>
      <c r="E111" s="81"/>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3"/>
      <c r="C112" s="3"/>
      <c r="D112" s="3"/>
      <c r="E112" s="81"/>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3"/>
      <c r="C113" s="3"/>
      <c r="D113" s="3"/>
      <c r="E113" s="81"/>
      <c r="F113" s="3"/>
      <c r="G113" s="3"/>
      <c r="H113" s="3"/>
      <c r="I113" s="3"/>
      <c r="J113" s="3"/>
      <c r="K113" s="3"/>
      <c r="L113" s="3"/>
      <c r="M113" s="3"/>
      <c r="N113" s="3"/>
      <c r="O113" s="3"/>
      <c r="P113" s="3"/>
      <c r="Q113" s="3"/>
      <c r="R113" s="3"/>
      <c r="S113" s="3"/>
      <c r="T113" s="3"/>
      <c r="U113" s="3"/>
      <c r="V113" s="3"/>
      <c r="W113" s="3"/>
      <c r="X113" s="3"/>
      <c r="Y113" s="3"/>
      <c r="Z113" s="3"/>
    </row>
    <row r="114" spans="1:26" x14ac:dyDescent="0.2">
      <c r="H114" s="3"/>
      <c r="I114" s="3"/>
      <c r="J114" s="3"/>
      <c r="K114" s="3"/>
      <c r="L114" s="3"/>
      <c r="M114" s="3"/>
      <c r="N114" s="3"/>
      <c r="O114" s="3"/>
      <c r="P114" s="3"/>
      <c r="Q114" s="3"/>
      <c r="R114" s="3"/>
      <c r="S114" s="3"/>
      <c r="T114" s="3"/>
      <c r="U114" s="3"/>
      <c r="V114" s="3"/>
      <c r="W114" s="3"/>
      <c r="X114" s="3"/>
      <c r="Y114" s="3"/>
      <c r="Z114" s="3"/>
    </row>
    <row r="115" spans="1:26" x14ac:dyDescent="0.2">
      <c r="H115" s="3"/>
      <c r="I115" s="3"/>
      <c r="J115" s="3"/>
      <c r="K115" s="3"/>
      <c r="L115" s="3"/>
      <c r="M115" s="3"/>
    </row>
  </sheetData>
  <mergeCells count="1">
    <mergeCell ref="H15:J15"/>
  </mergeCells>
  <printOptions horizontalCentered="1"/>
  <pageMargins left="0.35" right="0.3" top="0.5" bottom="0.8" header="0.5" footer="0.5"/>
  <pageSetup scale="38" pageOrder="overThenDown" orientation="landscape" r:id="rId1"/>
  <headerFooter alignWithMargins="0">
    <oddFooter>&amp;L
&amp;C&amp;F
&amp;   Stockpile Sheet 15 
&amp;
Page &amp;P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X123"/>
  <sheetViews>
    <sheetView defaultGridColor="0" view="pageBreakPreview" colorId="22" zoomScale="85" zoomScaleNormal="80" zoomScaleSheetLayoutView="85" workbookViewId="0">
      <selection activeCell="A16" sqref="A16"/>
    </sheetView>
  </sheetViews>
  <sheetFormatPr defaultColWidth="9.77734375" defaultRowHeight="15" x14ac:dyDescent="0.2"/>
  <cols>
    <col min="1" max="1" width="18.5546875" style="4" customWidth="1"/>
    <col min="2" max="2" width="31.88671875" style="4" customWidth="1"/>
    <col min="3" max="3" width="9.6640625" style="4" customWidth="1"/>
    <col min="4" max="4" width="14.6640625" style="4" customWidth="1"/>
    <col min="5" max="5" width="10.6640625" style="4" customWidth="1"/>
    <col min="6" max="6" width="18" style="4" customWidth="1"/>
    <col min="7" max="7" width="11.5546875" style="4" bestFit="1" customWidth="1"/>
    <col min="8" max="8" width="11.109375" style="4" customWidth="1"/>
    <col min="9" max="10" width="9.88671875" style="4" bestFit="1" customWidth="1"/>
    <col min="11" max="11" width="10.44140625" style="4" bestFit="1" customWidth="1"/>
    <col min="12" max="16384" width="9.77734375" style="4"/>
  </cols>
  <sheetData>
    <row r="1" spans="1:19" ht="13.9" customHeight="1" x14ac:dyDescent="0.2">
      <c r="A1" s="43"/>
      <c r="B1" s="43"/>
      <c r="C1" s="3"/>
      <c r="D1" s="3"/>
      <c r="E1" s="60" t="str">
        <f>'1 General'!$C$1</f>
        <v>Cobre</v>
      </c>
      <c r="F1" s="3"/>
      <c r="G1" s="221"/>
      <c r="H1" s="221"/>
      <c r="I1" s="221"/>
      <c r="J1" s="221"/>
      <c r="K1" s="221"/>
    </row>
    <row r="2" spans="1:19" ht="18" x14ac:dyDescent="0.25">
      <c r="A2" s="437"/>
      <c r="B2" s="43"/>
      <c r="C2" s="43"/>
      <c r="D2" s="3"/>
      <c r="E2" s="222" t="s">
        <v>310</v>
      </c>
      <c r="F2" s="3"/>
      <c r="G2" s="221"/>
      <c r="H2" s="221"/>
      <c r="I2" s="221"/>
      <c r="J2" s="221"/>
      <c r="K2" s="221"/>
    </row>
    <row r="3" spans="1:19" x14ac:dyDescent="0.2">
      <c r="A3" s="223" t="s">
        <v>311</v>
      </c>
      <c r="B3" s="43"/>
      <c r="C3" s="43"/>
      <c r="D3" s="3"/>
      <c r="E3" s="420">
        <f>'1 General'!$C$3</f>
        <v>41978</v>
      </c>
      <c r="F3" s="3"/>
      <c r="G3" s="221"/>
      <c r="H3" s="221"/>
      <c r="I3" s="221"/>
      <c r="J3" s="221"/>
      <c r="K3" s="221"/>
    </row>
    <row r="4" spans="1:19" x14ac:dyDescent="0.2">
      <c r="A4" s="223"/>
      <c r="B4" s="43"/>
      <c r="C4" s="43"/>
      <c r="D4" s="79"/>
      <c r="E4" s="3"/>
      <c r="F4" s="168"/>
      <c r="G4" s="221"/>
      <c r="H4" s="221"/>
      <c r="I4" s="221"/>
      <c r="J4" s="221"/>
      <c r="K4" s="221"/>
    </row>
    <row r="5" spans="1:19" ht="18.75" x14ac:dyDescent="0.3">
      <c r="A5" s="36" t="s">
        <v>4</v>
      </c>
      <c r="B5" s="43"/>
      <c r="C5" s="14"/>
      <c r="D5" s="225"/>
      <c r="E5" s="476"/>
      <c r="F5" s="3"/>
      <c r="G5" s="221"/>
      <c r="H5" s="221"/>
      <c r="I5" s="221"/>
      <c r="J5" s="221"/>
      <c r="K5" s="221"/>
    </row>
    <row r="6" spans="1:19" x14ac:dyDescent="0.2">
      <c r="A6" s="42" t="s">
        <v>452</v>
      </c>
      <c r="B6" s="43"/>
      <c r="C6" s="3"/>
      <c r="D6" s="226"/>
      <c r="E6" s="476"/>
      <c r="F6" s="476"/>
      <c r="G6" s="221"/>
      <c r="H6" s="221"/>
      <c r="I6" s="221"/>
      <c r="J6" s="221"/>
      <c r="K6" s="227"/>
    </row>
    <row r="7" spans="1:19" x14ac:dyDescent="0.2">
      <c r="A7" s="4" t="str">
        <f>'1 General'!A20</f>
        <v>Based on Projected EOY 2019 Mine Plan</v>
      </c>
      <c r="B7" s="168"/>
      <c r="C7" s="3"/>
      <c r="D7" s="221" t="s">
        <v>312</v>
      </c>
      <c r="E7" s="476"/>
      <c r="F7" s="476"/>
      <c r="G7" s="221"/>
      <c r="H7" s="221"/>
      <c r="I7" s="221"/>
      <c r="J7" s="221"/>
      <c r="K7" s="227"/>
    </row>
    <row r="8" spans="1:19" x14ac:dyDescent="0.2">
      <c r="A8" s="228" t="s">
        <v>313</v>
      </c>
      <c r="B8" s="168" t="s">
        <v>314</v>
      </c>
      <c r="C8" s="168"/>
      <c r="D8" s="421" t="s">
        <v>26</v>
      </c>
      <c r="E8" s="229"/>
      <c r="F8" s="168"/>
      <c r="G8" s="230"/>
      <c r="H8" s="230"/>
      <c r="I8" s="230"/>
      <c r="J8" s="230"/>
      <c r="K8" s="230"/>
    </row>
    <row r="9" spans="1:19" x14ac:dyDescent="0.2">
      <c r="A9" s="3"/>
      <c r="B9" s="168" t="s">
        <v>315</v>
      </c>
      <c r="C9" s="168"/>
      <c r="D9" s="231">
        <f>'13   EarthSum'!K147</f>
        <v>8260311.9161403971</v>
      </c>
      <c r="E9" s="229"/>
      <c r="F9" s="168"/>
      <c r="G9" s="230"/>
      <c r="H9" s="230"/>
      <c r="I9" s="230"/>
      <c r="J9" s="230"/>
      <c r="K9" s="230"/>
      <c r="M9" s="232"/>
    </row>
    <row r="10" spans="1:19" x14ac:dyDescent="0.2">
      <c r="A10" s="3"/>
      <c r="B10" s="168" t="s">
        <v>316</v>
      </c>
      <c r="C10" s="346"/>
      <c r="D10" s="231">
        <f>'14   Reveg'!E58</f>
        <v>771760.46017380909</v>
      </c>
      <c r="E10" s="229"/>
      <c r="F10" s="168"/>
      <c r="G10" s="233"/>
      <c r="H10" s="233"/>
      <c r="I10" s="233"/>
      <c r="J10" s="233"/>
      <c r="K10" s="233"/>
      <c r="M10" s="232"/>
    </row>
    <row r="11" spans="1:19" x14ac:dyDescent="0.2">
      <c r="A11" s="168"/>
      <c r="B11" s="168" t="s">
        <v>41</v>
      </c>
      <c r="C11" s="168"/>
      <c r="D11" s="231">
        <f>'15   Other'!F66</f>
        <v>3780182.0300852135</v>
      </c>
      <c r="E11" s="229"/>
      <c r="F11" s="168"/>
      <c r="G11" s="233"/>
      <c r="H11" s="233"/>
      <c r="I11" s="233"/>
      <c r="J11" s="233"/>
      <c r="K11" s="233"/>
      <c r="M11" s="232"/>
      <c r="N11" s="232"/>
    </row>
    <row r="12" spans="1:19" x14ac:dyDescent="0.2">
      <c r="A12" s="168"/>
      <c r="B12" s="234" t="s">
        <v>317</v>
      </c>
      <c r="C12" s="235"/>
      <c r="D12" s="236">
        <f>SUM(D8:D11)</f>
        <v>12812254.40639942</v>
      </c>
      <c r="E12" s="229"/>
      <c r="F12" s="168"/>
      <c r="G12" s="233"/>
      <c r="H12" s="233"/>
      <c r="I12" s="233"/>
      <c r="J12" s="233"/>
      <c r="K12" s="233"/>
      <c r="M12" s="232"/>
      <c r="N12" s="232"/>
      <c r="O12" s="232"/>
    </row>
    <row r="13" spans="1:19" x14ac:dyDescent="0.2">
      <c r="A13" s="168"/>
      <c r="B13" s="168"/>
      <c r="C13" s="237"/>
      <c r="D13" s="168"/>
      <c r="E13" s="238"/>
      <c r="F13" s="168"/>
      <c r="G13" s="233"/>
      <c r="H13" s="233"/>
      <c r="I13" s="233"/>
      <c r="J13" s="233"/>
      <c r="K13" s="233"/>
      <c r="M13" s="232"/>
      <c r="N13" s="232"/>
      <c r="O13" s="232"/>
      <c r="P13" s="232"/>
    </row>
    <row r="14" spans="1:19" x14ac:dyDescent="0.2">
      <c r="A14" s="228" t="s">
        <v>318</v>
      </c>
      <c r="B14" s="168" t="s">
        <v>319</v>
      </c>
      <c r="C14" s="244">
        <v>3.7999999999999999E-2</v>
      </c>
      <c r="D14" s="239">
        <f t="shared" ref="D14:D19" si="0">C14*$D$12</f>
        <v>486865.66744317795</v>
      </c>
      <c r="E14" s="231"/>
      <c r="F14" s="168"/>
      <c r="G14" s="233"/>
      <c r="H14" s="233"/>
      <c r="I14" s="233"/>
      <c r="J14" s="233"/>
      <c r="K14" s="233"/>
      <c r="M14" s="232"/>
      <c r="N14" s="232"/>
      <c r="O14" s="232"/>
      <c r="P14" s="232"/>
      <c r="Q14" s="232"/>
    </row>
    <row r="15" spans="1:19" ht="12" customHeight="1" x14ac:dyDescent="0.2">
      <c r="A15" s="168"/>
      <c r="B15" s="168" t="s">
        <v>320</v>
      </c>
      <c r="C15" s="244">
        <v>0.04</v>
      </c>
      <c r="D15" s="231">
        <f t="shared" si="0"/>
        <v>512490.17625597678</v>
      </c>
      <c r="E15" s="231"/>
      <c r="F15" s="168"/>
      <c r="G15" s="233"/>
      <c r="H15" s="233"/>
      <c r="I15" s="233"/>
      <c r="J15" s="233"/>
      <c r="K15" s="233"/>
      <c r="M15" s="232"/>
      <c r="N15" s="232"/>
      <c r="O15" s="232"/>
      <c r="P15" s="232"/>
      <c r="Q15" s="232"/>
      <c r="R15" s="232"/>
    </row>
    <row r="16" spans="1:19" ht="12" customHeight="1" x14ac:dyDescent="0.2">
      <c r="A16" s="168"/>
      <c r="B16" s="168" t="s">
        <v>321</v>
      </c>
      <c r="C16" s="244">
        <v>2.5000000000000001E-2</v>
      </c>
      <c r="D16" s="231">
        <f t="shared" si="0"/>
        <v>320306.36015998549</v>
      </c>
      <c r="E16" s="231"/>
      <c r="F16" s="168"/>
      <c r="G16" s="233"/>
      <c r="H16" s="233"/>
      <c r="I16" s="233"/>
      <c r="J16" s="233"/>
      <c r="K16" s="233"/>
      <c r="M16" s="232"/>
      <c r="N16" s="232"/>
      <c r="O16" s="232"/>
      <c r="P16" s="232"/>
      <c r="Q16" s="232"/>
      <c r="R16" s="232"/>
      <c r="S16" s="232"/>
    </row>
    <row r="17" spans="1:24" ht="19.5" customHeight="1" x14ac:dyDescent="0.2">
      <c r="A17" s="168"/>
      <c r="B17" s="168" t="s">
        <v>322</v>
      </c>
      <c r="C17" s="244">
        <v>0.15</v>
      </c>
      <c r="D17" s="231">
        <f t="shared" si="0"/>
        <v>1921838.1609599129</v>
      </c>
      <c r="E17" s="231"/>
      <c r="F17" s="168"/>
      <c r="G17" s="233"/>
      <c r="H17" s="233"/>
      <c r="I17" s="233"/>
      <c r="J17" s="233"/>
      <c r="K17" s="233"/>
      <c r="M17" s="232"/>
      <c r="N17" s="232"/>
      <c r="O17" s="232"/>
      <c r="P17" s="232"/>
      <c r="Q17" s="232"/>
      <c r="R17" s="232"/>
      <c r="S17" s="232"/>
      <c r="T17" s="232"/>
    </row>
    <row r="18" spans="1:24" ht="12" customHeight="1" x14ac:dyDescent="0.2">
      <c r="A18" s="168"/>
      <c r="B18" s="168" t="s">
        <v>323</v>
      </c>
      <c r="C18" s="244">
        <v>0.03</v>
      </c>
      <c r="D18" s="231">
        <f t="shared" si="0"/>
        <v>384367.63219198259</v>
      </c>
      <c r="E18" s="231"/>
      <c r="F18" s="168"/>
      <c r="G18" s="233"/>
      <c r="H18" s="233"/>
      <c r="I18" s="233"/>
      <c r="J18" s="233"/>
      <c r="K18" s="233"/>
      <c r="M18" s="232"/>
      <c r="N18" s="232"/>
      <c r="O18" s="232"/>
      <c r="P18" s="232"/>
      <c r="Q18" s="232"/>
      <c r="R18" s="232"/>
      <c r="S18" s="232"/>
      <c r="T18" s="232"/>
      <c r="U18" s="232"/>
    </row>
    <row r="19" spans="1:24" ht="12" customHeight="1" x14ac:dyDescent="0.2">
      <c r="A19" s="168"/>
      <c r="B19" s="168" t="s">
        <v>324</v>
      </c>
      <c r="C19" s="244">
        <v>0</v>
      </c>
      <c r="D19" s="231">
        <f t="shared" si="0"/>
        <v>0</v>
      </c>
      <c r="E19" s="231"/>
      <c r="F19" s="168"/>
      <c r="G19" s="233"/>
      <c r="H19" s="233"/>
      <c r="I19" s="233"/>
      <c r="J19" s="233"/>
      <c r="K19" s="233"/>
      <c r="M19" s="232"/>
      <c r="N19" s="232"/>
      <c r="O19" s="232"/>
      <c r="P19" s="232"/>
      <c r="Q19" s="232"/>
      <c r="R19" s="232"/>
      <c r="S19" s="232"/>
      <c r="T19" s="232"/>
      <c r="U19" s="232"/>
      <c r="V19" s="232"/>
    </row>
    <row r="20" spans="1:24" ht="12" customHeight="1" x14ac:dyDescent="0.2">
      <c r="A20" s="3"/>
      <c r="B20" s="221" t="s">
        <v>325</v>
      </c>
      <c r="C20" s="240">
        <f>SUM(C14:C19)</f>
        <v>0.28300000000000003</v>
      </c>
      <c r="D20" s="3"/>
      <c r="E20" s="238"/>
      <c r="F20" s="168"/>
      <c r="G20" s="233"/>
      <c r="H20" s="233"/>
      <c r="I20" s="233"/>
      <c r="J20" s="233"/>
      <c r="K20" s="233"/>
      <c r="M20" s="232"/>
      <c r="N20" s="232"/>
      <c r="O20" s="232"/>
      <c r="P20" s="232"/>
      <c r="Q20" s="232"/>
      <c r="R20" s="232"/>
      <c r="S20" s="232"/>
      <c r="T20" s="232"/>
      <c r="U20" s="232"/>
      <c r="V20" s="232"/>
      <c r="W20" s="232"/>
    </row>
    <row r="21" spans="1:24" ht="12" customHeight="1" x14ac:dyDescent="0.2">
      <c r="A21" s="3"/>
      <c r="B21" s="234" t="s">
        <v>326</v>
      </c>
      <c r="C21" s="240"/>
      <c r="D21" s="236">
        <f>SUM(D14:D20)</f>
        <v>3625867.9970110357</v>
      </c>
      <c r="E21" s="238"/>
      <c r="F21" s="168"/>
      <c r="G21" s="233"/>
      <c r="H21" s="233"/>
      <c r="I21" s="233"/>
      <c r="J21" s="233"/>
      <c r="K21" s="233"/>
      <c r="M21" s="232"/>
      <c r="N21" s="232"/>
      <c r="O21" s="232"/>
      <c r="P21" s="232"/>
      <c r="Q21" s="232"/>
      <c r="R21" s="232"/>
      <c r="S21" s="232"/>
      <c r="T21" s="232"/>
      <c r="U21" s="232"/>
      <c r="V21" s="232"/>
      <c r="W21" s="232"/>
      <c r="X21" s="232"/>
    </row>
    <row r="22" spans="1:24" ht="12" customHeight="1" x14ac:dyDescent="0.2">
      <c r="A22" s="3"/>
      <c r="B22" s="234"/>
      <c r="C22" s="240"/>
      <c r="D22" s="3"/>
      <c r="E22" s="238"/>
      <c r="F22" s="168"/>
      <c r="G22" s="233"/>
      <c r="H22" s="233"/>
      <c r="I22" s="3"/>
      <c r="J22" s="233"/>
      <c r="K22" s="233"/>
      <c r="M22" s="232"/>
      <c r="N22" s="232"/>
      <c r="O22" s="232"/>
      <c r="P22" s="232"/>
      <c r="Q22" s="232"/>
      <c r="R22" s="232"/>
      <c r="S22" s="232"/>
      <c r="T22" s="232"/>
      <c r="U22" s="232"/>
      <c r="V22" s="232"/>
      <c r="W22" s="232"/>
      <c r="X22" s="232"/>
    </row>
    <row r="23" spans="1:24" x14ac:dyDescent="0.2">
      <c r="A23" s="228"/>
      <c r="B23" s="168"/>
      <c r="C23" s="241"/>
      <c r="D23" s="242"/>
      <c r="E23" s="231"/>
      <c r="F23" s="168"/>
      <c r="G23" s="3"/>
      <c r="H23" s="3"/>
      <c r="I23" s="3"/>
      <c r="J23" s="233"/>
      <c r="K23" s="3"/>
      <c r="N23" s="232"/>
      <c r="O23" s="232"/>
      <c r="P23" s="232"/>
      <c r="Q23" s="232"/>
      <c r="R23" s="232"/>
      <c r="S23" s="232"/>
      <c r="T23" s="232"/>
      <c r="U23" s="232"/>
      <c r="V23" s="232"/>
      <c r="W23" s="232"/>
      <c r="X23" s="232"/>
    </row>
    <row r="24" spans="1:24" x14ac:dyDescent="0.2">
      <c r="A24" s="168"/>
      <c r="B24" s="243"/>
      <c r="C24" s="168"/>
      <c r="D24" s="168"/>
      <c r="E24" s="168"/>
      <c r="F24" s="168"/>
      <c r="G24" s="233"/>
      <c r="H24" s="233"/>
      <c r="I24" s="233"/>
      <c r="J24" s="233"/>
      <c r="K24" s="233"/>
      <c r="O24" s="232"/>
      <c r="P24" s="232"/>
      <c r="Q24" s="232"/>
      <c r="R24" s="232"/>
      <c r="S24" s="232"/>
      <c r="T24" s="232"/>
      <c r="U24" s="232"/>
      <c r="V24" s="232"/>
      <c r="W24" s="232"/>
      <c r="X24" s="232"/>
    </row>
    <row r="25" spans="1:24" x14ac:dyDescent="0.2">
      <c r="A25" s="168"/>
      <c r="B25" s="243"/>
      <c r="C25" s="168"/>
      <c r="D25" s="168"/>
      <c r="E25" s="168"/>
      <c r="F25" s="168"/>
      <c r="G25" s="233"/>
      <c r="H25" s="233"/>
      <c r="I25" s="233"/>
      <c r="J25" s="233"/>
      <c r="K25" s="233"/>
      <c r="P25" s="232"/>
      <c r="Q25" s="232"/>
      <c r="R25" s="232"/>
      <c r="S25" s="232"/>
      <c r="T25" s="232"/>
      <c r="U25" s="232"/>
      <c r="V25" s="232"/>
      <c r="W25" s="232"/>
      <c r="X25" s="232"/>
    </row>
    <row r="26" spans="1:24" x14ac:dyDescent="0.2">
      <c r="A26" s="228" t="s">
        <v>327</v>
      </c>
      <c r="B26" s="168"/>
      <c r="C26" s="244"/>
      <c r="D26" s="242">
        <f>D12+D21</f>
        <v>16438122.403410455</v>
      </c>
      <c r="E26" s="242"/>
      <c r="F26" s="229"/>
      <c r="G26" s="233"/>
      <c r="H26" s="233"/>
      <c r="I26" s="233"/>
      <c r="J26" s="233"/>
      <c r="K26" s="233"/>
      <c r="Q26" s="232"/>
      <c r="R26" s="232"/>
      <c r="S26" s="232"/>
      <c r="T26" s="232"/>
      <c r="U26" s="232"/>
      <c r="V26" s="232"/>
      <c r="W26" s="232"/>
      <c r="X26" s="232"/>
    </row>
    <row r="27" spans="1:24" x14ac:dyDescent="0.2">
      <c r="A27" s="168"/>
      <c r="B27" s="243"/>
      <c r="C27" s="168"/>
      <c r="D27" s="168"/>
      <c r="E27" s="168"/>
      <c r="F27" s="168"/>
      <c r="G27" s="233"/>
      <c r="H27" s="233"/>
      <c r="I27" s="233"/>
      <c r="J27" s="233"/>
      <c r="K27" s="233"/>
      <c r="R27" s="232"/>
      <c r="S27" s="232"/>
      <c r="T27" s="232"/>
      <c r="U27" s="232"/>
      <c r="V27" s="232"/>
      <c r="W27" s="232"/>
      <c r="X27" s="232"/>
    </row>
    <row r="28" spans="1:24" x14ac:dyDescent="0.2">
      <c r="A28" s="168" t="s">
        <v>328</v>
      </c>
      <c r="B28" s="168"/>
      <c r="C28" s="168"/>
      <c r="D28" s="168"/>
      <c r="E28" s="168"/>
      <c r="F28" s="168"/>
      <c r="G28" s="233"/>
      <c r="H28" s="233"/>
      <c r="I28" s="233"/>
      <c r="J28" s="233"/>
      <c r="K28" s="233"/>
      <c r="S28" s="232"/>
      <c r="T28" s="232"/>
      <c r="U28" s="232"/>
      <c r="V28" s="232"/>
      <c r="W28" s="232"/>
      <c r="X28" s="232"/>
    </row>
    <row r="29" spans="1:24" x14ac:dyDescent="0.2">
      <c r="A29" s="168" t="s">
        <v>329</v>
      </c>
      <c r="B29" s="168"/>
      <c r="C29" s="168"/>
      <c r="D29" s="168"/>
      <c r="E29" s="168"/>
      <c r="F29" s="245"/>
      <c r="G29" s="233"/>
      <c r="H29" s="233"/>
      <c r="I29" s="233"/>
      <c r="J29" s="233"/>
      <c r="K29" s="233"/>
      <c r="T29" s="232"/>
      <c r="U29" s="232"/>
      <c r="V29" s="232"/>
      <c r="W29" s="232"/>
      <c r="X29" s="232"/>
    </row>
    <row r="30" spans="1:24" x14ac:dyDescent="0.2">
      <c r="A30" s="168" t="s">
        <v>330</v>
      </c>
      <c r="B30" s="168"/>
      <c r="C30" s="168"/>
      <c r="D30" s="168"/>
      <c r="E30" s="168"/>
      <c r="F30" s="168"/>
      <c r="G30" s="233"/>
      <c r="H30" s="233"/>
      <c r="I30" s="233"/>
      <c r="J30" s="233"/>
      <c r="K30" s="233"/>
      <c r="U30" s="232"/>
      <c r="V30" s="232"/>
      <c r="W30" s="232"/>
      <c r="X30" s="232"/>
    </row>
    <row r="31" spans="1:24" x14ac:dyDescent="0.2">
      <c r="A31" s="168" t="s">
        <v>331</v>
      </c>
      <c r="B31" s="168"/>
      <c r="C31" s="168"/>
      <c r="D31" s="168"/>
      <c r="E31" s="168"/>
      <c r="F31" s="168"/>
      <c r="G31" s="233"/>
      <c r="H31" s="233"/>
      <c r="I31" s="3"/>
      <c r="J31" s="233"/>
      <c r="K31" s="233"/>
      <c r="V31" s="232"/>
      <c r="W31" s="232"/>
      <c r="X31" s="232"/>
    </row>
    <row r="32" spans="1:24" x14ac:dyDescent="0.2">
      <c r="A32" s="168" t="s">
        <v>332</v>
      </c>
      <c r="B32" s="168"/>
      <c r="C32" s="168"/>
      <c r="D32" s="168"/>
      <c r="E32" s="3"/>
      <c r="F32" s="168"/>
      <c r="G32" s="3"/>
      <c r="H32" s="3"/>
      <c r="I32" s="3"/>
      <c r="J32" s="233"/>
      <c r="K32" s="3"/>
      <c r="W32" s="232"/>
      <c r="X32" s="232"/>
    </row>
    <row r="33" spans="1:24" x14ac:dyDescent="0.2">
      <c r="A33" s="168"/>
      <c r="B33" s="168"/>
      <c r="C33" s="168"/>
      <c r="D33" s="168"/>
      <c r="E33" s="3"/>
      <c r="F33" s="168"/>
      <c r="G33" s="3"/>
      <c r="H33" s="3"/>
      <c r="I33" s="3"/>
      <c r="J33" s="233"/>
      <c r="K33" s="3"/>
      <c r="X33" s="232"/>
    </row>
    <row r="34" spans="1:24" x14ac:dyDescent="0.2">
      <c r="A34" s="168" t="s">
        <v>333</v>
      </c>
      <c r="B34" s="168"/>
      <c r="C34" s="168"/>
      <c r="D34" s="168"/>
      <c r="E34" s="168"/>
      <c r="F34" s="168"/>
      <c r="G34" s="3"/>
      <c r="H34" s="3"/>
      <c r="I34" s="3"/>
      <c r="J34" s="233"/>
      <c r="K34" s="3"/>
    </row>
    <row r="35" spans="1:24" x14ac:dyDescent="0.2">
      <c r="A35" s="230" t="s">
        <v>334</v>
      </c>
      <c r="B35" s="247" t="s">
        <v>335</v>
      </c>
      <c r="C35" s="3"/>
      <c r="D35" s="246"/>
      <c r="E35" s="3"/>
      <c r="F35" s="168"/>
      <c r="G35" s="3"/>
      <c r="H35" s="3"/>
      <c r="I35" s="3"/>
      <c r="J35" s="233"/>
      <c r="K35" s="3"/>
    </row>
    <row r="36" spans="1:24" x14ac:dyDescent="0.2">
      <c r="A36" s="230"/>
      <c r="B36" s="168"/>
      <c r="C36" s="168"/>
      <c r="D36" s="246"/>
      <c r="E36" s="3"/>
      <c r="F36" s="168"/>
      <c r="G36" s="3"/>
      <c r="H36" s="3"/>
      <c r="I36" s="3"/>
      <c r="J36" s="3"/>
      <c r="K36" s="3"/>
    </row>
    <row r="37" spans="1:24" x14ac:dyDescent="0.2">
      <c r="A37" s="230"/>
      <c r="B37" s="247"/>
      <c r="C37" s="168"/>
      <c r="D37" s="246"/>
      <c r="E37" s="3"/>
      <c r="F37" s="3"/>
      <c r="G37" s="3"/>
      <c r="H37" s="3"/>
      <c r="I37" s="3"/>
      <c r="J37" s="3"/>
      <c r="K37" s="3"/>
    </row>
    <row r="38" spans="1:24" x14ac:dyDescent="0.2">
      <c r="B38" s="247"/>
      <c r="C38" s="210"/>
      <c r="D38" s="210"/>
      <c r="E38" s="210"/>
      <c r="F38" s="3"/>
      <c r="G38" s="238"/>
      <c r="H38" s="238"/>
      <c r="I38" s="238"/>
      <c r="J38" s="238"/>
      <c r="K38" s="238"/>
    </row>
    <row r="39" spans="1:24" x14ac:dyDescent="0.2">
      <c r="B39" s="247"/>
      <c r="C39" s="3"/>
      <c r="D39" s="3"/>
      <c r="E39" s="3"/>
      <c r="F39" s="3"/>
      <c r="G39" s="238"/>
      <c r="H39" s="238"/>
      <c r="I39" s="238"/>
      <c r="J39" s="238"/>
      <c r="K39" s="238"/>
    </row>
    <row r="40" spans="1:24" x14ac:dyDescent="0.2">
      <c r="B40" s="247"/>
      <c r="C40" s="3"/>
      <c r="D40" s="3"/>
      <c r="E40" s="3"/>
      <c r="F40" s="3"/>
      <c r="G40" s="3"/>
      <c r="H40" s="3"/>
      <c r="I40" s="168"/>
      <c r="J40" s="3"/>
      <c r="K40" s="229"/>
    </row>
    <row r="41" spans="1:24" x14ac:dyDescent="0.2">
      <c r="B41" s="247"/>
      <c r="C41" s="3"/>
      <c r="D41" s="3"/>
      <c r="E41" s="3"/>
      <c r="F41" s="3"/>
      <c r="G41" s="3"/>
      <c r="H41" s="3"/>
      <c r="I41" s="168"/>
      <c r="J41" s="3"/>
      <c r="K41" s="238"/>
    </row>
    <row r="42" spans="1:24" x14ac:dyDescent="0.2">
      <c r="B42" s="247"/>
      <c r="C42" s="3"/>
      <c r="D42" s="3"/>
      <c r="E42" s="3"/>
      <c r="F42" s="3"/>
      <c r="G42" s="3"/>
      <c r="H42" s="3"/>
      <c r="I42" s="3"/>
      <c r="J42" s="3"/>
      <c r="K42" s="3"/>
    </row>
    <row r="43" spans="1:24" x14ac:dyDescent="0.2">
      <c r="A43" s="3"/>
      <c r="B43" s="247"/>
      <c r="C43" s="3"/>
      <c r="D43" s="3"/>
      <c r="E43" s="3"/>
      <c r="F43" s="3"/>
      <c r="G43" s="3"/>
      <c r="H43" s="3"/>
      <c r="I43" s="3"/>
      <c r="J43" s="3"/>
      <c r="K43" s="3"/>
    </row>
    <row r="44" spans="1:24" x14ac:dyDescent="0.2">
      <c r="A44" s="168"/>
      <c r="B44" s="247"/>
      <c r="C44" s="168"/>
      <c r="D44" s="3"/>
      <c r="E44" s="3"/>
      <c r="F44" s="3"/>
      <c r="G44" s="3"/>
      <c r="H44" s="3"/>
      <c r="I44" s="3"/>
      <c r="J44" s="3"/>
      <c r="K44" s="3"/>
    </row>
    <row r="45" spans="1:24" x14ac:dyDescent="0.2">
      <c r="A45" s="230"/>
      <c r="B45" s="247"/>
      <c r="C45" s="168"/>
      <c r="D45" s="3"/>
      <c r="E45" s="3"/>
      <c r="F45" s="3"/>
      <c r="G45" s="3"/>
      <c r="H45" s="3"/>
      <c r="I45" s="3"/>
      <c r="J45" s="3"/>
      <c r="K45" s="3"/>
    </row>
    <row r="46" spans="1:24" x14ac:dyDescent="0.2">
      <c r="A46" s="3"/>
      <c r="B46" s="247"/>
      <c r="C46" s="168"/>
      <c r="D46" s="3"/>
      <c r="E46" s="3"/>
      <c r="F46" s="3"/>
      <c r="G46" s="3"/>
      <c r="H46" s="3"/>
      <c r="I46" s="3"/>
      <c r="J46" s="3"/>
      <c r="K46" s="3"/>
    </row>
    <row r="47" spans="1:24" x14ac:dyDescent="0.2">
      <c r="A47" s="3"/>
      <c r="B47" s="247"/>
      <c r="C47" s="168"/>
      <c r="D47" s="168"/>
      <c r="E47" s="3"/>
      <c r="F47" s="3"/>
      <c r="G47" s="3"/>
      <c r="H47" s="3"/>
      <c r="I47" s="3"/>
      <c r="J47" s="3"/>
      <c r="K47" s="3"/>
    </row>
    <row r="48" spans="1:24" x14ac:dyDescent="0.2">
      <c r="B48" s="247"/>
      <c r="C48" s="168"/>
      <c r="D48" s="168"/>
      <c r="E48" s="3"/>
      <c r="F48" s="3"/>
      <c r="G48" s="3"/>
      <c r="H48" s="3"/>
      <c r="I48" s="3"/>
      <c r="J48" s="3"/>
      <c r="K48" s="3"/>
    </row>
    <row r="49" spans="1:11" x14ac:dyDescent="0.2">
      <c r="C49" s="168"/>
      <c r="D49" s="168"/>
      <c r="E49" s="3"/>
      <c r="F49" s="3"/>
      <c r="G49" s="3"/>
      <c r="H49" s="3"/>
      <c r="I49" s="3"/>
      <c r="J49" s="3"/>
      <c r="K49" s="3"/>
    </row>
    <row r="50" spans="1:11" x14ac:dyDescent="0.2">
      <c r="C50" s="168"/>
      <c r="D50" s="168"/>
      <c r="E50" s="3"/>
      <c r="F50" s="3"/>
      <c r="G50" s="3"/>
      <c r="H50" s="3"/>
      <c r="I50" s="3"/>
      <c r="J50" s="3"/>
      <c r="K50" s="3"/>
    </row>
    <row r="51" spans="1:11" x14ac:dyDescent="0.2">
      <c r="C51" s="3"/>
      <c r="D51" s="3"/>
      <c r="E51" s="3"/>
      <c r="F51" s="3"/>
      <c r="G51" s="3"/>
      <c r="H51" s="3"/>
      <c r="I51" s="3"/>
      <c r="J51" s="3"/>
      <c r="K51" s="3"/>
    </row>
    <row r="52" spans="1:11" x14ac:dyDescent="0.2">
      <c r="A52" s="167"/>
      <c r="B52" s="167"/>
      <c r="C52" s="167"/>
      <c r="D52" s="167"/>
    </row>
    <row r="53" spans="1:11" x14ac:dyDescent="0.2">
      <c r="A53" s="167"/>
      <c r="B53" s="167"/>
      <c r="C53" s="167"/>
      <c r="D53" s="167"/>
    </row>
    <row r="54" spans="1:11" x14ac:dyDescent="0.2">
      <c r="A54" s="167"/>
      <c r="B54" s="167"/>
      <c r="C54" s="167"/>
      <c r="D54" s="167"/>
    </row>
    <row r="55" spans="1:11" x14ac:dyDescent="0.2">
      <c r="A55" s="167"/>
      <c r="B55" s="167"/>
      <c r="C55" s="167"/>
      <c r="D55" s="167"/>
    </row>
    <row r="56" spans="1:11" x14ac:dyDescent="0.2">
      <c r="A56" s="167"/>
      <c r="B56" s="167"/>
      <c r="C56" s="167"/>
      <c r="D56" s="167"/>
    </row>
    <row r="57" spans="1:11" x14ac:dyDescent="0.2">
      <c r="A57" s="167"/>
      <c r="B57" s="167"/>
      <c r="C57" s="167"/>
      <c r="D57" s="167"/>
    </row>
    <row r="58" spans="1:11" x14ac:dyDescent="0.2">
      <c r="A58" s="167"/>
      <c r="B58" s="167"/>
      <c r="C58" s="167"/>
      <c r="D58" s="167"/>
    </row>
    <row r="59" spans="1:11" x14ac:dyDescent="0.2">
      <c r="A59" s="167"/>
      <c r="B59" s="167"/>
      <c r="C59" s="167"/>
      <c r="D59" s="167"/>
    </row>
    <row r="60" spans="1:11" x14ac:dyDescent="0.2">
      <c r="A60" s="167"/>
      <c r="B60" s="167"/>
      <c r="C60" s="167"/>
      <c r="D60" s="167"/>
    </row>
    <row r="61" spans="1:11" x14ac:dyDescent="0.2">
      <c r="A61" s="167"/>
      <c r="B61" s="167"/>
      <c r="C61" s="167"/>
      <c r="D61" s="167"/>
    </row>
    <row r="62" spans="1:11" x14ac:dyDescent="0.2">
      <c r="A62" s="167"/>
      <c r="B62" s="167"/>
      <c r="C62" s="167"/>
      <c r="D62" s="167"/>
    </row>
    <row r="63" spans="1:11" x14ac:dyDescent="0.2">
      <c r="A63" s="167"/>
      <c r="B63" s="167"/>
      <c r="C63" s="167"/>
      <c r="D63" s="167"/>
    </row>
    <row r="64" spans="1:11" x14ac:dyDescent="0.2">
      <c r="A64" s="167"/>
      <c r="B64" s="167"/>
      <c r="C64" s="167"/>
      <c r="D64" s="167"/>
    </row>
    <row r="65" spans="1:4" x14ac:dyDescent="0.2">
      <c r="A65" s="167"/>
      <c r="B65" s="167"/>
      <c r="C65" s="167"/>
      <c r="D65" s="167"/>
    </row>
    <row r="66" spans="1:4" x14ac:dyDescent="0.2">
      <c r="A66" s="167"/>
      <c r="B66" s="167"/>
      <c r="C66" s="167"/>
      <c r="D66" s="167"/>
    </row>
    <row r="67" spans="1:4" x14ac:dyDescent="0.2">
      <c r="A67" s="167"/>
      <c r="B67" s="167"/>
      <c r="C67" s="167"/>
      <c r="D67" s="167"/>
    </row>
    <row r="68" spans="1:4" x14ac:dyDescent="0.2">
      <c r="A68" s="167"/>
      <c r="B68" s="167"/>
      <c r="C68" s="167"/>
      <c r="D68" s="167"/>
    </row>
    <row r="69" spans="1:4" x14ac:dyDescent="0.2">
      <c r="A69" s="167"/>
      <c r="B69" s="167"/>
      <c r="C69" s="167"/>
      <c r="D69" s="167"/>
    </row>
    <row r="70" spans="1:4" x14ac:dyDescent="0.2">
      <c r="A70" s="167"/>
      <c r="B70" s="167"/>
      <c r="C70" s="167"/>
      <c r="D70" s="167"/>
    </row>
    <row r="71" spans="1:4" x14ac:dyDescent="0.2">
      <c r="A71" s="167"/>
      <c r="B71" s="167"/>
      <c r="C71" s="167"/>
      <c r="D71" s="167"/>
    </row>
    <row r="72" spans="1:4" x14ac:dyDescent="0.2">
      <c r="A72" s="167"/>
      <c r="B72" s="167"/>
      <c r="C72" s="167"/>
      <c r="D72" s="167"/>
    </row>
    <row r="73" spans="1:4" x14ac:dyDescent="0.2">
      <c r="A73" s="167"/>
      <c r="B73" s="167"/>
      <c r="C73" s="167"/>
      <c r="D73" s="167"/>
    </row>
    <row r="74" spans="1:4" x14ac:dyDescent="0.2">
      <c r="A74" s="167"/>
      <c r="B74" s="167"/>
      <c r="C74" s="167"/>
      <c r="D74" s="167"/>
    </row>
    <row r="75" spans="1:4" x14ac:dyDescent="0.2">
      <c r="A75" s="167"/>
      <c r="B75" s="167"/>
      <c r="C75" s="167"/>
      <c r="D75" s="167"/>
    </row>
    <row r="76" spans="1:4" x14ac:dyDescent="0.2">
      <c r="A76" s="167"/>
      <c r="B76" s="167"/>
      <c r="C76" s="167"/>
      <c r="D76" s="167"/>
    </row>
    <row r="77" spans="1:4" x14ac:dyDescent="0.2">
      <c r="A77" s="167"/>
      <c r="B77" s="167"/>
      <c r="C77" s="167"/>
      <c r="D77" s="167"/>
    </row>
    <row r="78" spans="1:4" x14ac:dyDescent="0.2">
      <c r="A78" s="167"/>
      <c r="B78" s="167"/>
      <c r="C78" s="167"/>
      <c r="D78" s="167"/>
    </row>
    <row r="79" spans="1:4" x14ac:dyDescent="0.2">
      <c r="A79" s="167"/>
      <c r="B79" s="167"/>
      <c r="C79" s="167"/>
      <c r="D79" s="167"/>
    </row>
    <row r="80" spans="1:4" x14ac:dyDescent="0.2">
      <c r="A80" s="167"/>
      <c r="B80" s="167"/>
      <c r="C80" s="167"/>
      <c r="D80" s="167"/>
    </row>
    <row r="81" spans="1:4" x14ac:dyDescent="0.2">
      <c r="A81" s="167"/>
      <c r="B81" s="167"/>
      <c r="C81" s="167"/>
      <c r="D81" s="167"/>
    </row>
    <row r="82" spans="1:4" x14ac:dyDescent="0.2">
      <c r="A82" s="167"/>
      <c r="B82" s="167"/>
      <c r="C82" s="167"/>
      <c r="D82" s="167"/>
    </row>
    <row r="83" spans="1:4" x14ac:dyDescent="0.2">
      <c r="A83" s="167"/>
      <c r="B83" s="167"/>
      <c r="C83" s="167"/>
      <c r="D83" s="167"/>
    </row>
    <row r="84" spans="1:4" x14ac:dyDescent="0.2">
      <c r="A84" s="167"/>
      <c r="B84" s="167"/>
      <c r="C84" s="167"/>
      <c r="D84" s="167"/>
    </row>
    <row r="85" spans="1:4" x14ac:dyDescent="0.2">
      <c r="A85" s="167"/>
      <c r="B85" s="167"/>
      <c r="C85" s="167"/>
      <c r="D85" s="167"/>
    </row>
    <row r="86" spans="1:4" x14ac:dyDescent="0.2">
      <c r="A86" s="167"/>
      <c r="B86" s="167"/>
      <c r="C86" s="167"/>
      <c r="D86" s="167"/>
    </row>
    <row r="87" spans="1:4" x14ac:dyDescent="0.2">
      <c r="A87" s="167"/>
      <c r="B87" s="167"/>
      <c r="C87" s="167"/>
      <c r="D87" s="167"/>
    </row>
    <row r="88" spans="1:4" x14ac:dyDescent="0.2">
      <c r="A88" s="167"/>
      <c r="B88" s="167"/>
      <c r="C88" s="167"/>
      <c r="D88" s="167"/>
    </row>
    <row r="89" spans="1:4" x14ac:dyDescent="0.2">
      <c r="A89" s="167"/>
      <c r="B89" s="167"/>
      <c r="C89" s="167"/>
      <c r="D89" s="167"/>
    </row>
    <row r="90" spans="1:4" x14ac:dyDescent="0.2">
      <c r="A90" s="167"/>
      <c r="B90" s="167"/>
      <c r="C90" s="167"/>
      <c r="D90" s="167"/>
    </row>
    <row r="91" spans="1:4" x14ac:dyDescent="0.2">
      <c r="A91" s="167"/>
      <c r="B91" s="167"/>
      <c r="C91" s="167"/>
      <c r="D91" s="167"/>
    </row>
    <row r="92" spans="1:4" x14ac:dyDescent="0.2">
      <c r="A92" s="167"/>
      <c r="B92" s="167"/>
      <c r="C92" s="167"/>
      <c r="D92" s="167"/>
    </row>
    <row r="93" spans="1:4" x14ac:dyDescent="0.2">
      <c r="A93" s="167"/>
      <c r="B93" s="167"/>
      <c r="C93" s="167"/>
      <c r="D93" s="167"/>
    </row>
    <row r="94" spans="1:4" x14ac:dyDescent="0.2">
      <c r="A94" s="167"/>
      <c r="B94" s="167"/>
      <c r="C94" s="167"/>
      <c r="D94" s="167"/>
    </row>
    <row r="95" spans="1:4" x14ac:dyDescent="0.2">
      <c r="A95" s="167"/>
      <c r="B95" s="167"/>
      <c r="C95" s="167"/>
      <c r="D95" s="167"/>
    </row>
    <row r="96" spans="1:4" x14ac:dyDescent="0.2">
      <c r="A96" s="167"/>
      <c r="B96" s="167"/>
      <c r="C96" s="167"/>
      <c r="D96" s="167"/>
    </row>
    <row r="97" spans="1:4" x14ac:dyDescent="0.2">
      <c r="A97" s="167"/>
      <c r="B97" s="167"/>
      <c r="C97" s="167"/>
      <c r="D97" s="167"/>
    </row>
    <row r="98" spans="1:4" x14ac:dyDescent="0.2">
      <c r="A98" s="167"/>
      <c r="B98" s="167"/>
      <c r="C98" s="167"/>
      <c r="D98" s="167"/>
    </row>
    <row r="99" spans="1:4" x14ac:dyDescent="0.2">
      <c r="A99" s="167"/>
      <c r="B99" s="167"/>
      <c r="C99" s="167"/>
      <c r="D99" s="167"/>
    </row>
    <row r="100" spans="1:4" x14ac:dyDescent="0.2">
      <c r="A100" s="167"/>
      <c r="B100" s="167"/>
      <c r="C100" s="167"/>
      <c r="D100" s="167"/>
    </row>
    <row r="101" spans="1:4" x14ac:dyDescent="0.2">
      <c r="A101" s="167"/>
      <c r="B101" s="167"/>
      <c r="C101" s="167"/>
      <c r="D101" s="167"/>
    </row>
    <row r="102" spans="1:4" x14ac:dyDescent="0.2">
      <c r="A102" s="167"/>
      <c r="B102" s="167"/>
      <c r="C102" s="167"/>
      <c r="D102" s="167"/>
    </row>
    <row r="103" spans="1:4" x14ac:dyDescent="0.2">
      <c r="A103" s="167"/>
      <c r="B103" s="167"/>
      <c r="C103" s="167"/>
      <c r="D103" s="167"/>
    </row>
    <row r="104" spans="1:4" x14ac:dyDescent="0.2">
      <c r="A104" s="167"/>
      <c r="B104" s="167"/>
      <c r="C104" s="167"/>
      <c r="D104" s="167"/>
    </row>
    <row r="105" spans="1:4" x14ac:dyDescent="0.2">
      <c r="A105" s="167"/>
      <c r="B105" s="167"/>
      <c r="C105" s="167"/>
      <c r="D105" s="167"/>
    </row>
    <row r="106" spans="1:4" x14ac:dyDescent="0.2">
      <c r="A106" s="167"/>
      <c r="B106" s="167"/>
      <c r="C106" s="167"/>
      <c r="D106" s="167"/>
    </row>
    <row r="107" spans="1:4" x14ac:dyDescent="0.2">
      <c r="A107" s="167"/>
      <c r="B107" s="167"/>
      <c r="C107" s="167"/>
      <c r="D107" s="167"/>
    </row>
    <row r="108" spans="1:4" x14ac:dyDescent="0.2">
      <c r="A108" s="167"/>
      <c r="B108" s="167"/>
      <c r="C108" s="167"/>
      <c r="D108" s="167"/>
    </row>
    <row r="109" spans="1:4" x14ac:dyDescent="0.2">
      <c r="A109" s="167"/>
      <c r="B109" s="167"/>
      <c r="C109" s="167"/>
      <c r="D109" s="167"/>
    </row>
    <row r="110" spans="1:4" x14ac:dyDescent="0.2">
      <c r="A110" s="167"/>
      <c r="B110" s="167"/>
      <c r="C110" s="167"/>
      <c r="D110" s="167"/>
    </row>
    <row r="111" spans="1:4" x14ac:dyDescent="0.2">
      <c r="A111" s="167"/>
      <c r="B111" s="167"/>
      <c r="C111" s="167"/>
      <c r="D111" s="167"/>
    </row>
    <row r="112" spans="1:4" x14ac:dyDescent="0.2">
      <c r="A112" s="167"/>
      <c r="B112" s="167"/>
      <c r="C112" s="167"/>
      <c r="D112" s="167"/>
    </row>
    <row r="113" spans="1:4" x14ac:dyDescent="0.2">
      <c r="A113" s="167"/>
      <c r="B113" s="167"/>
      <c r="C113" s="167"/>
      <c r="D113" s="167"/>
    </row>
    <row r="114" spans="1:4" x14ac:dyDescent="0.2">
      <c r="A114" s="167"/>
      <c r="B114" s="167"/>
      <c r="C114" s="167"/>
      <c r="D114" s="167"/>
    </row>
    <row r="115" spans="1:4" x14ac:dyDescent="0.2">
      <c r="A115" s="167"/>
      <c r="B115" s="167"/>
      <c r="C115" s="167"/>
      <c r="D115" s="167"/>
    </row>
    <row r="116" spans="1:4" x14ac:dyDescent="0.2">
      <c r="A116" s="167"/>
      <c r="B116" s="167"/>
      <c r="C116" s="167"/>
      <c r="D116" s="167"/>
    </row>
    <row r="117" spans="1:4" x14ac:dyDescent="0.2">
      <c r="A117" s="167"/>
      <c r="B117" s="167"/>
      <c r="C117" s="167"/>
      <c r="D117" s="167"/>
    </row>
    <row r="118" spans="1:4" x14ac:dyDescent="0.2">
      <c r="A118" s="167"/>
      <c r="B118" s="167"/>
      <c r="C118" s="167"/>
      <c r="D118" s="167"/>
    </row>
    <row r="119" spans="1:4" x14ac:dyDescent="0.2">
      <c r="A119" s="167"/>
      <c r="B119" s="167"/>
      <c r="C119" s="167"/>
      <c r="D119" s="167"/>
    </row>
    <row r="120" spans="1:4" x14ac:dyDescent="0.2">
      <c r="A120" s="167"/>
      <c r="B120" s="167"/>
      <c r="C120" s="167"/>
      <c r="D120" s="167"/>
    </row>
    <row r="121" spans="1:4" x14ac:dyDescent="0.2">
      <c r="A121" s="167"/>
      <c r="B121" s="167"/>
      <c r="C121" s="167"/>
      <c r="D121" s="167"/>
    </row>
    <row r="122" spans="1:4" x14ac:dyDescent="0.2">
      <c r="A122" s="167"/>
      <c r="B122" s="167"/>
      <c r="C122" s="167"/>
      <c r="D122" s="167"/>
    </row>
    <row r="123" spans="1:4" x14ac:dyDescent="0.2">
      <c r="A123" s="167"/>
      <c r="B123" s="167"/>
      <c r="C123" s="167"/>
      <c r="D123" s="167"/>
    </row>
  </sheetData>
  <mergeCells count="2">
    <mergeCell ref="E5:E7"/>
    <mergeCell ref="F6:F7"/>
  </mergeCells>
  <printOptions horizontalCentered="1"/>
  <pageMargins left="0.33" right="0.3" top="0.5" bottom="0.25" header="0.5" footer="0.5"/>
  <pageSetup scale="75" orientation="portrait" r:id="rId1"/>
  <headerFooter alignWithMargins="0">
    <oddFooter>&amp;C&amp;F
&amp;   Stockpile Sheet 16 
&amp;
Page &amp;P of &amp;N</oddFooter>
  </headerFooter>
  <colBreaks count="1" manualBreakCount="1">
    <brk id="5"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87" r:id="rId5" name="Button 3">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view="pageBreakPreview" zoomScale="70" zoomScaleNormal="70" zoomScaleSheetLayoutView="70" workbookViewId="0">
      <pane xSplit="3" topLeftCell="D1" activePane="topRight" state="frozen"/>
      <selection activeCell="A16" sqref="A16"/>
      <selection pane="topRight" activeCell="A16" sqref="A16"/>
    </sheetView>
  </sheetViews>
  <sheetFormatPr defaultRowHeight="15" x14ac:dyDescent="0.2"/>
  <cols>
    <col min="1" max="1" width="17.33203125" customWidth="1"/>
    <col min="2" max="2" width="29.44140625" customWidth="1"/>
    <col min="3" max="3" width="6.21875" style="257" customWidth="1"/>
    <col min="4" max="4" width="12.5546875" style="258" customWidth="1"/>
    <col min="5" max="5" width="12.77734375" style="258" customWidth="1"/>
    <col min="6" max="6" width="11.109375" style="258" customWidth="1"/>
    <col min="7" max="7" width="13" style="258" customWidth="1"/>
    <col min="8" max="9" width="12.33203125" style="258" customWidth="1"/>
    <col min="10" max="10" width="11.21875" style="258" customWidth="1"/>
    <col min="11" max="11" width="12.33203125" style="258" customWidth="1"/>
    <col min="12" max="12" width="12.33203125" style="91" customWidth="1"/>
    <col min="13" max="13" width="12.33203125" style="258" customWidth="1"/>
  </cols>
  <sheetData>
    <row r="1" spans="1:14" x14ac:dyDescent="0.2">
      <c r="A1" s="168"/>
      <c r="B1" s="168"/>
      <c r="C1" s="168"/>
      <c r="D1" s="248"/>
      <c r="E1" s="248"/>
      <c r="F1" s="248"/>
      <c r="G1" s="248"/>
      <c r="H1" s="248"/>
      <c r="I1" s="248"/>
      <c r="J1" s="248"/>
      <c r="K1" s="248"/>
      <c r="L1" s="422"/>
      <c r="M1" s="60" t="str">
        <f>'1 General'!$C$1</f>
        <v>Cobre</v>
      </c>
      <c r="N1" s="249"/>
    </row>
    <row r="2" spans="1:14" ht="18" x14ac:dyDescent="0.25">
      <c r="A2" s="437"/>
      <c r="B2" s="168"/>
      <c r="C2" s="168"/>
      <c r="D2" s="248"/>
      <c r="E2" s="248"/>
      <c r="F2" s="248"/>
      <c r="G2" s="248"/>
      <c r="H2" s="248"/>
      <c r="I2" s="248"/>
      <c r="J2" s="248"/>
      <c r="K2" s="248"/>
      <c r="L2" s="422"/>
      <c r="M2" s="50" t="s">
        <v>336</v>
      </c>
      <c r="N2" s="249"/>
    </row>
    <row r="3" spans="1:14" ht="15.75" x14ac:dyDescent="0.25">
      <c r="A3" s="223" t="s">
        <v>311</v>
      </c>
      <c r="B3" s="168"/>
      <c r="C3" s="168"/>
      <c r="D3" s="248"/>
      <c r="E3" s="248"/>
      <c r="F3" s="248"/>
      <c r="G3" s="248"/>
      <c r="H3" s="248"/>
      <c r="I3" s="248"/>
      <c r="J3" s="248"/>
      <c r="K3" s="248"/>
      <c r="L3" s="422"/>
      <c r="M3" s="224">
        <f>'1 General'!$C$3</f>
        <v>41978</v>
      </c>
      <c r="N3" s="249"/>
    </row>
    <row r="4" spans="1:14" x14ac:dyDescent="0.2">
      <c r="A4" s="249"/>
      <c r="B4" s="249"/>
      <c r="C4" s="250"/>
      <c r="D4" s="248"/>
      <c r="E4" s="248"/>
      <c r="F4" s="248"/>
      <c r="G4" s="248"/>
      <c r="H4" s="248"/>
      <c r="I4" s="248"/>
      <c r="J4" s="248"/>
      <c r="K4" s="248"/>
      <c r="L4" s="422"/>
      <c r="M4" s="248"/>
      <c r="N4" s="249"/>
    </row>
    <row r="5" spans="1:14" ht="38.25" x14ac:dyDescent="0.2">
      <c r="A5" s="228" t="s">
        <v>313</v>
      </c>
      <c r="B5" s="249"/>
      <c r="C5" s="250"/>
      <c r="D5" s="440" t="str">
        <f>'14   Reveg'!D49&amp;"(a)"</f>
        <v>SWRDF(a)</v>
      </c>
      <c r="E5" s="440" t="str">
        <f>'14   Reveg'!D50&amp;"(b)"</f>
        <v>Hanover Mountain Deposit(b)</v>
      </c>
      <c r="F5" s="440" t="str">
        <f>'14   Reveg'!D51</f>
        <v>Pearson-Barnes Mine Area</v>
      </c>
      <c r="G5" s="440" t="str">
        <f>'13   EarthSum'!J143</f>
        <v>Low Grade WRF</v>
      </c>
      <c r="H5" s="440" t="str">
        <f>'14   Reveg'!D53&amp;" (d)"</f>
        <v>MTI (d)</v>
      </c>
      <c r="I5" s="440" t="str">
        <f>'13   EarthSum'!J145</f>
        <v>Haul and Exploration Roads</v>
      </c>
      <c r="J5" s="440" t="s">
        <v>198</v>
      </c>
      <c r="K5" s="440" t="str">
        <f>'15   Other'!E62</f>
        <v>Wells</v>
      </c>
      <c r="L5" s="440" t="str">
        <f>'15   Other'!E65</f>
        <v>Continental Pit</v>
      </c>
      <c r="M5" s="441" t="s">
        <v>337</v>
      </c>
      <c r="N5" s="249"/>
    </row>
    <row r="6" spans="1:14" x14ac:dyDescent="0.2">
      <c r="A6" s="168"/>
      <c r="B6" s="249" t="s">
        <v>315</v>
      </c>
      <c r="C6" s="250"/>
      <c r="D6" s="251">
        <f>'13   EarthSum'!K140</f>
        <v>5048729.14247989</v>
      </c>
      <c r="E6" s="251">
        <f>'13   EarthSum'!K141</f>
        <v>1273697.8481121245</v>
      </c>
      <c r="F6" s="251">
        <f>'13   EarthSum'!K142</f>
        <v>135852.43519618746</v>
      </c>
      <c r="G6" s="251">
        <f>'13   EarthSum'!K143</f>
        <v>98783.932428434404</v>
      </c>
      <c r="H6" s="251">
        <f>'13   EarthSum'!K144</f>
        <v>1628987.4548747493</v>
      </c>
      <c r="I6" s="251">
        <f>'13   EarthSum'!K145</f>
        <v>14715.412936913897</v>
      </c>
      <c r="J6" s="251">
        <f>'13   EarthSum'!K146</f>
        <v>59545.690112101416</v>
      </c>
      <c r="K6" s="251">
        <v>0</v>
      </c>
      <c r="L6" s="251">
        <v>0</v>
      </c>
      <c r="M6" s="252">
        <f>SUM(D6:L6)</f>
        <v>8260311.9161404008</v>
      </c>
      <c r="N6" s="249"/>
    </row>
    <row r="7" spans="1:14" x14ac:dyDescent="0.2">
      <c r="A7" s="168"/>
      <c r="B7" s="249" t="s">
        <v>338</v>
      </c>
      <c r="C7" s="256"/>
      <c r="D7" s="251">
        <f>'14   Reveg'!E49</f>
        <v>376400.98394621734</v>
      </c>
      <c r="E7" s="251">
        <f>'14   Reveg'!E50</f>
        <v>99452.76539360873</v>
      </c>
      <c r="F7" s="251">
        <f>'14   Reveg'!E51</f>
        <v>10694.232268121592</v>
      </c>
      <c r="G7" s="251">
        <f>'14   Reveg'!E52</f>
        <v>28842.074824629777</v>
      </c>
      <c r="H7" s="251">
        <f>'14   Reveg'!E53</f>
        <v>162369.00077942325</v>
      </c>
      <c r="I7" s="251">
        <f>'14   Reveg'!E54</f>
        <v>73691.348402182397</v>
      </c>
      <c r="J7" s="251">
        <f>'14   Reveg'!E55</f>
        <v>4493.3749025720972</v>
      </c>
      <c r="K7" s="251">
        <v>0</v>
      </c>
      <c r="L7" s="251">
        <f>'14   Reveg'!E56</f>
        <v>15816.679657053783</v>
      </c>
      <c r="M7" s="252">
        <f>SUM(D7:L7)</f>
        <v>771760.46017380897</v>
      </c>
      <c r="N7" s="249"/>
    </row>
    <row r="8" spans="1:14" x14ac:dyDescent="0.2">
      <c r="A8" s="168"/>
      <c r="B8" s="249" t="s">
        <v>435</v>
      </c>
      <c r="C8" s="250"/>
      <c r="D8" s="251">
        <f>'15   Other'!F60</f>
        <v>2783570.9424000005</v>
      </c>
      <c r="E8" s="251">
        <f>'15   Other'!$F$61</f>
        <v>85662.872839999982</v>
      </c>
      <c r="F8" s="251">
        <v>0</v>
      </c>
      <c r="G8" s="251">
        <v>0</v>
      </c>
      <c r="H8" s="251">
        <f>'15   Other'!F63</f>
        <v>800562.18831999996</v>
      </c>
      <c r="I8" s="251">
        <v>0</v>
      </c>
      <c r="J8" s="251">
        <f>'15   Other'!F64</f>
        <v>33978.074130000001</v>
      </c>
      <c r="K8" s="251">
        <f>'15   Other'!F62</f>
        <v>7791.114575214342</v>
      </c>
      <c r="L8" s="251">
        <f>'15   Other'!F65</f>
        <v>68616.837820000001</v>
      </c>
      <c r="M8" s="252">
        <f>SUM(D8:L8)</f>
        <v>3780182.0300852144</v>
      </c>
      <c r="N8" s="249"/>
    </row>
    <row r="9" spans="1:14" x14ac:dyDescent="0.2">
      <c r="A9" s="168"/>
      <c r="B9" s="253" t="s">
        <v>317</v>
      </c>
      <c r="C9" s="250"/>
      <c r="D9" s="252">
        <f t="shared" ref="D9:L9" si="0">SUM(D6:D8)</f>
        <v>8208701.0688261073</v>
      </c>
      <c r="E9" s="252">
        <f t="shared" si="0"/>
        <v>1458813.4863457333</v>
      </c>
      <c r="F9" s="254">
        <f t="shared" si="0"/>
        <v>146546.66746430905</v>
      </c>
      <c r="G9" s="254">
        <f t="shared" si="0"/>
        <v>127626.00725306418</v>
      </c>
      <c r="H9" s="254">
        <f t="shared" si="0"/>
        <v>2591918.6439741724</v>
      </c>
      <c r="I9" s="254">
        <f t="shared" si="0"/>
        <v>88406.761339096294</v>
      </c>
      <c r="J9" s="254">
        <f t="shared" si="0"/>
        <v>98017.139144673507</v>
      </c>
      <c r="K9" s="254">
        <f t="shared" si="0"/>
        <v>7791.114575214342</v>
      </c>
      <c r="L9" s="254">
        <f t="shared" si="0"/>
        <v>84433.517477053785</v>
      </c>
      <c r="M9" s="252">
        <f>SUM(D9:L9)</f>
        <v>12812254.406399423</v>
      </c>
      <c r="N9" s="249"/>
    </row>
    <row r="10" spans="1:14" x14ac:dyDescent="0.2">
      <c r="A10" s="168"/>
      <c r="B10" s="249"/>
      <c r="C10" s="250"/>
      <c r="D10" s="255"/>
      <c r="E10" s="255"/>
      <c r="F10" s="251"/>
      <c r="G10" s="251"/>
      <c r="H10" s="251"/>
      <c r="I10" s="251"/>
      <c r="J10" s="251"/>
      <c r="K10" s="251"/>
      <c r="L10" s="251"/>
      <c r="M10" s="252"/>
      <c r="N10" s="249"/>
    </row>
    <row r="11" spans="1:14" x14ac:dyDescent="0.2">
      <c r="A11" s="228" t="s">
        <v>339</v>
      </c>
      <c r="B11" s="167" t="s">
        <v>319</v>
      </c>
      <c r="C11" s="256">
        <f>'16   Sum'!C14</f>
        <v>3.7999999999999999E-2</v>
      </c>
      <c r="D11" s="255">
        <f t="shared" ref="D11:L16" si="1">$C11*D$9</f>
        <v>311930.64061539207</v>
      </c>
      <c r="E11" s="255">
        <f t="shared" si="1"/>
        <v>55434.912481137864</v>
      </c>
      <c r="F11" s="251">
        <f t="shared" si="1"/>
        <v>5568.7733636437442</v>
      </c>
      <c r="G11" s="251">
        <f t="shared" si="1"/>
        <v>4849.788275616439</v>
      </c>
      <c r="H11" s="251">
        <f t="shared" si="1"/>
        <v>98492.908471018556</v>
      </c>
      <c r="I11" s="251">
        <f t="shared" si="1"/>
        <v>3359.4569308856589</v>
      </c>
      <c r="J11" s="251">
        <f t="shared" si="1"/>
        <v>3724.6512874975933</v>
      </c>
      <c r="K11" s="251">
        <f t="shared" si="1"/>
        <v>296.062353858145</v>
      </c>
      <c r="L11" s="251">
        <f t="shared" si="1"/>
        <v>3208.4736641280438</v>
      </c>
      <c r="M11" s="252">
        <f t="shared" ref="M11:M16" si="2">SUM(D11:L11)</f>
        <v>486865.66744317807</v>
      </c>
      <c r="N11" s="249"/>
    </row>
    <row r="12" spans="1:14" x14ac:dyDescent="0.2">
      <c r="A12" s="168"/>
      <c r="B12" s="167" t="s">
        <v>320</v>
      </c>
      <c r="C12" s="256">
        <f>'16   Sum'!C15</f>
        <v>0.04</v>
      </c>
      <c r="D12" s="255">
        <f t="shared" si="1"/>
        <v>328348.04275304428</v>
      </c>
      <c r="E12" s="255">
        <f t="shared" si="1"/>
        <v>58352.539453829333</v>
      </c>
      <c r="F12" s="251">
        <f t="shared" si="1"/>
        <v>5861.8666985723621</v>
      </c>
      <c r="G12" s="251">
        <f t="shared" si="1"/>
        <v>5105.0402901225671</v>
      </c>
      <c r="H12" s="251">
        <f t="shared" si="1"/>
        <v>103676.74575896689</v>
      </c>
      <c r="I12" s="251">
        <f t="shared" si="1"/>
        <v>3536.2704535638518</v>
      </c>
      <c r="J12" s="251">
        <f t="shared" si="1"/>
        <v>3920.6855657869405</v>
      </c>
      <c r="K12" s="251">
        <f t="shared" si="1"/>
        <v>311.6445830085737</v>
      </c>
      <c r="L12" s="251">
        <f t="shared" si="1"/>
        <v>3377.3406990821513</v>
      </c>
      <c r="M12" s="252">
        <f t="shared" si="2"/>
        <v>512490.17625597696</v>
      </c>
      <c r="N12" s="249"/>
    </row>
    <row r="13" spans="1:14" x14ac:dyDescent="0.2">
      <c r="A13" s="168"/>
      <c r="B13" s="167" t="s">
        <v>321</v>
      </c>
      <c r="C13" s="256">
        <f>'16   Sum'!C16</f>
        <v>2.5000000000000001E-2</v>
      </c>
      <c r="D13" s="255">
        <f t="shared" si="1"/>
        <v>205217.52672065271</v>
      </c>
      <c r="E13" s="255">
        <f t="shared" si="1"/>
        <v>36470.337158643335</v>
      </c>
      <c r="F13" s="251">
        <f t="shared" si="1"/>
        <v>3663.6666866077267</v>
      </c>
      <c r="G13" s="251">
        <f t="shared" si="1"/>
        <v>3190.6501813266045</v>
      </c>
      <c r="H13" s="251">
        <f t="shared" si="1"/>
        <v>64797.966099354315</v>
      </c>
      <c r="I13" s="251">
        <f t="shared" si="1"/>
        <v>2210.1690334774075</v>
      </c>
      <c r="J13" s="251">
        <f t="shared" si="1"/>
        <v>2450.4284786168378</v>
      </c>
      <c r="K13" s="251">
        <f t="shared" si="1"/>
        <v>194.77786438035855</v>
      </c>
      <c r="L13" s="251">
        <f t="shared" si="1"/>
        <v>2110.8379369263448</v>
      </c>
      <c r="M13" s="252">
        <f t="shared" si="2"/>
        <v>320306.3601599856</v>
      </c>
      <c r="N13" s="249"/>
    </row>
    <row r="14" spans="1:14" x14ac:dyDescent="0.2">
      <c r="A14" s="168"/>
      <c r="B14" s="167" t="s">
        <v>322</v>
      </c>
      <c r="C14" s="256">
        <f>'16   Sum'!C17</f>
        <v>0.15</v>
      </c>
      <c r="D14" s="255">
        <f t="shared" si="1"/>
        <v>1231305.160323916</v>
      </c>
      <c r="E14" s="255">
        <f t="shared" si="1"/>
        <v>218822.02295185998</v>
      </c>
      <c r="F14" s="251">
        <f t="shared" si="1"/>
        <v>21982.000119646356</v>
      </c>
      <c r="G14" s="251">
        <f t="shared" si="1"/>
        <v>19143.901087959624</v>
      </c>
      <c r="H14" s="251">
        <f t="shared" si="1"/>
        <v>388787.79659612587</v>
      </c>
      <c r="I14" s="251">
        <f t="shared" si="1"/>
        <v>13261.014200864443</v>
      </c>
      <c r="J14" s="251">
        <f t="shared" si="1"/>
        <v>14702.570871701026</v>
      </c>
      <c r="K14" s="251">
        <f t="shared" si="1"/>
        <v>1168.6671862821513</v>
      </c>
      <c r="L14" s="251">
        <f t="shared" si="1"/>
        <v>12665.027621558067</v>
      </c>
      <c r="M14" s="252">
        <f t="shared" si="2"/>
        <v>1921838.1609599134</v>
      </c>
      <c r="N14" s="249"/>
    </row>
    <row r="15" spans="1:14" x14ac:dyDescent="0.2">
      <c r="A15" s="168"/>
      <c r="B15" s="167" t="s">
        <v>340</v>
      </c>
      <c r="C15" s="256">
        <f>'16   Sum'!C18</f>
        <v>0.03</v>
      </c>
      <c r="D15" s="255">
        <f t="shared" si="1"/>
        <v>246261.03206478321</v>
      </c>
      <c r="E15" s="255">
        <f t="shared" si="1"/>
        <v>43764.404590371996</v>
      </c>
      <c r="F15" s="251">
        <f t="shared" si="1"/>
        <v>4396.4000239292718</v>
      </c>
      <c r="G15" s="251">
        <f t="shared" si="1"/>
        <v>3828.7802175919251</v>
      </c>
      <c r="H15" s="251">
        <f t="shared" si="1"/>
        <v>77757.559319225169</v>
      </c>
      <c r="I15" s="251">
        <f t="shared" si="1"/>
        <v>2652.202840172889</v>
      </c>
      <c r="J15" s="251">
        <f t="shared" si="1"/>
        <v>2940.514174340205</v>
      </c>
      <c r="K15" s="251">
        <f t="shared" si="1"/>
        <v>233.73343725643025</v>
      </c>
      <c r="L15" s="251">
        <f t="shared" si="1"/>
        <v>2533.0055243116135</v>
      </c>
      <c r="M15" s="252">
        <f t="shared" si="2"/>
        <v>384367.63219198259</v>
      </c>
      <c r="N15" s="249"/>
    </row>
    <row r="16" spans="1:14" x14ac:dyDescent="0.2">
      <c r="A16" s="168"/>
      <c r="B16" s="167" t="s">
        <v>324</v>
      </c>
      <c r="C16" s="256">
        <f>'16   Sum'!C19</f>
        <v>0</v>
      </c>
      <c r="D16" s="255">
        <f t="shared" si="1"/>
        <v>0</v>
      </c>
      <c r="E16" s="255">
        <f t="shared" si="1"/>
        <v>0</v>
      </c>
      <c r="F16" s="251">
        <f t="shared" si="1"/>
        <v>0</v>
      </c>
      <c r="G16" s="251">
        <f t="shared" si="1"/>
        <v>0</v>
      </c>
      <c r="H16" s="251">
        <f t="shared" si="1"/>
        <v>0</v>
      </c>
      <c r="I16" s="251">
        <f t="shared" si="1"/>
        <v>0</v>
      </c>
      <c r="J16" s="251">
        <f t="shared" si="1"/>
        <v>0</v>
      </c>
      <c r="K16" s="251">
        <f t="shared" si="1"/>
        <v>0</v>
      </c>
      <c r="L16" s="251">
        <f t="shared" si="1"/>
        <v>0</v>
      </c>
      <c r="M16" s="252">
        <f t="shared" si="2"/>
        <v>0</v>
      </c>
      <c r="N16" s="249"/>
    </row>
    <row r="17" spans="1:14" x14ac:dyDescent="0.2">
      <c r="A17" s="168"/>
      <c r="B17" s="249" t="s">
        <v>325</v>
      </c>
      <c r="C17" s="250">
        <f>'16   Sum'!C20</f>
        <v>0.28300000000000003</v>
      </c>
      <c r="D17" s="255"/>
      <c r="E17" s="255"/>
      <c r="F17" s="251"/>
      <c r="G17" s="251"/>
      <c r="H17" s="251"/>
      <c r="I17" s="251"/>
      <c r="J17" s="251"/>
      <c r="K17" s="251"/>
      <c r="L17" s="251"/>
      <c r="M17" s="252"/>
      <c r="N17" s="249"/>
    </row>
    <row r="18" spans="1:14" x14ac:dyDescent="0.2">
      <c r="A18" s="168"/>
      <c r="B18" s="253" t="s">
        <v>326</v>
      </c>
      <c r="C18" s="250"/>
      <c r="D18" s="252">
        <f t="shared" ref="D18:I18" si="3">SUM(D11:D16)</f>
        <v>2323062.4024777883</v>
      </c>
      <c r="E18" s="252">
        <f t="shared" si="3"/>
        <v>412844.21663584252</v>
      </c>
      <c r="F18" s="254">
        <f t="shared" si="3"/>
        <v>41472.706892399459</v>
      </c>
      <c r="G18" s="254">
        <f>SUM(G11:G16)</f>
        <v>36118.160052617161</v>
      </c>
      <c r="H18" s="254">
        <f>SUM(H11:H16)</f>
        <v>733512.97624469083</v>
      </c>
      <c r="I18" s="254">
        <f t="shared" si="3"/>
        <v>25019.11345896425</v>
      </c>
      <c r="J18" s="254">
        <f>SUM(J11:J16)</f>
        <v>27738.850377942603</v>
      </c>
      <c r="K18" s="254">
        <f>SUM(K11:K16)</f>
        <v>2204.8854247856589</v>
      </c>
      <c r="L18" s="254">
        <f>SUM(L11:L16)</f>
        <v>23894.68544600622</v>
      </c>
      <c r="M18" s="252">
        <f>SUM(D18:L18)</f>
        <v>3625867.9970110366</v>
      </c>
      <c r="N18" s="249"/>
    </row>
    <row r="19" spans="1:14" x14ac:dyDescent="0.2">
      <c r="A19" s="168"/>
      <c r="B19" s="234"/>
      <c r="C19" s="250"/>
      <c r="D19" s="255"/>
      <c r="E19" s="255"/>
      <c r="F19" s="251"/>
      <c r="G19" s="251"/>
      <c r="H19" s="251"/>
      <c r="I19" s="251"/>
      <c r="J19" s="251"/>
      <c r="K19" s="251"/>
      <c r="L19" s="251"/>
      <c r="M19" s="252"/>
      <c r="N19" s="249"/>
    </row>
    <row r="20" spans="1:14" s="4" customFormat="1" x14ac:dyDescent="0.2">
      <c r="A20" s="228"/>
      <c r="B20" s="168"/>
      <c r="C20" s="256"/>
      <c r="D20" s="254"/>
      <c r="E20" s="254"/>
      <c r="F20" s="254"/>
      <c r="G20" s="254"/>
      <c r="H20" s="254"/>
      <c r="I20" s="254"/>
      <c r="J20" s="254"/>
      <c r="K20" s="254"/>
      <c r="L20" s="254"/>
      <c r="M20" s="252"/>
      <c r="N20" s="167"/>
    </row>
    <row r="21" spans="1:14" s="4" customFormat="1" x14ac:dyDescent="0.2">
      <c r="A21" s="168"/>
      <c r="B21" s="243"/>
      <c r="C21" s="256"/>
      <c r="D21" s="251"/>
      <c r="E21" s="251"/>
      <c r="F21" s="251"/>
      <c r="G21" s="251"/>
      <c r="H21" s="251"/>
      <c r="I21" s="251"/>
      <c r="J21" s="251"/>
      <c r="K21" s="251"/>
      <c r="L21" s="251"/>
      <c r="M21" s="252"/>
      <c r="N21" s="167"/>
    </row>
    <row r="22" spans="1:14" x14ac:dyDescent="0.2">
      <c r="A22" s="168"/>
      <c r="B22" s="243"/>
      <c r="C22" s="250"/>
      <c r="D22" s="255"/>
      <c r="E22" s="255"/>
      <c r="F22" s="251"/>
      <c r="G22" s="251"/>
      <c r="H22" s="251"/>
      <c r="I22" s="251"/>
      <c r="J22" s="251"/>
      <c r="K22" s="251"/>
      <c r="L22" s="251"/>
      <c r="M22" s="252"/>
      <c r="N22" s="249"/>
    </row>
    <row r="23" spans="1:14" x14ac:dyDescent="0.2">
      <c r="A23" s="253" t="s">
        <v>341</v>
      </c>
      <c r="B23" s="168"/>
      <c r="C23" s="250"/>
      <c r="D23" s="252">
        <f>D18+D9</f>
        <v>10531763.471303895</v>
      </c>
      <c r="E23" s="252">
        <f t="shared" ref="E23:L23" si="4">E18+E9</f>
        <v>1871657.7029815759</v>
      </c>
      <c r="F23" s="252">
        <f t="shared" si="4"/>
        <v>188019.37435670852</v>
      </c>
      <c r="G23" s="252">
        <f t="shared" si="4"/>
        <v>163744.16730568133</v>
      </c>
      <c r="H23" s="252">
        <f t="shared" si="4"/>
        <v>3325431.6202188632</v>
      </c>
      <c r="I23" s="252">
        <f t="shared" si="4"/>
        <v>113425.87479806054</v>
      </c>
      <c r="J23" s="252">
        <f t="shared" si="4"/>
        <v>125755.98952261612</v>
      </c>
      <c r="K23" s="252">
        <f t="shared" si="4"/>
        <v>9996</v>
      </c>
      <c r="L23" s="252">
        <f t="shared" si="4"/>
        <v>108328.20292306</v>
      </c>
      <c r="M23" s="252">
        <f>SUM(D23:L23)</f>
        <v>16438122.403410463</v>
      </c>
      <c r="N23" s="249"/>
    </row>
    <row r="24" spans="1:14" x14ac:dyDescent="0.2">
      <c r="A24" s="228" t="s">
        <v>342</v>
      </c>
      <c r="B24" s="249"/>
      <c r="C24" s="250"/>
      <c r="D24" s="252">
        <f>SUM(D23:L23)</f>
        <v>16438122.403410463</v>
      </c>
      <c r="E24" s="255"/>
      <c r="F24" s="255"/>
      <c r="G24" s="255"/>
      <c r="H24" s="255"/>
      <c r="I24" s="255"/>
      <c r="J24" s="255"/>
      <c r="K24" s="255"/>
      <c r="L24" s="251"/>
      <c r="M24" s="255"/>
      <c r="N24" s="249"/>
    </row>
    <row r="25" spans="1:14" x14ac:dyDescent="0.2">
      <c r="B25" s="249"/>
      <c r="C25" s="250"/>
      <c r="D25" s="255"/>
      <c r="E25" s="255"/>
      <c r="F25" s="255"/>
      <c r="G25" s="255"/>
      <c r="H25" s="255"/>
      <c r="I25" s="255"/>
      <c r="J25" s="255"/>
      <c r="K25" s="255"/>
      <c r="L25" s="251"/>
      <c r="M25" s="255"/>
      <c r="N25" s="249"/>
    </row>
    <row r="26" spans="1:14" x14ac:dyDescent="0.2">
      <c r="A26" s="167" t="s">
        <v>438</v>
      </c>
      <c r="B26" s="168"/>
    </row>
    <row r="27" spans="1:14" x14ac:dyDescent="0.2">
      <c r="A27" s="167" t="s">
        <v>439</v>
      </c>
      <c r="B27" s="247"/>
    </row>
    <row r="28" spans="1:14" x14ac:dyDescent="0.2">
      <c r="A28" s="168" t="s">
        <v>453</v>
      </c>
      <c r="B28" s="168"/>
    </row>
    <row r="29" spans="1:14" x14ac:dyDescent="0.2">
      <c r="A29" s="168" t="s">
        <v>451</v>
      </c>
      <c r="B29" s="168"/>
    </row>
  </sheetData>
  <printOptions horizontalCentered="1"/>
  <pageMargins left="0.33" right="0.3" top="0.5" bottom="0.25" header="0.5" footer="0.5"/>
  <pageSetup scale="49" orientation="landscape" r:id="rId1"/>
  <headerFooter alignWithMargins="0">
    <oddFooter>&amp;C&amp;F
&amp;   Stockpile Sheet 17 
&amp;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85" zoomScaleNormal="100" workbookViewId="0">
      <pane xSplit="1" topLeftCell="B1" activePane="topRight" state="frozen"/>
      <selection activeCell="A16" sqref="A16"/>
      <selection pane="topRight" activeCell="A16" sqref="A16"/>
    </sheetView>
  </sheetViews>
  <sheetFormatPr defaultRowHeight="15" x14ac:dyDescent="0.2"/>
  <cols>
    <col min="1" max="1" width="28.88671875" customWidth="1"/>
    <col min="2" max="2" width="11.33203125" customWidth="1"/>
    <col min="3" max="3" width="14" bestFit="1" customWidth="1"/>
    <col min="4" max="4" width="12.77734375" customWidth="1"/>
    <col min="5" max="5" width="12.5546875" customWidth="1"/>
    <col min="6" max="6" width="13.109375" customWidth="1"/>
    <col min="7" max="7" width="9.77734375" customWidth="1"/>
    <col min="8" max="8" width="12" customWidth="1"/>
    <col min="9" max="9" width="9.77734375" bestFit="1" customWidth="1"/>
    <col min="10" max="10" width="13.44140625" style="4" customWidth="1"/>
    <col min="11" max="11" width="11.33203125" bestFit="1" customWidth="1"/>
  </cols>
  <sheetData>
    <row r="1" spans="1:11" x14ac:dyDescent="0.2">
      <c r="A1" s="1"/>
      <c r="B1" s="1"/>
      <c r="D1" s="32"/>
      <c r="J1" s="32" t="str">
        <f>'1 General'!C1</f>
        <v>Cobre</v>
      </c>
    </row>
    <row r="2" spans="1:11" ht="18" x14ac:dyDescent="0.25">
      <c r="A2" s="437"/>
      <c r="B2" s="1"/>
      <c r="D2" s="32"/>
      <c r="J2" s="32" t="s">
        <v>343</v>
      </c>
    </row>
    <row r="3" spans="1:11" ht="15.75" x14ac:dyDescent="0.25">
      <c r="A3" s="122" t="s">
        <v>344</v>
      </c>
      <c r="B3" s="1"/>
      <c r="D3" s="30"/>
      <c r="J3" s="30">
        <f>'1 General'!$C$3</f>
        <v>41978</v>
      </c>
    </row>
    <row r="7" spans="1:11" ht="50.25" customHeight="1" x14ac:dyDescent="0.2">
      <c r="A7" s="259" t="s">
        <v>345</v>
      </c>
      <c r="B7" s="424" t="str">
        <f>'17 Detailed Sum'!D5</f>
        <v>SWRDF(a)</v>
      </c>
      <c r="C7" s="424" t="str">
        <f>'17 Detailed Sum'!E5</f>
        <v>Hanover Mountain Deposit(b)</v>
      </c>
      <c r="D7" s="424" t="str">
        <f>'17 Detailed Sum'!F5</f>
        <v>Pearson-Barnes Mine Area</v>
      </c>
      <c r="E7" s="424" t="str">
        <f>'17 Detailed Sum'!G5</f>
        <v>Low Grade WRF</v>
      </c>
      <c r="F7" s="424" t="str">
        <f>'17 Detailed Sum'!H5</f>
        <v>MTI (d)</v>
      </c>
      <c r="G7" s="424" t="str">
        <f>'17 Detailed Sum'!I5</f>
        <v>Haul and Exploration Roads</v>
      </c>
      <c r="H7" s="424" t="str">
        <f>'17 Detailed Sum'!J5</f>
        <v>Surface Impoundments</v>
      </c>
      <c r="I7" s="424" t="str">
        <f>'17 Detailed Sum'!K5</f>
        <v>Wells</v>
      </c>
      <c r="J7" s="425" t="str">
        <f>'17 Detailed Sum'!L5&amp;"( c)"</f>
        <v>Continental Pit( c)</v>
      </c>
    </row>
    <row r="8" spans="1:11" x14ac:dyDescent="0.2">
      <c r="A8" s="167"/>
      <c r="B8" s="167"/>
      <c r="C8" s="167"/>
      <c r="D8" s="167"/>
      <c r="E8" s="167"/>
      <c r="F8" s="167"/>
      <c r="G8" s="4"/>
      <c r="H8" s="167"/>
      <c r="I8" s="4"/>
    </row>
    <row r="9" spans="1:11" x14ac:dyDescent="0.2">
      <c r="A9" s="249"/>
      <c r="B9" s="249"/>
      <c r="C9" s="249"/>
      <c r="D9" s="167"/>
      <c r="E9" s="167"/>
      <c r="F9" s="167"/>
      <c r="H9" s="167"/>
    </row>
    <row r="10" spans="1:11" x14ac:dyDescent="0.2">
      <c r="A10" s="260"/>
      <c r="B10" s="260"/>
      <c r="C10" s="260"/>
      <c r="D10" s="261"/>
      <c r="E10" s="261"/>
      <c r="F10" s="261"/>
      <c r="H10" s="261"/>
    </row>
    <row r="11" spans="1:11" ht="15.75" x14ac:dyDescent="0.2">
      <c r="A11" s="262" t="s">
        <v>346</v>
      </c>
      <c r="B11" s="426">
        <f>ROUND(SUM('14   Reveg'!C11:C13,'14   Reveg'!C39,'14   Reveg'!C41,'14   Reveg'!C43:C45,'14   Reveg'!C47,'14   Reveg'!C24),1)</f>
        <v>418.8</v>
      </c>
      <c r="C11" s="426">
        <f>ROUND(SUM('14   Reveg'!C14,'14   Reveg'!C40),1)</f>
        <v>110.7</v>
      </c>
      <c r="D11" s="426">
        <f>ROUND(SUM('14   Reveg'!C15),1)</f>
        <v>11.9</v>
      </c>
      <c r="E11" s="426">
        <f>ROUND(SUM('14   Reveg'!C16,'14   Reveg'!C46),1)</f>
        <v>32.1</v>
      </c>
      <c r="F11" s="426">
        <f>ROUND(SUM('14   Reveg'!C17:C20,'14   Reveg'!C42),1)</f>
        <v>180.7</v>
      </c>
      <c r="G11" s="426">
        <f>ROUND(SUM('14   Reveg'!C21:C22),1)</f>
        <v>82</v>
      </c>
      <c r="H11" s="426">
        <f>ROUND(SUM('14   Reveg'!C27:C36),1)</f>
        <v>5</v>
      </c>
      <c r="I11" s="427" t="s">
        <v>26</v>
      </c>
      <c r="J11" s="428">
        <f>'14   Reveg'!C23</f>
        <v>17.600000000000001</v>
      </c>
      <c r="K11" s="263"/>
    </row>
    <row r="12" spans="1:11" ht="15.75" x14ac:dyDescent="0.2">
      <c r="A12" s="264" t="s">
        <v>18</v>
      </c>
      <c r="B12" s="265" t="s">
        <v>347</v>
      </c>
      <c r="C12" s="265" t="s">
        <v>347</v>
      </c>
      <c r="D12" s="265" t="s">
        <v>347</v>
      </c>
      <c r="E12" s="265" t="s">
        <v>347</v>
      </c>
      <c r="F12" s="265" t="s">
        <v>347</v>
      </c>
      <c r="G12" s="265" t="s">
        <v>347</v>
      </c>
      <c r="H12" s="265" t="s">
        <v>347</v>
      </c>
      <c r="I12" s="265" t="s">
        <v>347</v>
      </c>
      <c r="J12" s="265" t="s">
        <v>347</v>
      </c>
    </row>
    <row r="13" spans="1:11" ht="15.75" x14ac:dyDescent="0.2">
      <c r="A13" s="262" t="s">
        <v>434</v>
      </c>
      <c r="B13" s="267">
        <f>('17 Detailed Sum'!D6-(B14)/('17 Detailed Sum'!$C$17+1))*('17 Detailed Sum'!$C$17+1)</f>
        <v>5415984.3324332945</v>
      </c>
      <c r="C13" s="267">
        <f>('17 Detailed Sum'!E6-(C14)/('17 Detailed Sum'!$C$17+1))*('17 Detailed Sum'!$C$17+1)</f>
        <v>1634154.3391278556</v>
      </c>
      <c r="D13" s="267">
        <f>('17 Detailed Sum'!F6-(D14)/('17 Detailed Sum'!$C$17+1))*('17 Detailed Sum'!$C$17+1)</f>
        <v>174298.67435670851</v>
      </c>
      <c r="E13" s="267">
        <f>('17 Detailed Sum'!G6-(E14)/('17 Detailed Sum'!$C$17+1))*('17 Detailed Sum'!$C$17+1)</f>
        <v>120332.13999312006</v>
      </c>
      <c r="F13" s="267">
        <f>('17 Detailed Sum'!H6-(F14)/('17 Detailed Sum'!$C$17+1))*('17 Detailed Sum'!$C$17+1)</f>
        <v>1956169.2123304897</v>
      </c>
      <c r="G13" s="267">
        <f>('17 Detailed Sum'!I6-(G14)/('17 Detailed Sum'!$C$17+1))*('17 Detailed Sum'!$C$17+1)</f>
        <v>0</v>
      </c>
      <c r="H13" s="267">
        <f>('17 Detailed Sum'!J6-(H14)/('17 Detailed Sum'!$C$17+1))*('17 Detailed Sum'!$C$17+1)</f>
        <v>75245.908535895593</v>
      </c>
      <c r="I13" s="267">
        <f>('17 Detailed Sum'!K6-(I14)/('17 Detailed Sum'!$C$17+1))*('17 Detailed Sum'!$C$17+1)</f>
        <v>0</v>
      </c>
      <c r="J13" s="267">
        <f>('17 Detailed Sum'!L6-(J14)/('17 Detailed Sum'!$C$17+1))*('17 Detailed Sum'!$C$17+1)</f>
        <v>0</v>
      </c>
    </row>
    <row r="14" spans="1:11" s="4" customFormat="1" ht="15.75" x14ac:dyDescent="0.2">
      <c r="A14" s="268" t="s">
        <v>433</v>
      </c>
      <c r="B14" s="267">
        <f>SUM('13   EarthSum'!K9,)*('17 Detailed Sum'!$C$17+1)</f>
        <v>1061535.1573684041</v>
      </c>
      <c r="C14" s="267">
        <f>SUM(0)*('17 Detailed Sum'!$C$17+1)</f>
        <v>0</v>
      </c>
      <c r="D14" s="267">
        <f>SUM(0)*('17 Detailed Sum'!$C$17+1)</f>
        <v>0</v>
      </c>
      <c r="E14" s="267">
        <f>SUM('13   EarthSum'!K38)*('17 Detailed Sum'!$C$17+1)</f>
        <v>6407.6453125612743</v>
      </c>
      <c r="F14" s="267">
        <f>SUM('13   EarthSum'!K11,'13   EarthSum'!K10,'13   EarthSum'!K12)*('17 Detailed Sum'!$C$17+1)</f>
        <v>133821.69227381368</v>
      </c>
      <c r="G14" s="267">
        <f>SUM('13   EarthSum'!K36:K37)*('17 Detailed Sum'!$C$17+1)</f>
        <v>18879.874798060529</v>
      </c>
      <c r="H14" s="267">
        <f>SUM('13   EarthSum'!K39:K43,'13   EarthSum'!K44:K48)*('17 Detailed Sum'!$C$17+1)</f>
        <v>1151.2118779305199</v>
      </c>
      <c r="I14" s="267">
        <v>0</v>
      </c>
      <c r="J14" s="267">
        <v>0</v>
      </c>
    </row>
    <row r="15" spans="1:11" ht="15.75" x14ac:dyDescent="0.2">
      <c r="A15" s="262" t="s">
        <v>348</v>
      </c>
      <c r="B15" s="267">
        <f>('17 Detailed Sum'!D7)*('17 Detailed Sum'!$C$17+1)</f>
        <v>482922.46240299684</v>
      </c>
      <c r="C15" s="267">
        <f>('17 Detailed Sum'!E7)*('17 Detailed Sum'!$C$17+1)</f>
        <v>127597.89799999999</v>
      </c>
      <c r="D15" s="267">
        <f>('17 Detailed Sum'!F7)*('17 Detailed Sum'!$C$17+1)</f>
        <v>13720.7</v>
      </c>
      <c r="E15" s="267">
        <f>('17 Detailed Sum'!G7)*('17 Detailed Sum'!$C$17+1)</f>
        <v>37004.382000000005</v>
      </c>
      <c r="F15" s="267">
        <f>('17 Detailed Sum'!H7)*('17 Detailed Sum'!$C$17+1)</f>
        <v>208319.42800000001</v>
      </c>
      <c r="G15" s="267">
        <f>('17 Detailed Sum'!I7)*('17 Detailed Sum'!$C$17+1)</f>
        <v>94546.000000000015</v>
      </c>
      <c r="H15" s="267">
        <f>('17 Detailed Sum'!J7)*('17 Detailed Sum'!$C$17+1)</f>
        <v>5765</v>
      </c>
      <c r="I15" s="267">
        <f>('17 Detailed Sum'!K7)*('17 Detailed Sum'!$C$17+1)</f>
        <v>0</v>
      </c>
      <c r="J15" s="267">
        <f>('17 Detailed Sum'!L7)*('17 Detailed Sum'!$C$17+1)</f>
        <v>20292.800000000003</v>
      </c>
    </row>
    <row r="16" spans="1:11" ht="15.75" x14ac:dyDescent="0.2">
      <c r="A16" s="262" t="s">
        <v>437</v>
      </c>
      <c r="B16" s="267">
        <f>'17 Detailed Sum'!D8*('17 Detailed Sum'!$C$17+1)</f>
        <v>3571321.5190992006</v>
      </c>
      <c r="C16" s="267">
        <f>'17 Detailed Sum'!E8*('17 Detailed Sum'!$C$17+1)</f>
        <v>109905.46585371997</v>
      </c>
      <c r="D16" s="267">
        <f>'17 Detailed Sum'!F8*('17 Detailed Sum'!$C$17+1)</f>
        <v>0</v>
      </c>
      <c r="E16" s="267">
        <f>'17 Detailed Sum'!G8*('17 Detailed Sum'!$C$17+1)</f>
        <v>0</v>
      </c>
      <c r="F16" s="267">
        <f>'17 Detailed Sum'!H8*('17 Detailed Sum'!$C$17+1)</f>
        <v>1027121.2876145599</v>
      </c>
      <c r="G16" s="267">
        <f>'17 Detailed Sum'!I8*('17 Detailed Sum'!$C$17+1)</f>
        <v>0</v>
      </c>
      <c r="H16" s="267">
        <f>'17 Detailed Sum'!J8*('17 Detailed Sum'!$C$17+1)</f>
        <v>43593.869108790001</v>
      </c>
      <c r="I16" s="267">
        <f>'17 Detailed Sum'!K8*('17 Detailed Sum'!$C$17+1)</f>
        <v>9996</v>
      </c>
      <c r="J16" s="267">
        <f>'17 Detailed Sum'!L8*('17 Detailed Sum'!$C$17+1)</f>
        <v>88035.402923059999</v>
      </c>
    </row>
    <row r="17" spans="1:11" s="4" customFormat="1" ht="15.75" x14ac:dyDescent="0.2">
      <c r="A17" s="268" t="s">
        <v>349</v>
      </c>
      <c r="B17" s="267">
        <f>SUM(B13:B16)</f>
        <v>10531763.471303895</v>
      </c>
      <c r="C17" s="267">
        <f t="shared" ref="C17:J17" si="0">SUM(C13:C16)</f>
        <v>1871657.7029815756</v>
      </c>
      <c r="D17" s="267">
        <f t="shared" si="0"/>
        <v>188019.37435670852</v>
      </c>
      <c r="E17" s="267">
        <f t="shared" si="0"/>
        <v>163744.16730568133</v>
      </c>
      <c r="F17" s="267">
        <f t="shared" si="0"/>
        <v>3325431.6202188632</v>
      </c>
      <c r="G17" s="267">
        <f t="shared" si="0"/>
        <v>113425.87479806054</v>
      </c>
      <c r="H17" s="267">
        <f t="shared" si="0"/>
        <v>125755.98952261612</v>
      </c>
      <c r="I17" s="267">
        <f t="shared" si="0"/>
        <v>9996</v>
      </c>
      <c r="J17" s="267">
        <f t="shared" si="0"/>
        <v>108328.20292306</v>
      </c>
      <c r="K17" s="213"/>
    </row>
    <row r="18" spans="1:11" ht="15.75" x14ac:dyDescent="0.2">
      <c r="A18" s="262" t="s">
        <v>350</v>
      </c>
      <c r="B18" s="267">
        <f>IF(B11=0,"-",B17/B11)</f>
        <v>25147.477247621526</v>
      </c>
      <c r="C18" s="267">
        <f t="shared" ref="C18:J18" si="1">IF(C11=0,"-",C17/C11)</f>
        <v>16907.476991703483</v>
      </c>
      <c r="D18" s="267">
        <f t="shared" si="1"/>
        <v>15799.947424933489</v>
      </c>
      <c r="E18" s="267">
        <f t="shared" si="1"/>
        <v>5101.0644020461468</v>
      </c>
      <c r="F18" s="267">
        <f t="shared" si="1"/>
        <v>18403.052685217837</v>
      </c>
      <c r="G18" s="267">
        <f t="shared" si="1"/>
        <v>1383.2423755861041</v>
      </c>
      <c r="H18" s="267">
        <f t="shared" si="1"/>
        <v>25151.197904523222</v>
      </c>
      <c r="I18" s="423" t="s">
        <v>26</v>
      </c>
      <c r="J18" s="267">
        <f t="shared" si="1"/>
        <v>6155.0115297193179</v>
      </c>
    </row>
    <row r="19" spans="1:11" x14ac:dyDescent="0.2">
      <c r="A19" s="269"/>
      <c r="B19" s="270"/>
      <c r="C19" s="271"/>
      <c r="D19" s="271"/>
      <c r="E19" s="167"/>
      <c r="F19" s="167"/>
      <c r="G19" s="167"/>
      <c r="H19" s="167"/>
      <c r="I19" s="167"/>
      <c r="J19" s="167"/>
    </row>
    <row r="20" spans="1:11" x14ac:dyDescent="0.2">
      <c r="A20" s="249"/>
      <c r="B20" s="255"/>
      <c r="C20" s="249"/>
      <c r="D20" s="249"/>
      <c r="E20" s="249"/>
      <c r="F20" s="249"/>
      <c r="G20" s="249"/>
      <c r="J20" s="167"/>
    </row>
    <row r="21" spans="1:11" x14ac:dyDescent="0.2">
      <c r="A21" s="249"/>
      <c r="B21" s="249"/>
      <c r="C21" s="249"/>
      <c r="D21" s="249"/>
      <c r="E21" s="249"/>
      <c r="F21" s="249"/>
      <c r="G21" s="249"/>
      <c r="H21" s="249"/>
      <c r="I21" s="249"/>
      <c r="J21" s="167"/>
    </row>
    <row r="22" spans="1:11" x14ac:dyDescent="0.2">
      <c r="A22" s="249" t="s">
        <v>351</v>
      </c>
      <c r="B22" s="429">
        <f>B13/B$11</f>
        <v>12932.149790910446</v>
      </c>
      <c r="C22" s="429">
        <f t="shared" ref="C22:G23" si="2">C13/C$11</f>
        <v>14762.008483539797</v>
      </c>
      <c r="D22" s="429">
        <f t="shared" si="2"/>
        <v>14646.947424933487</v>
      </c>
      <c r="E22" s="429">
        <f t="shared" si="2"/>
        <v>3748.6647972934597</v>
      </c>
      <c r="F22" s="429">
        <f>F13/F$11</f>
        <v>10825.507539183673</v>
      </c>
      <c r="G22" s="429">
        <f t="shared" si="2"/>
        <v>0</v>
      </c>
      <c r="H22" s="429">
        <f>H13/H$11</f>
        <v>15049.181707179119</v>
      </c>
      <c r="I22" s="430" t="s">
        <v>26</v>
      </c>
      <c r="J22" s="431">
        <f>J13/J$11</f>
        <v>0</v>
      </c>
    </row>
    <row r="23" spans="1:11" x14ac:dyDescent="0.2">
      <c r="A23" s="249" t="s">
        <v>352</v>
      </c>
      <c r="B23" s="429">
        <f>B14/B$11</f>
        <v>2534.7066794852053</v>
      </c>
      <c r="C23" s="429">
        <f t="shared" si="2"/>
        <v>0</v>
      </c>
      <c r="D23" s="429">
        <f t="shared" si="2"/>
        <v>0</v>
      </c>
      <c r="E23" s="429">
        <f>E14/E$11</f>
        <v>199.61511877137926</v>
      </c>
      <c r="F23" s="429">
        <f>F14/F$11</f>
        <v>740.57383660107189</v>
      </c>
      <c r="G23" s="429">
        <f t="shared" si="2"/>
        <v>230.242375586104</v>
      </c>
      <c r="H23" s="429">
        <f>H14/H$11</f>
        <v>230.24237558610398</v>
      </c>
      <c r="I23" s="430" t="s">
        <v>26</v>
      </c>
      <c r="J23" s="431">
        <f>J14/J$11</f>
        <v>0</v>
      </c>
    </row>
    <row r="24" spans="1:11" x14ac:dyDescent="0.2">
      <c r="A24" s="253" t="s">
        <v>353</v>
      </c>
      <c r="B24" s="429">
        <f>'17 Detailed Sum'!D6*('17 Detailed Sum'!$C$17+1)/B$11</f>
        <v>15466.856470395651</v>
      </c>
      <c r="C24" s="429">
        <f>'17 Detailed Sum'!E6*('17 Detailed Sum'!$C$17+1)/C$11</f>
        <v>14762.008483539797</v>
      </c>
      <c r="D24" s="429">
        <f>'17 Detailed Sum'!F6*('17 Detailed Sum'!$C$17+1)/D$11</f>
        <v>14646.947424933487</v>
      </c>
      <c r="E24" s="429">
        <f>'17 Detailed Sum'!G6*('17 Detailed Sum'!$C$17+1)/E$11</f>
        <v>3948.2799160648387</v>
      </c>
      <c r="F24" s="429">
        <f>'17 Detailed Sum'!H6*('17 Detailed Sum'!$C$17+1)/F$11</f>
        <v>11566.081375784745</v>
      </c>
      <c r="G24" s="429">
        <f>'17 Detailed Sum'!I6*('17 Detailed Sum'!$C$17+1)/G$11</f>
        <v>230.242375586104</v>
      </c>
      <c r="H24" s="429">
        <f>'17 Detailed Sum'!J6*('17 Detailed Sum'!$C$17+1)/H$11</f>
        <v>15279.424082765221</v>
      </c>
      <c r="I24" s="430" t="s">
        <v>26</v>
      </c>
      <c r="J24" s="431">
        <f>'17 Detailed Sum'!L6*('17 Detailed Sum'!$C$17+1)/J$11</f>
        <v>0</v>
      </c>
    </row>
    <row r="25" spans="1:11" x14ac:dyDescent="0.2">
      <c r="A25" s="249" t="s">
        <v>354</v>
      </c>
      <c r="B25" s="429">
        <f>'17 Detailed Sum'!D7*('17 Detailed Sum'!$C$17+1)/B$11</f>
        <v>1153.109986635618</v>
      </c>
      <c r="C25" s="429">
        <f>'17 Detailed Sum'!E7*('17 Detailed Sum'!$C$17+1)/C$11</f>
        <v>1152.6458717253838</v>
      </c>
      <c r="D25" s="429">
        <f>'17 Detailed Sum'!F7*('17 Detailed Sum'!$C$17+1)/D$11</f>
        <v>1153</v>
      </c>
      <c r="E25" s="429">
        <f>'17 Detailed Sum'!G7*('17 Detailed Sum'!$C$17+1)/E$11</f>
        <v>1152.7844859813085</v>
      </c>
      <c r="F25" s="429">
        <f>'17 Detailed Sum'!H7*('17 Detailed Sum'!$C$17+1)/F$11</f>
        <v>1152.8468622025457</v>
      </c>
      <c r="G25" s="429">
        <f>'17 Detailed Sum'!I7*('17 Detailed Sum'!$C$17+1)/G$11</f>
        <v>1153.0000000000002</v>
      </c>
      <c r="H25" s="429">
        <f>'17 Detailed Sum'!J7*('17 Detailed Sum'!$C$17+1)/H$11</f>
        <v>1153</v>
      </c>
      <c r="I25" s="430" t="s">
        <v>26</v>
      </c>
      <c r="J25" s="431">
        <f>'17 Detailed Sum'!L7*('17 Detailed Sum'!$C$17+1)/J$11</f>
        <v>1153</v>
      </c>
    </row>
    <row r="26" spans="1:11" x14ac:dyDescent="0.2">
      <c r="A26" s="249" t="s">
        <v>355</v>
      </c>
      <c r="B26" s="429">
        <f>'17 Detailed Sum'!D8*('17 Detailed Sum'!$C$17+1)/B$11</f>
        <v>8527.5107905902587</v>
      </c>
      <c r="C26" s="429">
        <f>'17 Detailed Sum'!E8*('17 Detailed Sum'!$C$17+1)/C$11</f>
        <v>992.8226364383014</v>
      </c>
      <c r="D26" s="429">
        <f>'17 Detailed Sum'!F8*('17 Detailed Sum'!$C$17+1)/D$11</f>
        <v>0</v>
      </c>
      <c r="E26" s="429">
        <f>'17 Detailed Sum'!G8*('17 Detailed Sum'!$C$17+1)/E$11</f>
        <v>0</v>
      </c>
      <c r="F26" s="429">
        <f>'17 Detailed Sum'!H8*('17 Detailed Sum'!$C$17+1)/F$11</f>
        <v>5684.124447230548</v>
      </c>
      <c r="G26" s="429">
        <f>'17 Detailed Sum'!I8*('17 Detailed Sum'!$C$17+1)/G$11</f>
        <v>0</v>
      </c>
      <c r="H26" s="429">
        <f>'17 Detailed Sum'!J8*('17 Detailed Sum'!$C$17+1)/H$11</f>
        <v>8718.7738217580008</v>
      </c>
      <c r="I26" s="430" t="s">
        <v>26</v>
      </c>
      <c r="J26" s="431">
        <f>'17 Detailed Sum'!L8*('17 Detailed Sum'!$C$17+1)/J$11</f>
        <v>5002.0115297193179</v>
      </c>
    </row>
    <row r="27" spans="1:11" x14ac:dyDescent="0.2">
      <c r="B27" s="249"/>
      <c r="C27" s="249"/>
      <c r="D27" s="249"/>
      <c r="E27" s="249"/>
      <c r="F27" s="249"/>
      <c r="H27" s="249"/>
    </row>
    <row r="28" spans="1:11" x14ac:dyDescent="0.2">
      <c r="A28" s="167" t="str">
        <f>'17 Detailed Sum'!A26</f>
        <v xml:space="preserve">(a) Includes disturbed area adjacent and north of the SWRDF </v>
      </c>
      <c r="B28" s="272"/>
      <c r="D28" s="272"/>
      <c r="E28" s="272"/>
      <c r="F28" s="272"/>
      <c r="H28" s="272"/>
    </row>
    <row r="29" spans="1:11" x14ac:dyDescent="0.2">
      <c r="A29" s="167" t="str">
        <f>'17 Detailed Sum'!A27</f>
        <v>( b) Includes berm and fence disturbed area</v>
      </c>
    </row>
    <row r="30" spans="1:11" x14ac:dyDescent="0.2">
      <c r="A30" s="167" t="str">
        <f>'17 Detailed Sum'!A28</f>
        <v>(c) Other includes benches, channels, downdrains, plug and abandon wells, fence, berms, and reinforced concrete wall demolition.</v>
      </c>
    </row>
    <row r="31" spans="1:11" x14ac:dyDescent="0.2">
      <c r="A31" s="167" t="str">
        <f>'17 Detailed Sum'!A29</f>
        <v>(d) Cost includes reclaiming south buttress area and burying tailing pipelines in place.</v>
      </c>
    </row>
    <row r="33" spans="2:10" x14ac:dyDescent="0.2">
      <c r="H33" s="249"/>
      <c r="I33" s="255"/>
    </row>
    <row r="35" spans="2:10" x14ac:dyDescent="0.2">
      <c r="B35" s="266"/>
      <c r="C35" s="266"/>
      <c r="D35" s="266"/>
      <c r="E35" s="266"/>
      <c r="F35" s="266"/>
      <c r="G35" s="266"/>
      <c r="H35" s="266"/>
      <c r="I35" s="266"/>
      <c r="J35" s="213"/>
    </row>
  </sheetData>
  <pageMargins left="0.5" right="0.5" top="1" bottom="0.5" header="0.5" footer="0.5"/>
  <pageSetup scale="75" orientation="landscape" r:id="rId1"/>
  <headerFooter alignWithMargins="0">
    <oddFooter>&amp;C&amp;F
&amp;   Stockpile Sheet 18 
&amp;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0"/>
  <sheetViews>
    <sheetView workbookViewId="0">
      <selection activeCell="C11" sqref="C11"/>
    </sheetView>
  </sheetViews>
  <sheetFormatPr defaultColWidth="8.77734375" defaultRowHeight="15" x14ac:dyDescent="0.2"/>
  <cols>
    <col min="1" max="16384" width="8.77734375" style="4"/>
  </cols>
  <sheetData>
    <row r="5" spans="1:3" x14ac:dyDescent="0.2">
      <c r="C5" s="170"/>
    </row>
    <row r="6" spans="1:3" x14ac:dyDescent="0.2">
      <c r="C6" s="14"/>
    </row>
    <row r="7" spans="1:3" x14ac:dyDescent="0.2">
      <c r="C7" s="14"/>
    </row>
    <row r="8" spans="1:3" x14ac:dyDescent="0.2">
      <c r="A8" s="273"/>
    </row>
    <row r="9" spans="1:3" x14ac:dyDescent="0.2">
      <c r="A9" s="274"/>
    </row>
    <row r="10" spans="1:3" x14ac:dyDescent="0.2">
      <c r="A10" s="274"/>
    </row>
  </sheetData>
  <printOptions horizontalCentered="1"/>
  <pageMargins left="0.75" right="0.75" top="1" bottom="1" header="0.5" footer="0.5"/>
  <pageSetup scale="75" orientation="landscape" r:id="rId1"/>
  <headerFooter alignWithMargins="0">
    <oddFooter>&amp;C&amp;F&amp;A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
  <sheetViews>
    <sheetView workbookViewId="0">
      <selection activeCell="B3" sqref="B3"/>
    </sheetView>
  </sheetViews>
  <sheetFormatPr defaultColWidth="7.21875" defaultRowHeight="12.75" x14ac:dyDescent="0.2"/>
  <cols>
    <col min="1" max="16384" width="7.21875" style="275"/>
  </cols>
  <sheetData>
    <row r="3" spans="1:3" ht="26.25" x14ac:dyDescent="0.4">
      <c r="B3" s="348" t="s">
        <v>14</v>
      </c>
    </row>
    <row r="5" spans="1:3" ht="15" x14ac:dyDescent="0.2">
      <c r="C5" s="125"/>
    </row>
    <row r="6" spans="1:3" ht="15" x14ac:dyDescent="0.2">
      <c r="C6" s="125"/>
    </row>
    <row r="7" spans="1:3" ht="15" x14ac:dyDescent="0.2">
      <c r="C7" s="125"/>
    </row>
    <row r="8" spans="1:3" ht="15" x14ac:dyDescent="0.2">
      <c r="A8"/>
    </row>
    <row r="9" spans="1:3" ht="15" x14ac:dyDescent="0.2">
      <c r="A9"/>
    </row>
    <row r="10" spans="1:3" ht="15" x14ac:dyDescent="0.2">
      <c r="A10"/>
    </row>
  </sheetData>
  <printOptions horizontalCentered="1"/>
  <pageMargins left="0.75" right="0.75" top="1" bottom="1" header="0.5" footer="0.5"/>
  <pageSetup scale="75" orientation="landscape" r:id="rId1"/>
  <headerFooter alignWithMargins="0">
    <oddFooter>&amp;C&amp;F&amp;A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topLeftCell="A7" zoomScaleNormal="75" zoomScaleSheetLayoutView="100" workbookViewId="0">
      <selection activeCell="C30" sqref="C30"/>
    </sheetView>
  </sheetViews>
  <sheetFormatPr defaultColWidth="7.21875" defaultRowHeight="12.75" x14ac:dyDescent="0.2"/>
  <cols>
    <col min="1" max="1" width="20.21875" style="275" customWidth="1"/>
    <col min="2" max="2" width="15.77734375" style="275" customWidth="1"/>
    <col min="3" max="3" width="23.21875" style="275" customWidth="1"/>
    <col min="4" max="4" width="8.6640625" style="275" customWidth="1"/>
    <col min="5" max="28" width="10.33203125" style="275" customWidth="1"/>
    <col min="29" max="16384" width="7.21875" style="275"/>
  </cols>
  <sheetData>
    <row r="1" spans="1:31" ht="15" x14ac:dyDescent="0.2">
      <c r="A1" s="1"/>
      <c r="B1" s="276"/>
      <c r="C1" s="276"/>
      <c r="D1" s="276"/>
      <c r="E1" s="277"/>
      <c r="F1" s="276"/>
      <c r="G1" s="276"/>
      <c r="H1" s="276"/>
      <c r="J1" s="278" t="str">
        <f>'1 General'!$C$1</f>
        <v>Cobre</v>
      </c>
      <c r="K1" s="279"/>
      <c r="L1" s="279"/>
      <c r="M1" s="279"/>
      <c r="N1" s="279"/>
      <c r="P1" s="279"/>
      <c r="Q1" s="279"/>
      <c r="R1" s="279"/>
      <c r="S1" s="279"/>
      <c r="T1" s="279"/>
      <c r="U1" s="279"/>
      <c r="V1" s="279"/>
      <c r="W1" s="279"/>
      <c r="X1" s="279"/>
      <c r="Y1" s="279"/>
      <c r="Z1" s="279"/>
      <c r="AA1" s="279"/>
      <c r="AB1" s="279"/>
      <c r="AC1" s="277"/>
      <c r="AD1" s="277"/>
      <c r="AE1" s="277"/>
    </row>
    <row r="2" spans="1:31" ht="15" x14ac:dyDescent="0.2">
      <c r="A2" s="1"/>
      <c r="B2" s="276"/>
      <c r="C2" s="276"/>
      <c r="D2" s="276"/>
      <c r="E2" s="276"/>
      <c r="F2" s="276"/>
      <c r="G2" s="276"/>
      <c r="H2" s="276"/>
      <c r="J2" s="280" t="s">
        <v>356</v>
      </c>
      <c r="K2" s="279"/>
      <c r="L2" s="279"/>
      <c r="M2" s="279"/>
      <c r="N2" s="279"/>
      <c r="P2" s="279"/>
      <c r="Q2" s="279"/>
      <c r="R2" s="279"/>
      <c r="S2" s="279"/>
      <c r="T2" s="279"/>
      <c r="U2" s="279"/>
      <c r="V2" s="279"/>
      <c r="W2" s="279"/>
      <c r="X2" s="279"/>
      <c r="Y2" s="279"/>
      <c r="Z2" s="279"/>
      <c r="AA2" s="279"/>
      <c r="AB2" s="279"/>
      <c r="AC2" s="277"/>
      <c r="AD2" s="277"/>
      <c r="AE2" s="277"/>
    </row>
    <row r="3" spans="1:31" x14ac:dyDescent="0.2">
      <c r="A3" s="281" t="s">
        <v>357</v>
      </c>
      <c r="B3" s="281"/>
      <c r="C3" s="281"/>
      <c r="D3" s="281"/>
      <c r="E3" s="276"/>
      <c r="F3" s="276"/>
      <c r="G3" s="276"/>
      <c r="H3" s="276"/>
      <c r="J3" s="282">
        <f>'1 General'!$C$3</f>
        <v>41978</v>
      </c>
      <c r="K3" s="279"/>
      <c r="L3" s="279"/>
      <c r="M3" s="279"/>
      <c r="N3" s="279"/>
      <c r="P3" s="279"/>
      <c r="Q3" s="279"/>
      <c r="R3" s="279"/>
      <c r="S3" s="279"/>
      <c r="T3" s="279"/>
      <c r="U3" s="279"/>
      <c r="V3" s="279"/>
      <c r="W3" s="279"/>
      <c r="X3" s="279"/>
      <c r="Y3" s="279"/>
      <c r="Z3" s="279"/>
      <c r="AA3" s="279"/>
      <c r="AB3" s="279"/>
      <c r="AC3" s="277"/>
      <c r="AD3" s="277"/>
      <c r="AE3" s="277"/>
    </row>
    <row r="4" spans="1:31" x14ac:dyDescent="0.2">
      <c r="A4" s="281"/>
      <c r="B4" s="281"/>
      <c r="C4" s="281"/>
      <c r="D4" s="281"/>
      <c r="E4" s="276"/>
      <c r="F4" s="276"/>
      <c r="G4" s="276"/>
      <c r="H4" s="276"/>
      <c r="J4" s="279"/>
      <c r="K4" s="279"/>
      <c r="L4" s="279"/>
      <c r="M4" s="279"/>
      <c r="N4" s="279"/>
      <c r="O4" s="282"/>
      <c r="P4" s="279"/>
      <c r="Q4" s="279"/>
      <c r="R4" s="279"/>
      <c r="S4" s="279"/>
      <c r="T4" s="279"/>
      <c r="U4" s="279"/>
      <c r="V4" s="279"/>
      <c r="W4" s="279"/>
      <c r="X4" s="279"/>
      <c r="Y4" s="279"/>
      <c r="Z4" s="279"/>
      <c r="AA4" s="279"/>
      <c r="AB4" s="279"/>
      <c r="AC4" s="277"/>
      <c r="AD4" s="277"/>
      <c r="AE4" s="277"/>
    </row>
    <row r="5" spans="1:31" ht="15" x14ac:dyDescent="0.2">
      <c r="A5" s="276"/>
      <c r="B5" s="276"/>
      <c r="C5" s="14"/>
      <c r="D5" s="276"/>
      <c r="E5" s="276"/>
      <c r="F5" s="276"/>
      <c r="G5" s="276"/>
      <c r="H5" s="276"/>
      <c r="I5" s="280"/>
      <c r="J5" s="279"/>
      <c r="K5" s="279"/>
      <c r="L5" s="279"/>
      <c r="M5" s="279"/>
      <c r="N5" s="279"/>
      <c r="O5" s="279"/>
      <c r="P5" s="279"/>
      <c r="Q5" s="279"/>
      <c r="R5" s="279"/>
      <c r="S5" s="279"/>
      <c r="T5" s="279"/>
      <c r="U5" s="279"/>
      <c r="V5" s="279"/>
      <c r="W5" s="279"/>
      <c r="X5" s="279"/>
      <c r="Y5" s="279"/>
      <c r="Z5" s="279"/>
      <c r="AA5" s="279"/>
      <c r="AB5" s="279"/>
      <c r="AC5" s="277"/>
      <c r="AD5" s="277"/>
      <c r="AE5" s="277"/>
    </row>
    <row r="6" spans="1:31" ht="15" x14ac:dyDescent="0.2">
      <c r="A6" s="280" t="s">
        <v>358</v>
      </c>
      <c r="B6" s="276" t="s">
        <v>359</v>
      </c>
      <c r="C6" s="14" t="s">
        <v>178</v>
      </c>
      <c r="D6" s="276"/>
      <c r="E6" s="276"/>
      <c r="F6" s="276"/>
      <c r="G6" s="276"/>
      <c r="H6" s="276"/>
      <c r="I6" s="280"/>
      <c r="J6" s="279"/>
      <c r="K6" s="279"/>
      <c r="L6" s="279"/>
      <c r="M6" s="279"/>
      <c r="N6" s="279"/>
      <c r="O6" s="279"/>
      <c r="P6" s="279"/>
      <c r="Q6" s="279"/>
      <c r="R6" s="279"/>
      <c r="S6" s="279"/>
      <c r="T6" s="279"/>
      <c r="U6" s="279"/>
      <c r="V6" s="279"/>
      <c r="W6" s="279"/>
      <c r="X6" s="279"/>
      <c r="Y6" s="279"/>
      <c r="Z6" s="279"/>
      <c r="AA6" s="279"/>
      <c r="AB6" s="279"/>
      <c r="AC6" s="277"/>
      <c r="AD6" s="277"/>
      <c r="AE6" s="277"/>
    </row>
    <row r="7" spans="1:31" ht="15" x14ac:dyDescent="0.2">
      <c r="A7" s="276"/>
      <c r="B7" s="276"/>
      <c r="C7" s="14"/>
      <c r="D7" s="276"/>
      <c r="E7" s="276"/>
      <c r="F7" s="276"/>
      <c r="G7" s="276"/>
      <c r="H7" s="276"/>
      <c r="I7" s="280"/>
      <c r="J7" s="279"/>
      <c r="K7" s="279"/>
      <c r="L7" s="279"/>
      <c r="M7" s="279"/>
      <c r="N7" s="279"/>
      <c r="O7" s="279"/>
      <c r="P7" s="279"/>
      <c r="Q7" s="279"/>
      <c r="R7" s="279"/>
      <c r="S7" s="279"/>
      <c r="T7" s="279"/>
      <c r="U7" s="279"/>
      <c r="V7" s="279"/>
      <c r="W7" s="279"/>
      <c r="X7" s="279"/>
      <c r="Y7" s="279"/>
      <c r="Z7" s="279"/>
      <c r="AA7" s="279"/>
      <c r="AB7" s="279"/>
      <c r="AC7" s="277"/>
      <c r="AD7" s="277"/>
      <c r="AE7" s="277"/>
    </row>
    <row r="8" spans="1:31" x14ac:dyDescent="0.2">
      <c r="A8" s="280" t="s">
        <v>360</v>
      </c>
      <c r="B8" s="276" t="s">
        <v>361</v>
      </c>
      <c r="C8" s="276"/>
      <c r="D8" s="276"/>
      <c r="E8" s="276"/>
      <c r="F8" s="276"/>
      <c r="G8" s="276"/>
      <c r="H8" s="276"/>
      <c r="I8" s="280"/>
      <c r="J8" s="279"/>
      <c r="K8" s="279"/>
      <c r="L8" s="279"/>
      <c r="M8" s="279"/>
      <c r="N8" s="279"/>
      <c r="O8" s="279"/>
      <c r="P8" s="279"/>
      <c r="Q8" s="279"/>
      <c r="R8" s="279"/>
      <c r="S8" s="279"/>
      <c r="T8" s="279"/>
      <c r="U8" s="279"/>
      <c r="V8" s="279"/>
      <c r="W8" s="279"/>
      <c r="X8" s="279"/>
      <c r="Y8" s="279"/>
      <c r="Z8" s="279"/>
      <c r="AA8" s="279"/>
      <c r="AB8" s="279"/>
      <c r="AC8" s="277"/>
      <c r="AD8" s="277"/>
      <c r="AE8" s="277"/>
    </row>
    <row r="9" spans="1:31" ht="15" x14ac:dyDescent="0.2">
      <c r="A9" s="14"/>
      <c r="B9" s="276"/>
      <c r="C9" s="279"/>
      <c r="D9" s="276"/>
      <c r="E9" s="276"/>
      <c r="F9" s="276"/>
      <c r="G9" s="276"/>
      <c r="H9" s="276"/>
      <c r="I9" s="280"/>
      <c r="J9" s="279"/>
      <c r="K9" s="279"/>
      <c r="L9" s="279"/>
      <c r="M9" s="279"/>
      <c r="N9" s="279"/>
      <c r="O9" s="279"/>
      <c r="P9" s="279"/>
      <c r="Q9" s="279"/>
      <c r="R9" s="279"/>
      <c r="S9" s="279"/>
      <c r="T9" s="279"/>
      <c r="U9" s="279"/>
      <c r="V9" s="279"/>
      <c r="W9" s="279"/>
      <c r="X9" s="279"/>
      <c r="Y9" s="279"/>
      <c r="Z9" s="279"/>
      <c r="AA9" s="279"/>
      <c r="AB9" s="279"/>
      <c r="AC9" s="277"/>
      <c r="AD9" s="277"/>
      <c r="AE9" s="277"/>
    </row>
    <row r="10" spans="1:31" ht="15" x14ac:dyDescent="0.2">
      <c r="A10" s="14"/>
      <c r="B10" s="279"/>
      <c r="C10" s="279"/>
      <c r="D10" s="279"/>
      <c r="E10" s="279" t="s">
        <v>362</v>
      </c>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7"/>
      <c r="AD10" s="277"/>
      <c r="AE10" s="277"/>
    </row>
    <row r="11" spans="1:31" x14ac:dyDescent="0.2">
      <c r="A11" s="279" t="s">
        <v>75</v>
      </c>
      <c r="B11" s="279" t="s">
        <v>20</v>
      </c>
      <c r="C11" s="279" t="s">
        <v>21</v>
      </c>
      <c r="D11" s="279" t="s">
        <v>23</v>
      </c>
      <c r="E11" s="279">
        <v>2</v>
      </c>
      <c r="F11" s="279">
        <f>E11+1</f>
        <v>3</v>
      </c>
      <c r="G11" s="279">
        <f t="shared" ref="G11:AB11" si="0">F11+1</f>
        <v>4</v>
      </c>
      <c r="H11" s="279">
        <f t="shared" si="0"/>
        <v>5</v>
      </c>
      <c r="I11" s="279">
        <f t="shared" si="0"/>
        <v>6</v>
      </c>
      <c r="J11" s="279">
        <f t="shared" si="0"/>
        <v>7</v>
      </c>
      <c r="K11" s="279">
        <f t="shared" si="0"/>
        <v>8</v>
      </c>
      <c r="L11" s="279">
        <f t="shared" si="0"/>
        <v>9</v>
      </c>
      <c r="M11" s="279">
        <f t="shared" si="0"/>
        <v>10</v>
      </c>
      <c r="N11" s="279">
        <f t="shared" si="0"/>
        <v>11</v>
      </c>
      <c r="O11" s="279">
        <f t="shared" si="0"/>
        <v>12</v>
      </c>
      <c r="P11" s="279">
        <f t="shared" si="0"/>
        <v>13</v>
      </c>
      <c r="Q11" s="279">
        <f t="shared" si="0"/>
        <v>14</v>
      </c>
      <c r="R11" s="279">
        <f t="shared" si="0"/>
        <v>15</v>
      </c>
      <c r="S11" s="279">
        <f t="shared" si="0"/>
        <v>16</v>
      </c>
      <c r="T11" s="279">
        <f t="shared" si="0"/>
        <v>17</v>
      </c>
      <c r="U11" s="279">
        <f t="shared" si="0"/>
        <v>18</v>
      </c>
      <c r="V11" s="279">
        <f t="shared" si="0"/>
        <v>19</v>
      </c>
      <c r="W11" s="279">
        <f t="shared" si="0"/>
        <v>20</v>
      </c>
      <c r="X11" s="279">
        <f t="shared" si="0"/>
        <v>21</v>
      </c>
      <c r="Y11" s="279">
        <f t="shared" si="0"/>
        <v>22</v>
      </c>
      <c r="Z11" s="279">
        <f t="shared" si="0"/>
        <v>23</v>
      </c>
      <c r="AA11" s="279">
        <f t="shared" si="0"/>
        <v>24</v>
      </c>
      <c r="AB11" s="279">
        <f t="shared" si="0"/>
        <v>25</v>
      </c>
      <c r="AC11" s="277"/>
      <c r="AD11" s="277"/>
      <c r="AE11" s="277"/>
    </row>
    <row r="12" spans="1:31" ht="15" x14ac:dyDescent="0.2">
      <c r="A12" s="283"/>
      <c r="B12" s="279"/>
      <c r="C12" s="279"/>
      <c r="D12" s="279"/>
      <c r="E12" s="284"/>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7"/>
      <c r="AD12" s="277"/>
      <c r="AE12" s="277"/>
    </row>
    <row r="13" spans="1:31" ht="15" x14ac:dyDescent="0.2">
      <c r="A13" s="283"/>
      <c r="B13" s="279"/>
      <c r="C13" s="279"/>
      <c r="D13" s="279"/>
      <c r="E13" s="284"/>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7"/>
      <c r="AD13" s="277"/>
      <c r="AE13" s="277"/>
    </row>
    <row r="14" spans="1:31" x14ac:dyDescent="0.2">
      <c r="A14" s="279" t="str">
        <f>'4   Earthwork'!B56</f>
        <v>Haul cover soil</v>
      </c>
      <c r="B14" s="279" t="str">
        <f>'4   Earthwork'!C56</f>
        <v>OB Stockpile 1 through 4, Topsoil Stockpile, South OB Stockpile</v>
      </c>
      <c r="C14" s="279" t="str">
        <f>'4   Earthwork'!D56</f>
        <v xml:space="preserve">SWRDF Top </v>
      </c>
      <c r="D14" s="279" t="str">
        <f>'3   Material'!$G56</f>
        <v>777F</v>
      </c>
      <c r="E14" s="285">
        <f>'9   Trucks'!$AI14*'9   Trucks'!$L14*'10   Loader'!$F11*E$11/'9   Trucks'!$F14</f>
        <v>937.63522531970796</v>
      </c>
      <c r="F14" s="285">
        <f>'9   Trucks'!$AI14*'9   Trucks'!$L14*'10   Loader'!$F11*F$11/'9   Trucks'!$F14</f>
        <v>1406.4528379795618</v>
      </c>
      <c r="G14" s="285">
        <f>'9   Trucks'!$AI14*'9   Trucks'!$L14*'10   Loader'!$F11*G$11/'9   Trucks'!$F14</f>
        <v>1875.2704506394159</v>
      </c>
      <c r="H14" s="285">
        <f>'9   Trucks'!$AI14*'9   Trucks'!$L14*'10   Loader'!$F11*H$11/'9   Trucks'!$F14</f>
        <v>2344.0880632992698</v>
      </c>
      <c r="I14" s="285">
        <f>'9   Trucks'!$AI14*'9   Trucks'!$L14*'10   Loader'!$F11*I$11/'9   Trucks'!$F14</f>
        <v>2812.9056759591235</v>
      </c>
      <c r="J14" s="285">
        <f>'9   Trucks'!$AI14*'9   Trucks'!$L14*'10   Loader'!$F11*J$11/'9   Trucks'!$F14</f>
        <v>3281.7232886189777</v>
      </c>
      <c r="K14" s="285">
        <f>'9   Trucks'!$AI14*'9   Trucks'!$L14*'10   Loader'!$F11*K$11/'9   Trucks'!$F14</f>
        <v>3750.5409012788318</v>
      </c>
      <c r="L14" s="285">
        <f>'9   Trucks'!$AI14*'9   Trucks'!$L14*'10   Loader'!$F11*L$11/'9   Trucks'!$F14</f>
        <v>4219.358513938686</v>
      </c>
      <c r="M14" s="285">
        <f>'9   Trucks'!$AI14*'9   Trucks'!$L14*'10   Loader'!$F11*M$11/'9   Trucks'!$F14</f>
        <v>4688.1761265985397</v>
      </c>
      <c r="N14" s="285">
        <f>'9   Trucks'!$AI14*'9   Trucks'!$L14*'10   Loader'!$F11*N$11/'9   Trucks'!$F14</f>
        <v>5156.9937392583934</v>
      </c>
      <c r="O14" s="285">
        <f>'9   Trucks'!$AI14*'9   Trucks'!$L14*'10   Loader'!$F11*O$11/'9   Trucks'!$F14</f>
        <v>5625.8113519182471</v>
      </c>
      <c r="P14" s="285">
        <f>'9   Trucks'!$AI14*'9   Trucks'!$L14*'10   Loader'!$F11*P$11/'9   Trucks'!$F14</f>
        <v>6094.6289645781017</v>
      </c>
      <c r="Q14" s="285">
        <f>'9   Trucks'!$AI14*'9   Trucks'!$L14*'10   Loader'!$F11*Q$11/'9   Trucks'!$F14</f>
        <v>6563.4465772379554</v>
      </c>
      <c r="R14" s="285">
        <f>'9   Trucks'!$AI14*'9   Trucks'!$L14*'10   Loader'!$F11*R$11/'9   Trucks'!$F14</f>
        <v>7032.264189897809</v>
      </c>
      <c r="S14" s="285">
        <f>'9   Trucks'!$AI14*'9   Trucks'!$L14*'10   Loader'!$F11*S$11/'9   Trucks'!$F14</f>
        <v>7501.0818025576637</v>
      </c>
      <c r="T14" s="285">
        <f>'9   Trucks'!$AI14*'9   Trucks'!$L14*'10   Loader'!$F11*T$11/'9   Trucks'!$F14</f>
        <v>7969.8994152175173</v>
      </c>
      <c r="U14" s="285">
        <f>'9   Trucks'!$AI14*'9   Trucks'!$L14*'10   Loader'!$F11*U$11/'9   Trucks'!$F14</f>
        <v>8438.7170278773719</v>
      </c>
      <c r="V14" s="285">
        <f>'9   Trucks'!$AI14*'9   Trucks'!$L14*'10   Loader'!$F11*V$11/'9   Trucks'!$F14</f>
        <v>8907.5346405372256</v>
      </c>
      <c r="W14" s="285">
        <f>'9   Trucks'!$AI14*'9   Trucks'!$L14*'10   Loader'!$F11*W$11/'9   Trucks'!$F14</f>
        <v>9376.3522531970793</v>
      </c>
      <c r="X14" s="285">
        <f>'9   Trucks'!$AI14*'9   Trucks'!$L14*'10   Loader'!$F11*X$11/'9   Trucks'!$F14</f>
        <v>9845.169865856933</v>
      </c>
      <c r="Y14" s="285">
        <f>'9   Trucks'!$AI14*'9   Trucks'!$L14*'10   Loader'!$F11*Y$11/'9   Trucks'!$F14</f>
        <v>10313.987478516787</v>
      </c>
      <c r="Z14" s="285">
        <f>'9   Trucks'!$AI14*'9   Trucks'!$L14*'10   Loader'!$F11*Z$11/'9   Trucks'!$F14</f>
        <v>10782.80509117664</v>
      </c>
      <c r="AA14" s="285">
        <f>'9   Trucks'!$AI14*'9   Trucks'!$L14*'10   Loader'!$F11*AA$11/'9   Trucks'!$F14</f>
        <v>11251.622703836494</v>
      </c>
      <c r="AB14" s="285">
        <f>'9   Trucks'!$AI14*'9   Trucks'!$L14*'10   Loader'!$F11*AB$11/'9   Trucks'!$F14</f>
        <v>11720.44031649635</v>
      </c>
      <c r="AC14" s="277"/>
      <c r="AD14" s="277"/>
      <c r="AE14" s="277"/>
    </row>
    <row r="15" spans="1:31" x14ac:dyDescent="0.2">
      <c r="A15" s="279" t="str">
        <f>'4   Earthwork'!B57</f>
        <v>Haul cover soil</v>
      </c>
      <c r="B15" s="279" t="str">
        <f>'4   Earthwork'!C57</f>
        <v>OB Stockpile 1 through 4, Topsoil Stockpile, South OB Stockpile</v>
      </c>
      <c r="C15" s="279" t="str">
        <f>'4   Earthwork'!D57</f>
        <v>SWRDF Outslopes</v>
      </c>
      <c r="D15" s="279" t="str">
        <f>'3   Material'!$G57</f>
        <v>777F</v>
      </c>
      <c r="E15" s="285">
        <f>'9   Trucks'!$AI15*'9   Trucks'!$L15*'10   Loader'!$F12*E$11/'9   Trucks'!$F15</f>
        <v>937.63522531970796</v>
      </c>
      <c r="F15" s="285">
        <f>'9   Trucks'!$AI15*'9   Trucks'!$L15*'10   Loader'!$F12*F$11/'9   Trucks'!$F15</f>
        <v>1406.4528379795618</v>
      </c>
      <c r="G15" s="285">
        <f>'9   Trucks'!$AI15*'9   Trucks'!$L15*'10   Loader'!$F12*G$11/'9   Trucks'!$F15</f>
        <v>1875.2704506394159</v>
      </c>
      <c r="H15" s="285">
        <f>'9   Trucks'!$AI15*'9   Trucks'!$L15*'10   Loader'!$F12*H$11/'9   Trucks'!$F15</f>
        <v>2344.0880632992698</v>
      </c>
      <c r="I15" s="285">
        <f>'9   Trucks'!$AI15*'9   Trucks'!$L15*'10   Loader'!$F12*I$11/'9   Trucks'!$F15</f>
        <v>2812.9056759591235</v>
      </c>
      <c r="J15" s="285">
        <f>'9   Trucks'!$AI15*'9   Trucks'!$L15*'10   Loader'!$F12*J$11/'9   Trucks'!$F15</f>
        <v>3281.7232886189777</v>
      </c>
      <c r="K15" s="285">
        <f>'9   Trucks'!$AI15*'9   Trucks'!$L15*'10   Loader'!$F12*K$11/'9   Trucks'!$F15</f>
        <v>3750.5409012788318</v>
      </c>
      <c r="L15" s="285">
        <f>'9   Trucks'!$AI15*'9   Trucks'!$L15*'10   Loader'!$F12*L$11/'9   Trucks'!$F15</f>
        <v>4219.358513938686</v>
      </c>
      <c r="M15" s="285">
        <f>'9   Trucks'!$AI15*'9   Trucks'!$L15*'10   Loader'!$F12*M$11/'9   Trucks'!$F15</f>
        <v>4688.1761265985397</v>
      </c>
      <c r="N15" s="285">
        <f>'9   Trucks'!$AI15*'9   Trucks'!$L15*'10   Loader'!$F12*N$11/'9   Trucks'!$F15</f>
        <v>5156.9937392583934</v>
      </c>
      <c r="O15" s="285">
        <f>'9   Trucks'!$AI15*'9   Trucks'!$L15*'10   Loader'!$F12*O$11/'9   Trucks'!$F15</f>
        <v>5625.8113519182471</v>
      </c>
      <c r="P15" s="285">
        <f>'9   Trucks'!$AI15*'9   Trucks'!$L15*'10   Loader'!$F12*P$11/'9   Trucks'!$F15</f>
        <v>6094.6289645781017</v>
      </c>
      <c r="Q15" s="285">
        <f>'9   Trucks'!$AI15*'9   Trucks'!$L15*'10   Loader'!$F12*Q$11/'9   Trucks'!$F15</f>
        <v>6563.4465772379554</v>
      </c>
      <c r="R15" s="285">
        <f>'9   Trucks'!$AI15*'9   Trucks'!$L15*'10   Loader'!$F12*R$11/'9   Trucks'!$F15</f>
        <v>7032.264189897809</v>
      </c>
      <c r="S15" s="285">
        <f>'9   Trucks'!$AI15*'9   Trucks'!$L15*'10   Loader'!$F12*S$11/'9   Trucks'!$F15</f>
        <v>7501.0818025576637</v>
      </c>
      <c r="T15" s="285">
        <f>'9   Trucks'!$AI15*'9   Trucks'!$L15*'10   Loader'!$F12*T$11/'9   Trucks'!$F15</f>
        <v>7969.8994152175173</v>
      </c>
      <c r="U15" s="285">
        <f>'9   Trucks'!$AI15*'9   Trucks'!$L15*'10   Loader'!$F12*U$11/'9   Trucks'!$F15</f>
        <v>8438.7170278773719</v>
      </c>
      <c r="V15" s="285">
        <f>'9   Trucks'!$AI15*'9   Trucks'!$L15*'10   Loader'!$F12*V$11/'9   Trucks'!$F15</f>
        <v>8907.5346405372256</v>
      </c>
      <c r="W15" s="285">
        <f>'9   Trucks'!$AI15*'9   Trucks'!$L15*'10   Loader'!$F12*W$11/'9   Trucks'!$F15</f>
        <v>9376.3522531970793</v>
      </c>
      <c r="X15" s="285">
        <f>'9   Trucks'!$AI15*'9   Trucks'!$L15*'10   Loader'!$F12*X$11/'9   Trucks'!$F15</f>
        <v>9845.169865856933</v>
      </c>
      <c r="Y15" s="285">
        <f>'9   Trucks'!$AI15*'9   Trucks'!$L15*'10   Loader'!$F12*Y$11/'9   Trucks'!$F15</f>
        <v>10313.987478516787</v>
      </c>
      <c r="Z15" s="285">
        <f>'9   Trucks'!$AI15*'9   Trucks'!$L15*'10   Loader'!$F12*Z$11/'9   Trucks'!$F15</f>
        <v>10782.80509117664</v>
      </c>
      <c r="AA15" s="285">
        <f>'9   Trucks'!$AI15*'9   Trucks'!$L15*'10   Loader'!$F12*AA$11/'9   Trucks'!$F15</f>
        <v>11251.622703836494</v>
      </c>
      <c r="AB15" s="285">
        <f>'9   Trucks'!$AI15*'9   Trucks'!$L15*'10   Loader'!$F12*AB$11/'9   Trucks'!$F15</f>
        <v>11720.44031649635</v>
      </c>
      <c r="AC15" s="277"/>
      <c r="AD15" s="277"/>
      <c r="AE15" s="277"/>
    </row>
    <row r="16" spans="1:31" x14ac:dyDescent="0.2">
      <c r="A16" s="279" t="str">
        <f>'4   Earthwork'!B58</f>
        <v>Haul cover soil</v>
      </c>
      <c r="B16" s="279" t="str">
        <f>'4   Earthwork'!C58</f>
        <v>NOBS</v>
      </c>
      <c r="C16" s="279" t="str">
        <f>'4   Earthwork'!D58</f>
        <v xml:space="preserve">SWRDF Top </v>
      </c>
      <c r="D16" s="279" t="str">
        <f>'3   Material'!$G58</f>
        <v>777F</v>
      </c>
      <c r="E16" s="285">
        <f>'9   Trucks'!$AI16*'9   Trucks'!$L16*'10   Loader'!$F13*E$11/'9   Trucks'!$F16</f>
        <v>456.52353964643652</v>
      </c>
      <c r="F16" s="285">
        <f>'9   Trucks'!$AI16*'9   Trucks'!$L16*'10   Loader'!$F13*F$11/'9   Trucks'!$F16</f>
        <v>684.78530946965475</v>
      </c>
      <c r="G16" s="285">
        <f>'9   Trucks'!$AI16*'9   Trucks'!$L16*'10   Loader'!$F13*G$11/'9   Trucks'!$F16</f>
        <v>913.04707929287304</v>
      </c>
      <c r="H16" s="285">
        <f>'9   Trucks'!$AI16*'9   Trucks'!$L16*'10   Loader'!$F13*H$11/'9   Trucks'!$F16</f>
        <v>1141.3088491160913</v>
      </c>
      <c r="I16" s="285">
        <f>'9   Trucks'!$AI16*'9   Trucks'!$L16*'10   Loader'!$F13*I$11/'9   Trucks'!$F16</f>
        <v>1369.5706189393095</v>
      </c>
      <c r="J16" s="285">
        <f>'9   Trucks'!$AI16*'9   Trucks'!$L16*'10   Loader'!$F13*J$11/'9   Trucks'!$F16</f>
        <v>1597.8323887625279</v>
      </c>
      <c r="K16" s="285">
        <f>'9   Trucks'!$AI16*'9   Trucks'!$L16*'10   Loader'!$F13*K$11/'9   Trucks'!$F16</f>
        <v>1826.0941585857461</v>
      </c>
      <c r="L16" s="285">
        <f>'9   Trucks'!$AI16*'9   Trucks'!$L16*'10   Loader'!$F13*L$11/'9   Trucks'!$F16</f>
        <v>2054.3559284089642</v>
      </c>
      <c r="M16" s="285">
        <f>'9   Trucks'!$AI16*'9   Trucks'!$L16*'10   Loader'!$F13*M$11/'9   Trucks'!$F16</f>
        <v>2282.6176982321826</v>
      </c>
      <c r="N16" s="285">
        <f>'9   Trucks'!$AI16*'9   Trucks'!$L16*'10   Loader'!$F13*N$11/'9   Trucks'!$F16</f>
        <v>2510.879468055401</v>
      </c>
      <c r="O16" s="285">
        <f>'9   Trucks'!$AI16*'9   Trucks'!$L16*'10   Loader'!$F13*O$11/'9   Trucks'!$F16</f>
        <v>2739.141237878619</v>
      </c>
      <c r="P16" s="285">
        <f>'9   Trucks'!$AI16*'9   Trucks'!$L16*'10   Loader'!$F13*P$11/'9   Trucks'!$F16</f>
        <v>2967.4030077018374</v>
      </c>
      <c r="Q16" s="285">
        <f>'9   Trucks'!$AI16*'9   Trucks'!$L16*'10   Loader'!$F13*Q$11/'9   Trucks'!$F16</f>
        <v>3195.6647775250558</v>
      </c>
      <c r="R16" s="285">
        <f>'9   Trucks'!$AI16*'9   Trucks'!$L16*'10   Loader'!$F13*R$11/'9   Trucks'!$F16</f>
        <v>3423.9265473482737</v>
      </c>
      <c r="S16" s="285">
        <f>'9   Trucks'!$AI16*'9   Trucks'!$L16*'10   Loader'!$F13*S$11/'9   Trucks'!$F16</f>
        <v>3652.1883171714921</v>
      </c>
      <c r="T16" s="285">
        <f>'9   Trucks'!$AI16*'9   Trucks'!$L16*'10   Loader'!$F13*T$11/'9   Trucks'!$F16</f>
        <v>3880.4500869947105</v>
      </c>
      <c r="U16" s="285">
        <f>'9   Trucks'!$AI16*'9   Trucks'!$L16*'10   Loader'!$F13*U$11/'9   Trucks'!$F16</f>
        <v>4108.7118568179285</v>
      </c>
      <c r="V16" s="285">
        <f>'9   Trucks'!$AI16*'9   Trucks'!$L16*'10   Loader'!$F13*V$11/'9   Trucks'!$F16</f>
        <v>4336.9736266411473</v>
      </c>
      <c r="W16" s="285">
        <f>'9   Trucks'!$AI16*'9   Trucks'!$L16*'10   Loader'!$F13*W$11/'9   Trucks'!$F16</f>
        <v>4565.2353964643653</v>
      </c>
      <c r="X16" s="285">
        <f>'9   Trucks'!$AI16*'9   Trucks'!$L16*'10   Loader'!$F13*X$11/'9   Trucks'!$F16</f>
        <v>4793.4971662875832</v>
      </c>
      <c r="Y16" s="285">
        <f>'9   Trucks'!$AI16*'9   Trucks'!$L16*'10   Loader'!$F13*Y$11/'9   Trucks'!$F16</f>
        <v>5021.7589361108021</v>
      </c>
      <c r="Z16" s="285">
        <f>'9   Trucks'!$AI16*'9   Trucks'!$L16*'10   Loader'!$F13*Z$11/'9   Trucks'!$F16</f>
        <v>5250.02070593402</v>
      </c>
      <c r="AA16" s="285">
        <f>'9   Trucks'!$AI16*'9   Trucks'!$L16*'10   Loader'!$F13*AA$11/'9   Trucks'!$F16</f>
        <v>5478.282475757238</v>
      </c>
      <c r="AB16" s="285">
        <f>'9   Trucks'!$AI16*'9   Trucks'!$L16*'10   Loader'!$F13*AB$11/'9   Trucks'!$F16</f>
        <v>5706.5442455804568</v>
      </c>
    </row>
    <row r="17" spans="1:28" x14ac:dyDescent="0.2">
      <c r="A17" s="279" t="str">
        <f>'4   Earthwork'!B59</f>
        <v>Haul cover soil</v>
      </c>
      <c r="B17" s="279" t="str">
        <f>'4   Earthwork'!C59</f>
        <v>NOBS</v>
      </c>
      <c r="C17" s="279" t="str">
        <f>'4   Earthwork'!D59</f>
        <v>Hanover Mountain Deposit</v>
      </c>
      <c r="D17" s="279" t="str">
        <f>'3   Material'!$G59</f>
        <v>777F</v>
      </c>
      <c r="E17" s="285">
        <f>'9   Trucks'!$AI17*'9   Trucks'!$L17*'10   Loader'!$F14*E$11/'9   Trucks'!$F17</f>
        <v>608.56543073432908</v>
      </c>
      <c r="F17" s="285">
        <f>'9   Trucks'!$AI17*'9   Trucks'!$L17*'10   Loader'!$F14*F$11/'9   Trucks'!$F17</f>
        <v>912.84814610149363</v>
      </c>
      <c r="G17" s="285">
        <f>'9   Trucks'!$AI17*'9   Trucks'!$L17*'10   Loader'!$F14*G$11/'9   Trucks'!$F17</f>
        <v>1217.1308614686582</v>
      </c>
      <c r="H17" s="285">
        <f>'9   Trucks'!$AI17*'9   Trucks'!$L17*'10   Loader'!$F14*H$11/'9   Trucks'!$F17</f>
        <v>1521.4135768358226</v>
      </c>
      <c r="I17" s="285">
        <f>'9   Trucks'!$AI17*'9   Trucks'!$L17*'10   Loader'!$F14*I$11/'9   Trucks'!$F17</f>
        <v>1825.6962922029873</v>
      </c>
      <c r="J17" s="285">
        <f>'9   Trucks'!$AI17*'9   Trucks'!$L17*'10   Loader'!$F14*J$11/'9   Trucks'!$F17</f>
        <v>2129.9790075701517</v>
      </c>
      <c r="K17" s="285">
        <f>'9   Trucks'!$AI17*'9   Trucks'!$L17*'10   Loader'!$F14*K$11/'9   Trucks'!$F17</f>
        <v>2434.2617229373163</v>
      </c>
      <c r="L17" s="285">
        <f>'9   Trucks'!$AI17*'9   Trucks'!$L17*'10   Loader'!$F14*L$11/'9   Trucks'!$F17</f>
        <v>2738.5444383044805</v>
      </c>
      <c r="M17" s="285">
        <f>'9   Trucks'!$AI17*'9   Trucks'!$L17*'10   Loader'!$F14*M$11/'9   Trucks'!$F17</f>
        <v>3042.8271536716452</v>
      </c>
      <c r="N17" s="285">
        <f>'9   Trucks'!$AI17*'9   Trucks'!$L17*'10   Loader'!$F14*N$11/'9   Trucks'!$F17</f>
        <v>3347.1098690388098</v>
      </c>
      <c r="O17" s="285">
        <f>'9   Trucks'!$AI17*'9   Trucks'!$L17*'10   Loader'!$F14*O$11/'9   Trucks'!$F17</f>
        <v>3651.3925844059745</v>
      </c>
      <c r="P17" s="285">
        <f>'9   Trucks'!$AI17*'9   Trucks'!$L17*'10   Loader'!$F14*P$11/'9   Trucks'!$F17</f>
        <v>3955.6752997731387</v>
      </c>
      <c r="Q17" s="285">
        <f>'9   Trucks'!$AI17*'9   Trucks'!$L17*'10   Loader'!$F14*Q$11/'9   Trucks'!$F17</f>
        <v>4259.9580151403034</v>
      </c>
      <c r="R17" s="285">
        <f>'9   Trucks'!$AI17*'9   Trucks'!$L17*'10   Loader'!$F14*R$11/'9   Trucks'!$F17</f>
        <v>4564.2407305074676</v>
      </c>
      <c r="S17" s="285">
        <f>'9   Trucks'!$AI17*'9   Trucks'!$L17*'10   Loader'!$F14*S$11/'9   Trucks'!$F17</f>
        <v>4868.5234458746327</v>
      </c>
      <c r="T17" s="285">
        <f>'9   Trucks'!$AI17*'9   Trucks'!$L17*'10   Loader'!$F14*T$11/'9   Trucks'!$F17</f>
        <v>5172.8061612417969</v>
      </c>
      <c r="U17" s="285">
        <f>'9   Trucks'!$AI17*'9   Trucks'!$L17*'10   Loader'!$F14*U$11/'9   Trucks'!$F17</f>
        <v>5477.0888766089611</v>
      </c>
      <c r="V17" s="285">
        <f>'9   Trucks'!$AI17*'9   Trucks'!$L17*'10   Loader'!$F14*V$11/'9   Trucks'!$F17</f>
        <v>5781.3715919761262</v>
      </c>
      <c r="W17" s="285">
        <f>'9   Trucks'!$AI17*'9   Trucks'!$L17*'10   Loader'!$F14*W$11/'9   Trucks'!$F17</f>
        <v>6085.6543073432904</v>
      </c>
      <c r="X17" s="285">
        <f>'9   Trucks'!$AI17*'9   Trucks'!$L17*'10   Loader'!$F14*X$11/'9   Trucks'!$F17</f>
        <v>6389.9370227104555</v>
      </c>
      <c r="Y17" s="285">
        <f>'9   Trucks'!$AI17*'9   Trucks'!$L17*'10   Loader'!$F14*Y$11/'9   Trucks'!$F17</f>
        <v>6694.2197380776197</v>
      </c>
      <c r="Z17" s="285">
        <f>'9   Trucks'!$AI17*'9   Trucks'!$L17*'10   Loader'!$F14*Z$11/'9   Trucks'!$F17</f>
        <v>6998.5024534447839</v>
      </c>
      <c r="AA17" s="285">
        <f>'9   Trucks'!$AI17*'9   Trucks'!$L17*'10   Loader'!$F14*AA$11/'9   Trucks'!$F17</f>
        <v>7302.785168811949</v>
      </c>
      <c r="AB17" s="285">
        <f>'9   Trucks'!$AI17*'9   Trucks'!$L17*'10   Loader'!$F14*AB$11/'9   Trucks'!$F17</f>
        <v>7607.0678841791132</v>
      </c>
    </row>
    <row r="18" spans="1:28" x14ac:dyDescent="0.2">
      <c r="A18" s="279" t="str">
        <f>'4   Earthwork'!B60</f>
        <v>Haul cover soil</v>
      </c>
      <c r="B18" s="279" t="str">
        <f>'4   Earthwork'!C60</f>
        <v>OB Stockpile 1 through 3, Topsoil Stockpile, South OB Stockpile</v>
      </c>
      <c r="C18" s="279" t="str">
        <f>'4   Earthwork'!D60</f>
        <v>Pearson-Barnes Mine Area</v>
      </c>
      <c r="D18" s="279" t="str">
        <f>'3   Material'!$G60</f>
        <v>777F</v>
      </c>
      <c r="E18" s="285">
        <f>'9   Trucks'!$AI18*'9   Trucks'!$L18*'10   Loader'!$F15*E$11/'9   Trucks'!$F18</f>
        <v>1215.7306879425535</v>
      </c>
      <c r="F18" s="285">
        <f>'9   Trucks'!$AI18*'9   Trucks'!$L18*'10   Loader'!$F15*F$11/'9   Trucks'!$F18</f>
        <v>1823.5960319138301</v>
      </c>
      <c r="G18" s="285">
        <f>'9   Trucks'!$AI18*'9   Trucks'!$L18*'10   Loader'!$F15*G$11/'9   Trucks'!$F18</f>
        <v>2431.4613758851069</v>
      </c>
      <c r="H18" s="285">
        <f>'9   Trucks'!$AI18*'9   Trucks'!$L18*'10   Loader'!$F15*H$11/'9   Trucks'!$F18</f>
        <v>3039.3267198563835</v>
      </c>
      <c r="I18" s="285">
        <f>'9   Trucks'!$AI18*'9   Trucks'!$L18*'10   Loader'!$F15*I$11/'9   Trucks'!$F18</f>
        <v>3647.1920638276601</v>
      </c>
      <c r="J18" s="285">
        <f>'9   Trucks'!$AI18*'9   Trucks'!$L18*'10   Loader'!$F15*J$11/'9   Trucks'!$F18</f>
        <v>4255.0574077989368</v>
      </c>
      <c r="K18" s="285">
        <f>'9   Trucks'!$AI18*'9   Trucks'!$L18*'10   Loader'!$F15*K$11/'9   Trucks'!$F18</f>
        <v>4862.9227517702138</v>
      </c>
      <c r="L18" s="285">
        <f>'9   Trucks'!$AI18*'9   Trucks'!$L18*'10   Loader'!$F15*L$11/'9   Trucks'!$F18</f>
        <v>5470.78809574149</v>
      </c>
      <c r="M18" s="285">
        <f>'9   Trucks'!$AI18*'9   Trucks'!$L18*'10   Loader'!$F15*M$11/'9   Trucks'!$F18</f>
        <v>6078.6534397127671</v>
      </c>
      <c r="N18" s="285">
        <f>'9   Trucks'!$AI18*'9   Trucks'!$L18*'10   Loader'!$F15*N$11/'9   Trucks'!$F18</f>
        <v>6686.5187836840432</v>
      </c>
      <c r="O18" s="285">
        <f>'9   Trucks'!$AI18*'9   Trucks'!$L18*'10   Loader'!$F15*O$11/'9   Trucks'!$F18</f>
        <v>7294.3841276553203</v>
      </c>
      <c r="P18" s="285">
        <f>'9   Trucks'!$AI18*'9   Trucks'!$L18*'10   Loader'!$F15*P$11/'9   Trucks'!$F18</f>
        <v>7902.2494716265974</v>
      </c>
      <c r="Q18" s="285">
        <f>'9   Trucks'!$AI18*'9   Trucks'!$L18*'10   Loader'!$F15*Q$11/'9   Trucks'!$F18</f>
        <v>8510.1148155978735</v>
      </c>
      <c r="R18" s="285">
        <f>'9   Trucks'!$AI18*'9   Trucks'!$L18*'10   Loader'!$F15*R$11/'9   Trucks'!$F18</f>
        <v>9117.9801595691497</v>
      </c>
      <c r="S18" s="285">
        <f>'9   Trucks'!$AI18*'9   Trucks'!$L18*'10   Loader'!$F15*S$11/'9   Trucks'!$F18</f>
        <v>9725.8455035404277</v>
      </c>
      <c r="T18" s="285">
        <f>'9   Trucks'!$AI18*'9   Trucks'!$L18*'10   Loader'!$F15*T$11/'9   Trucks'!$F18</f>
        <v>10333.710847511704</v>
      </c>
      <c r="U18" s="285">
        <f>'9   Trucks'!$AI18*'9   Trucks'!$L18*'10   Loader'!$F15*U$11/'9   Trucks'!$F18</f>
        <v>10941.57619148298</v>
      </c>
      <c r="V18" s="285">
        <f>'9   Trucks'!$AI18*'9   Trucks'!$L18*'10   Loader'!$F15*V$11/'9   Trucks'!$F18</f>
        <v>11549.441535454258</v>
      </c>
      <c r="W18" s="285">
        <f>'9   Trucks'!$AI18*'9   Trucks'!$L18*'10   Loader'!$F15*W$11/'9   Trucks'!$F18</f>
        <v>12157.306879425534</v>
      </c>
      <c r="X18" s="285">
        <f>'9   Trucks'!$AI18*'9   Trucks'!$L18*'10   Loader'!$F15*X$11/'9   Trucks'!$F18</f>
        <v>12765.17222339681</v>
      </c>
      <c r="Y18" s="285">
        <f>'9   Trucks'!$AI18*'9   Trucks'!$L18*'10   Loader'!$F15*Y$11/'9   Trucks'!$F18</f>
        <v>13373.037567368086</v>
      </c>
      <c r="Z18" s="285">
        <f>'9   Trucks'!$AI18*'9   Trucks'!$L18*'10   Loader'!$F15*Z$11/'9   Trucks'!$F18</f>
        <v>13980.902911339364</v>
      </c>
      <c r="AA18" s="285">
        <f>'9   Trucks'!$AI18*'9   Trucks'!$L18*'10   Loader'!$F15*AA$11/'9   Trucks'!$F18</f>
        <v>14588.768255310641</v>
      </c>
      <c r="AB18" s="285">
        <f>'9   Trucks'!$AI18*'9   Trucks'!$L18*'10   Loader'!$F15*AB$11/'9   Trucks'!$F18</f>
        <v>15196.633599281917</v>
      </c>
    </row>
    <row r="19" spans="1:28" x14ac:dyDescent="0.2">
      <c r="A19" s="279" t="str">
        <f>'4   Earthwork'!B61</f>
        <v>Haul cover soil</v>
      </c>
      <c r="B19" s="279" t="str">
        <f>'4   Earthwork'!C61</f>
        <v>OB-4 Stockpile</v>
      </c>
      <c r="C19" s="279" t="str">
        <f>'4   Earthwork'!D61</f>
        <v>Low Grade WRF</v>
      </c>
      <c r="D19" s="279" t="str">
        <f>'3   Material'!$G61</f>
        <v>777F</v>
      </c>
      <c r="E19" s="285">
        <f>'9   Trucks'!$AI19*'9   Trucks'!$L19*'10   Loader'!$F16*E$11/'9   Trucks'!$F19</f>
        <v>1165.7257025939134</v>
      </c>
      <c r="F19" s="285">
        <f>'9   Trucks'!$AI19*'9   Trucks'!$L19*'10   Loader'!$F16*F$11/'9   Trucks'!$F19</f>
        <v>1748.5885538908703</v>
      </c>
      <c r="G19" s="285">
        <f>'9   Trucks'!$AI19*'9   Trucks'!$L19*'10   Loader'!$F16*G$11/'9   Trucks'!$F19</f>
        <v>2331.4514051878268</v>
      </c>
      <c r="H19" s="285">
        <f>'9   Trucks'!$AI19*'9   Trucks'!$L19*'10   Loader'!$F16*H$11/'9   Trucks'!$F19</f>
        <v>2914.314256484784</v>
      </c>
      <c r="I19" s="285">
        <f>'9   Trucks'!$AI19*'9   Trucks'!$L19*'10   Loader'!$F16*I$11/'9   Trucks'!$F19</f>
        <v>3497.1771077817407</v>
      </c>
      <c r="J19" s="285">
        <f>'9   Trucks'!$AI19*'9   Trucks'!$L19*'10   Loader'!$F16*J$11/'9   Trucks'!$F19</f>
        <v>4080.0399590786974</v>
      </c>
      <c r="K19" s="285">
        <f>'9   Trucks'!$AI19*'9   Trucks'!$L19*'10   Loader'!$F16*K$11/'9   Trucks'!$F19</f>
        <v>4662.9028103756536</v>
      </c>
      <c r="L19" s="285">
        <f>'9   Trucks'!$AI19*'9   Trucks'!$L19*'10   Loader'!$F16*L$11/'9   Trucks'!$F19</f>
        <v>5245.7656616726108</v>
      </c>
      <c r="M19" s="285">
        <f>'9   Trucks'!$AI19*'9   Trucks'!$L19*'10   Loader'!$F16*M$11/'9   Trucks'!$F19</f>
        <v>5828.628512969568</v>
      </c>
      <c r="N19" s="285">
        <f>'9   Trucks'!$AI19*'9   Trucks'!$L19*'10   Loader'!$F16*N$11/'9   Trucks'!$F19</f>
        <v>6411.4913642665242</v>
      </c>
      <c r="O19" s="285">
        <f>'9   Trucks'!$AI19*'9   Trucks'!$L19*'10   Loader'!$F16*O$11/'9   Trucks'!$F19</f>
        <v>6994.3542155634814</v>
      </c>
      <c r="P19" s="285">
        <f>'9   Trucks'!$AI19*'9   Trucks'!$L19*'10   Loader'!$F16*P$11/'9   Trucks'!$F19</f>
        <v>7577.2170668604376</v>
      </c>
      <c r="Q19" s="285">
        <f>'9   Trucks'!$AI19*'9   Trucks'!$L19*'10   Loader'!$F16*Q$11/'9   Trucks'!$F19</f>
        <v>8160.0799181573948</v>
      </c>
      <c r="R19" s="285">
        <f>'9   Trucks'!$AI19*'9   Trucks'!$L19*'10   Loader'!$F16*R$11/'9   Trucks'!$F19</f>
        <v>8742.9427694543519</v>
      </c>
      <c r="S19" s="285">
        <f>'9   Trucks'!$AI19*'9   Trucks'!$L19*'10   Loader'!$F16*S$11/'9   Trucks'!$F19</f>
        <v>9325.8056207513073</v>
      </c>
      <c r="T19" s="285">
        <f>'9   Trucks'!$AI19*'9   Trucks'!$L19*'10   Loader'!$F16*T$11/'9   Trucks'!$F19</f>
        <v>9908.6684720482644</v>
      </c>
      <c r="U19" s="285">
        <f>'9   Trucks'!$AI19*'9   Trucks'!$L19*'10   Loader'!$F16*U$11/'9   Trucks'!$F19</f>
        <v>10491.531323345222</v>
      </c>
      <c r="V19" s="285">
        <f>'9   Trucks'!$AI19*'9   Trucks'!$L19*'10   Loader'!$F16*V$11/'9   Trucks'!$F19</f>
        <v>11074.394174642179</v>
      </c>
      <c r="W19" s="285">
        <f>'9   Trucks'!$AI19*'9   Trucks'!$L19*'10   Loader'!$F16*W$11/'9   Trucks'!$F19</f>
        <v>11657.257025939136</v>
      </c>
      <c r="X19" s="285">
        <f>'9   Trucks'!$AI19*'9   Trucks'!$L19*'10   Loader'!$F16*X$11/'9   Trucks'!$F19</f>
        <v>12240.119877236091</v>
      </c>
      <c r="Y19" s="285">
        <f>'9   Trucks'!$AI19*'9   Trucks'!$L19*'10   Loader'!$F16*Y$11/'9   Trucks'!$F19</f>
        <v>12822.982728533048</v>
      </c>
      <c r="Z19" s="285">
        <f>'9   Trucks'!$AI19*'9   Trucks'!$L19*'10   Loader'!$F16*Z$11/'9   Trucks'!$F19</f>
        <v>13405.845579830006</v>
      </c>
      <c r="AA19" s="285">
        <f>'9   Trucks'!$AI19*'9   Trucks'!$L19*'10   Loader'!$F16*AA$11/'9   Trucks'!$F19</f>
        <v>13988.708431126963</v>
      </c>
      <c r="AB19" s="285">
        <f>'9   Trucks'!$AI19*'9   Trucks'!$L19*'10   Loader'!$F16*AB$11/'9   Trucks'!$F19</f>
        <v>14571.571282423918</v>
      </c>
    </row>
    <row r="20" spans="1:28" x14ac:dyDescent="0.2">
      <c r="A20" s="279" t="str">
        <f>'4   Earthwork'!B62</f>
        <v>Haul cover soil</v>
      </c>
      <c r="B20" s="279" t="str">
        <f>'4   Earthwork'!C62</f>
        <v>NOBS</v>
      </c>
      <c r="C20" s="279" t="str">
        <f>'4   Earthwork'!D62</f>
        <v>MTI Reclaim Pond</v>
      </c>
      <c r="D20" s="279" t="str">
        <f>'3   Material'!$G62</f>
        <v>777F</v>
      </c>
      <c r="E20" s="285">
        <f>'9   Trucks'!$AI20*'9   Trucks'!$L20*'10   Loader'!$F17*E$11/'9   Trucks'!$F20</f>
        <v>575.84036696823478</v>
      </c>
      <c r="F20" s="285">
        <f>'9   Trucks'!$AI20*'9   Trucks'!$L20*'10   Loader'!$F17*F$11/'9   Trucks'!$F20</f>
        <v>863.76055045235216</v>
      </c>
      <c r="G20" s="285">
        <f>'9   Trucks'!$AI20*'9   Trucks'!$L20*'10   Loader'!$F17*G$11/'9   Trucks'!$F20</f>
        <v>1151.6807339364696</v>
      </c>
      <c r="H20" s="285">
        <f>'9   Trucks'!$AI20*'9   Trucks'!$L20*'10   Loader'!$F17*H$11/'9   Trucks'!$F20</f>
        <v>1439.6009174205869</v>
      </c>
      <c r="I20" s="285">
        <f>'9   Trucks'!$AI20*'9   Trucks'!$L20*'10   Loader'!$F17*I$11/'9   Trucks'!$F20</f>
        <v>1727.5211009047043</v>
      </c>
      <c r="J20" s="285">
        <f>'9   Trucks'!$AI20*'9   Trucks'!$L20*'10   Loader'!$F17*J$11/'9   Trucks'!$F20</f>
        <v>2015.4412843888217</v>
      </c>
      <c r="K20" s="285">
        <f>'9   Trucks'!$AI20*'9   Trucks'!$L20*'10   Loader'!$F17*K$11/'9   Trucks'!$F20</f>
        <v>2303.3614678729391</v>
      </c>
      <c r="L20" s="285">
        <f>'9   Trucks'!$AI20*'9   Trucks'!$L20*'10   Loader'!$F17*L$11/'9   Trucks'!$F20</f>
        <v>2591.2816513570565</v>
      </c>
      <c r="M20" s="285">
        <f>'9   Trucks'!$AI20*'9   Trucks'!$L20*'10   Loader'!$F17*M$11/'9   Trucks'!$F20</f>
        <v>2879.2018348411739</v>
      </c>
      <c r="N20" s="285">
        <f>'9   Trucks'!$AI20*'9   Trucks'!$L20*'10   Loader'!$F17*N$11/'9   Trucks'!$F20</f>
        <v>3167.1220183252913</v>
      </c>
      <c r="O20" s="285">
        <f>'9   Trucks'!$AI20*'9   Trucks'!$L20*'10   Loader'!$F17*O$11/'9   Trucks'!$F20</f>
        <v>3455.0422018094087</v>
      </c>
      <c r="P20" s="285">
        <f>'9   Trucks'!$AI20*'9   Trucks'!$L20*'10   Loader'!$F17*P$11/'9   Trucks'!$F20</f>
        <v>3742.962385293526</v>
      </c>
      <c r="Q20" s="285">
        <f>'9   Trucks'!$AI20*'9   Trucks'!$L20*'10   Loader'!$F17*Q$11/'9   Trucks'!$F20</f>
        <v>4030.8825687776434</v>
      </c>
      <c r="R20" s="285">
        <f>'9   Trucks'!$AI20*'9   Trucks'!$L20*'10   Loader'!$F17*R$11/'9   Trucks'!$F20</f>
        <v>4318.8027522617604</v>
      </c>
      <c r="S20" s="285">
        <f>'9   Trucks'!$AI20*'9   Trucks'!$L20*'10   Loader'!$F17*S$11/'9   Trucks'!$F20</f>
        <v>4606.7229357458782</v>
      </c>
      <c r="T20" s="285">
        <f>'9   Trucks'!$AI20*'9   Trucks'!$L20*'10   Loader'!$F17*T$11/'9   Trucks'!$F20</f>
        <v>4894.6431192299951</v>
      </c>
      <c r="U20" s="285">
        <f>'9   Trucks'!$AI20*'9   Trucks'!$L20*'10   Loader'!$F17*U$11/'9   Trucks'!$F20</f>
        <v>5182.563302714113</v>
      </c>
      <c r="V20" s="285">
        <f>'9   Trucks'!$AI20*'9   Trucks'!$L20*'10   Loader'!$F17*V$11/'9   Trucks'!$F20</f>
        <v>5470.4834861982299</v>
      </c>
      <c r="W20" s="285">
        <f>'9   Trucks'!$AI20*'9   Trucks'!$L20*'10   Loader'!$F17*W$11/'9   Trucks'!$F20</f>
        <v>5758.4036696823478</v>
      </c>
      <c r="X20" s="285">
        <f>'9   Trucks'!$AI20*'9   Trucks'!$L20*'10   Loader'!$F17*X$11/'9   Trucks'!$F20</f>
        <v>6046.3238531664647</v>
      </c>
      <c r="Y20" s="285">
        <f>'9   Trucks'!$AI20*'9   Trucks'!$L20*'10   Loader'!$F17*Y$11/'9   Trucks'!$F20</f>
        <v>6334.2440366505825</v>
      </c>
      <c r="Z20" s="285">
        <f>'9   Trucks'!$AI20*'9   Trucks'!$L20*'10   Loader'!$F17*Z$11/'9   Trucks'!$F20</f>
        <v>6622.1642201346995</v>
      </c>
      <c r="AA20" s="285">
        <f>'9   Trucks'!$AI20*'9   Trucks'!$L20*'10   Loader'!$F17*AA$11/'9   Trucks'!$F20</f>
        <v>6910.0844036188173</v>
      </c>
      <c r="AB20" s="285">
        <f>'9   Trucks'!$AI20*'9   Trucks'!$L20*'10   Loader'!$F17*AB$11/'9   Trucks'!$F20</f>
        <v>7198.0045871029342</v>
      </c>
    </row>
    <row r="21" spans="1:28" x14ac:dyDescent="0.2">
      <c r="A21" s="279" t="str">
        <f>'4   Earthwork'!B63</f>
        <v>Haul cover soil</v>
      </c>
      <c r="B21" s="279" t="str">
        <f>'4   Earthwork'!C63</f>
        <v>NOBS</v>
      </c>
      <c r="C21" s="279" t="str">
        <f>'4   Earthwork'!D63</f>
        <v>MTI  Top</v>
      </c>
      <c r="D21" s="279" t="str">
        <f>'3   Material'!$G63</f>
        <v>777F</v>
      </c>
      <c r="E21" s="285">
        <f>'9   Trucks'!$AI21*'9   Trucks'!$L21*'10   Loader'!$F18*E$11/'9   Trucks'!$F21</f>
        <v>575.84036696823478</v>
      </c>
      <c r="F21" s="285">
        <f>'9   Trucks'!$AI21*'9   Trucks'!$L21*'10   Loader'!$F18*F$11/'9   Trucks'!$F21</f>
        <v>863.76055045235216</v>
      </c>
      <c r="G21" s="285">
        <f>'9   Trucks'!$AI21*'9   Trucks'!$L21*'10   Loader'!$F18*G$11/'9   Trucks'!$F21</f>
        <v>1151.6807339364696</v>
      </c>
      <c r="H21" s="285">
        <f>'9   Trucks'!$AI21*'9   Trucks'!$L21*'10   Loader'!$F18*H$11/'9   Trucks'!$F21</f>
        <v>1439.6009174205869</v>
      </c>
      <c r="I21" s="285">
        <f>'9   Trucks'!$AI21*'9   Trucks'!$L21*'10   Loader'!$F18*I$11/'9   Trucks'!$F21</f>
        <v>1727.5211009047043</v>
      </c>
      <c r="J21" s="285">
        <f>'9   Trucks'!$AI21*'9   Trucks'!$L21*'10   Loader'!$F18*J$11/'9   Trucks'!$F21</f>
        <v>2015.4412843888217</v>
      </c>
      <c r="K21" s="285">
        <f>'9   Trucks'!$AI21*'9   Trucks'!$L21*'10   Loader'!$F18*K$11/'9   Trucks'!$F21</f>
        <v>2303.3614678729391</v>
      </c>
      <c r="L21" s="285">
        <f>'9   Trucks'!$AI21*'9   Trucks'!$L21*'10   Loader'!$F18*L$11/'9   Trucks'!$F21</f>
        <v>2591.2816513570565</v>
      </c>
      <c r="M21" s="285">
        <f>'9   Trucks'!$AI21*'9   Trucks'!$L21*'10   Loader'!$F18*M$11/'9   Trucks'!$F21</f>
        <v>2879.2018348411739</v>
      </c>
      <c r="N21" s="285">
        <f>'9   Trucks'!$AI21*'9   Trucks'!$L21*'10   Loader'!$F18*N$11/'9   Trucks'!$F21</f>
        <v>3167.1220183252913</v>
      </c>
      <c r="O21" s="285">
        <f>'9   Trucks'!$AI21*'9   Trucks'!$L21*'10   Loader'!$F18*O$11/'9   Trucks'!$F21</f>
        <v>3455.0422018094087</v>
      </c>
      <c r="P21" s="285">
        <f>'9   Trucks'!$AI21*'9   Trucks'!$L21*'10   Loader'!$F18*P$11/'9   Trucks'!$F21</f>
        <v>3742.962385293526</v>
      </c>
      <c r="Q21" s="285">
        <f>'9   Trucks'!$AI21*'9   Trucks'!$L21*'10   Loader'!$F18*Q$11/'9   Trucks'!$F21</f>
        <v>4030.8825687776434</v>
      </c>
      <c r="R21" s="285">
        <f>'9   Trucks'!$AI21*'9   Trucks'!$L21*'10   Loader'!$F18*R$11/'9   Trucks'!$F21</f>
        <v>4318.8027522617604</v>
      </c>
      <c r="S21" s="285">
        <f>'9   Trucks'!$AI21*'9   Trucks'!$L21*'10   Loader'!$F18*S$11/'9   Trucks'!$F21</f>
        <v>4606.7229357458782</v>
      </c>
      <c r="T21" s="285">
        <f>'9   Trucks'!$AI21*'9   Trucks'!$L21*'10   Loader'!$F18*T$11/'9   Trucks'!$F21</f>
        <v>4894.6431192299951</v>
      </c>
      <c r="U21" s="285">
        <f>'9   Trucks'!$AI21*'9   Trucks'!$L21*'10   Loader'!$F18*U$11/'9   Trucks'!$F21</f>
        <v>5182.563302714113</v>
      </c>
      <c r="V21" s="285">
        <f>'9   Trucks'!$AI21*'9   Trucks'!$L21*'10   Loader'!$F18*V$11/'9   Trucks'!$F21</f>
        <v>5470.4834861982299</v>
      </c>
      <c r="W21" s="285">
        <f>'9   Trucks'!$AI21*'9   Trucks'!$L21*'10   Loader'!$F18*W$11/'9   Trucks'!$F21</f>
        <v>5758.4036696823478</v>
      </c>
      <c r="X21" s="285">
        <f>'9   Trucks'!$AI21*'9   Trucks'!$L21*'10   Loader'!$F18*X$11/'9   Trucks'!$F21</f>
        <v>6046.3238531664647</v>
      </c>
      <c r="Y21" s="285">
        <f>'9   Trucks'!$AI21*'9   Trucks'!$L21*'10   Loader'!$F18*Y$11/'9   Trucks'!$F21</f>
        <v>6334.2440366505825</v>
      </c>
      <c r="Z21" s="285">
        <f>'9   Trucks'!$AI21*'9   Trucks'!$L21*'10   Loader'!$F18*Z$11/'9   Trucks'!$F21</f>
        <v>6622.1642201346995</v>
      </c>
      <c r="AA21" s="285">
        <f>'9   Trucks'!$AI21*'9   Trucks'!$L21*'10   Loader'!$F18*AA$11/'9   Trucks'!$F21</f>
        <v>6910.0844036188173</v>
      </c>
      <c r="AB21" s="285">
        <f>'9   Trucks'!$AI21*'9   Trucks'!$L21*'10   Loader'!$F18*AB$11/'9   Trucks'!$F21</f>
        <v>7198.0045871029342</v>
      </c>
    </row>
    <row r="22" spans="1:28" x14ac:dyDescent="0.2">
      <c r="A22" s="279" t="str">
        <f>'4   Earthwork'!B64</f>
        <v>Haul cover soil</v>
      </c>
      <c r="B22" s="279" t="str">
        <f>'4   Earthwork'!C64</f>
        <v>NOBS</v>
      </c>
      <c r="C22" s="279" t="str">
        <f>'4   Earthwork'!D64</f>
        <v>MTI  Outslope</v>
      </c>
      <c r="D22" s="279" t="str">
        <f>'3   Material'!$G64</f>
        <v>777F</v>
      </c>
      <c r="E22" s="285">
        <f>'9   Trucks'!$AI22*'9   Trucks'!$L22*'10   Loader'!$F19*E$11/'9   Trucks'!$F22</f>
        <v>575.84036696823478</v>
      </c>
      <c r="F22" s="285">
        <f>'9   Trucks'!$AI22*'9   Trucks'!$L22*'10   Loader'!$F19*F$11/'9   Trucks'!$F22</f>
        <v>863.76055045235216</v>
      </c>
      <c r="G22" s="285">
        <f>'9   Trucks'!$AI22*'9   Trucks'!$L22*'10   Loader'!$F19*G$11/'9   Trucks'!$F22</f>
        <v>1151.6807339364696</v>
      </c>
      <c r="H22" s="285">
        <f>'9   Trucks'!$AI22*'9   Trucks'!$L22*'10   Loader'!$F19*H$11/'9   Trucks'!$F22</f>
        <v>1439.6009174205869</v>
      </c>
      <c r="I22" s="285">
        <f>'9   Trucks'!$AI22*'9   Trucks'!$L22*'10   Loader'!$F19*I$11/'9   Trucks'!$F22</f>
        <v>1727.5211009047043</v>
      </c>
      <c r="J22" s="285">
        <f>'9   Trucks'!$AI22*'9   Trucks'!$L22*'10   Loader'!$F19*J$11/'9   Trucks'!$F22</f>
        <v>2015.4412843888217</v>
      </c>
      <c r="K22" s="285">
        <f>'9   Trucks'!$AI22*'9   Trucks'!$L22*'10   Loader'!$F19*K$11/'9   Trucks'!$F22</f>
        <v>2303.3614678729391</v>
      </c>
      <c r="L22" s="285">
        <f>'9   Trucks'!$AI22*'9   Trucks'!$L22*'10   Loader'!$F19*L$11/'9   Trucks'!$F22</f>
        <v>2591.2816513570565</v>
      </c>
      <c r="M22" s="285">
        <f>'9   Trucks'!$AI22*'9   Trucks'!$L22*'10   Loader'!$F19*M$11/'9   Trucks'!$F22</f>
        <v>2879.2018348411739</v>
      </c>
      <c r="N22" s="285">
        <f>'9   Trucks'!$AI22*'9   Trucks'!$L22*'10   Loader'!$F19*N$11/'9   Trucks'!$F22</f>
        <v>3167.1220183252913</v>
      </c>
      <c r="O22" s="285">
        <f>'9   Trucks'!$AI22*'9   Trucks'!$L22*'10   Loader'!$F19*O$11/'9   Trucks'!$F22</f>
        <v>3455.0422018094087</v>
      </c>
      <c r="P22" s="285">
        <f>'9   Trucks'!$AI22*'9   Trucks'!$L22*'10   Loader'!$F19*P$11/'9   Trucks'!$F22</f>
        <v>3742.962385293526</v>
      </c>
      <c r="Q22" s="285">
        <f>'9   Trucks'!$AI22*'9   Trucks'!$L22*'10   Loader'!$F19*Q$11/'9   Trucks'!$F22</f>
        <v>4030.8825687776434</v>
      </c>
      <c r="R22" s="285">
        <f>'9   Trucks'!$AI22*'9   Trucks'!$L22*'10   Loader'!$F19*R$11/'9   Trucks'!$F22</f>
        <v>4318.8027522617604</v>
      </c>
      <c r="S22" s="285">
        <f>'9   Trucks'!$AI22*'9   Trucks'!$L22*'10   Loader'!$F19*S$11/'9   Trucks'!$F22</f>
        <v>4606.7229357458782</v>
      </c>
      <c r="T22" s="285">
        <f>'9   Trucks'!$AI22*'9   Trucks'!$L22*'10   Loader'!$F19*T$11/'9   Trucks'!$F22</f>
        <v>4894.6431192299951</v>
      </c>
      <c r="U22" s="285">
        <f>'9   Trucks'!$AI22*'9   Trucks'!$L22*'10   Loader'!$F19*U$11/'9   Trucks'!$F22</f>
        <v>5182.563302714113</v>
      </c>
      <c r="V22" s="285">
        <f>'9   Trucks'!$AI22*'9   Trucks'!$L22*'10   Loader'!$F19*V$11/'9   Trucks'!$F22</f>
        <v>5470.4834861982299</v>
      </c>
      <c r="W22" s="285">
        <f>'9   Trucks'!$AI22*'9   Trucks'!$L22*'10   Loader'!$F19*W$11/'9   Trucks'!$F22</f>
        <v>5758.4036696823478</v>
      </c>
      <c r="X22" s="285">
        <f>'9   Trucks'!$AI22*'9   Trucks'!$L22*'10   Loader'!$F19*X$11/'9   Trucks'!$F22</f>
        <v>6046.3238531664647</v>
      </c>
      <c r="Y22" s="285">
        <f>'9   Trucks'!$AI22*'9   Trucks'!$L22*'10   Loader'!$F19*Y$11/'9   Trucks'!$F22</f>
        <v>6334.2440366505825</v>
      </c>
      <c r="Z22" s="285">
        <f>'9   Trucks'!$AI22*'9   Trucks'!$L22*'10   Loader'!$F19*Z$11/'9   Trucks'!$F22</f>
        <v>6622.1642201346995</v>
      </c>
      <c r="AA22" s="285">
        <f>'9   Trucks'!$AI22*'9   Trucks'!$L22*'10   Loader'!$F19*AA$11/'9   Trucks'!$F22</f>
        <v>6910.0844036188173</v>
      </c>
      <c r="AB22" s="285">
        <f>'9   Trucks'!$AI22*'9   Trucks'!$L22*'10   Loader'!$F19*AB$11/'9   Trucks'!$F22</f>
        <v>7198.0045871029342</v>
      </c>
    </row>
    <row r="23" spans="1:28" x14ac:dyDescent="0.2">
      <c r="A23" s="279" t="str">
        <f>'4   Earthwork'!B65</f>
        <v>Haul cover soil</v>
      </c>
      <c r="B23" s="279" t="str">
        <f>'4   Earthwork'!C65</f>
        <v>Reclaim Pond Outlet Channel</v>
      </c>
      <c r="C23" s="279" t="str">
        <f>'4   Earthwork'!D65</f>
        <v>MTI  Top</v>
      </c>
      <c r="D23" s="279" t="str">
        <f>'3   Material'!$G65</f>
        <v>777F</v>
      </c>
      <c r="E23" s="285">
        <f>'9   Trucks'!$AI23*'9   Trucks'!$L23*'10   Loader'!$F20*E$11/'9   Trucks'!$F23</f>
        <v>1178.4899020336265</v>
      </c>
      <c r="F23" s="285">
        <f>'9   Trucks'!$AI23*'9   Trucks'!$L23*'10   Loader'!$F20*F$11/'9   Trucks'!$F23</f>
        <v>1767.7348530504398</v>
      </c>
      <c r="G23" s="285">
        <f>'9   Trucks'!$AI23*'9   Trucks'!$L23*'10   Loader'!$F20*G$11/'9   Trucks'!$F23</f>
        <v>2356.9798040672531</v>
      </c>
      <c r="H23" s="285">
        <f>'9   Trucks'!$AI23*'9   Trucks'!$L23*'10   Loader'!$F20*H$11/'9   Trucks'!$F23</f>
        <v>2946.2247550840666</v>
      </c>
      <c r="I23" s="285">
        <f>'9   Trucks'!$AI23*'9   Trucks'!$L23*'10   Loader'!$F20*I$11/'9   Trucks'!$F23</f>
        <v>3535.4697061008796</v>
      </c>
      <c r="J23" s="285">
        <f>'9   Trucks'!$AI23*'9   Trucks'!$L23*'10   Loader'!$F20*J$11/'9   Trucks'!$F23</f>
        <v>4124.7146571176927</v>
      </c>
      <c r="K23" s="285">
        <f>'9   Trucks'!$AI23*'9   Trucks'!$L23*'10   Loader'!$F20*K$11/'9   Trucks'!$F23</f>
        <v>4713.9596081345062</v>
      </c>
      <c r="L23" s="285">
        <f>'9   Trucks'!$AI23*'9   Trucks'!$L23*'10   Loader'!$F20*L$11/'9   Trucks'!$F23</f>
        <v>5303.2045591513197</v>
      </c>
      <c r="M23" s="285">
        <f>'9   Trucks'!$AI23*'9   Trucks'!$L23*'10   Loader'!$F20*M$11/'9   Trucks'!$F23</f>
        <v>5892.4495101681332</v>
      </c>
      <c r="N23" s="285">
        <f>'9   Trucks'!$AI23*'9   Trucks'!$L23*'10   Loader'!$F20*N$11/'9   Trucks'!$F23</f>
        <v>6481.6944611849467</v>
      </c>
      <c r="O23" s="285">
        <f>'9   Trucks'!$AI23*'9   Trucks'!$L23*'10   Loader'!$F20*O$11/'9   Trucks'!$F23</f>
        <v>7070.9394122017593</v>
      </c>
      <c r="P23" s="285">
        <f>'9   Trucks'!$AI23*'9   Trucks'!$L23*'10   Loader'!$F20*P$11/'9   Trucks'!$F23</f>
        <v>7660.1843632185728</v>
      </c>
      <c r="Q23" s="285">
        <f>'9   Trucks'!$AI23*'9   Trucks'!$L23*'10   Loader'!$F20*Q$11/'9   Trucks'!$F23</f>
        <v>8249.4293142353854</v>
      </c>
      <c r="R23" s="285">
        <f>'9   Trucks'!$AI23*'9   Trucks'!$L23*'10   Loader'!$F20*R$11/'9   Trucks'!$F23</f>
        <v>8838.6742652521989</v>
      </c>
      <c r="S23" s="285">
        <f>'9   Trucks'!$AI23*'9   Trucks'!$L23*'10   Loader'!$F20*S$11/'9   Trucks'!$F23</f>
        <v>9427.9192162690124</v>
      </c>
      <c r="T23" s="285">
        <f>'9   Trucks'!$AI23*'9   Trucks'!$L23*'10   Loader'!$F20*T$11/'9   Trucks'!$F23</f>
        <v>10017.164167285826</v>
      </c>
      <c r="U23" s="285">
        <f>'9   Trucks'!$AI23*'9   Trucks'!$L23*'10   Loader'!$F20*U$11/'9   Trucks'!$F23</f>
        <v>10606.409118302639</v>
      </c>
      <c r="V23" s="285">
        <f>'9   Trucks'!$AI23*'9   Trucks'!$L23*'10   Loader'!$F20*V$11/'9   Trucks'!$F23</f>
        <v>11195.654069319453</v>
      </c>
      <c r="W23" s="285">
        <f>'9   Trucks'!$AI23*'9   Trucks'!$L23*'10   Loader'!$F20*W$11/'9   Trucks'!$F23</f>
        <v>11784.899020336266</v>
      </c>
      <c r="X23" s="285">
        <f>'9   Trucks'!$AI23*'9   Trucks'!$L23*'10   Loader'!$F20*X$11/'9   Trucks'!$F23</f>
        <v>12374.14397135308</v>
      </c>
      <c r="Y23" s="285">
        <f>'9   Trucks'!$AI23*'9   Trucks'!$L23*'10   Loader'!$F20*Y$11/'9   Trucks'!$F23</f>
        <v>12963.388922369893</v>
      </c>
      <c r="Z23" s="285">
        <f>'9   Trucks'!$AI23*'9   Trucks'!$L23*'10   Loader'!$F20*Z$11/'9   Trucks'!$F23</f>
        <v>13552.633873386705</v>
      </c>
      <c r="AA23" s="285">
        <f>'9   Trucks'!$AI23*'9   Trucks'!$L23*'10   Loader'!$F20*AA$11/'9   Trucks'!$F23</f>
        <v>14141.878824403519</v>
      </c>
      <c r="AB23" s="285">
        <f>'9   Trucks'!$AI23*'9   Trucks'!$L23*'10   Loader'!$F20*AB$11/'9   Trucks'!$F23</f>
        <v>14731.123775420332</v>
      </c>
    </row>
    <row r="24" spans="1:28" x14ac:dyDescent="0.2">
      <c r="A24" s="279" t="str">
        <f>'4   Earthwork'!B66</f>
        <v>Haul cover soil</v>
      </c>
      <c r="B24" s="279" t="str">
        <f>'4   Earthwork'!C66</f>
        <v>NOBS</v>
      </c>
      <c r="C24" s="279" t="str">
        <f>'4   Earthwork'!D66</f>
        <v>Tailing Pipeline Corridor</v>
      </c>
      <c r="D24" s="279" t="str">
        <f>'3   Material'!$G66</f>
        <v>777F</v>
      </c>
      <c r="E24" s="285">
        <f>'9   Trucks'!$AI24*'9   Trucks'!$L24*'10   Loader'!$F21*E$11/'9   Trucks'!$F24</f>
        <v>575.84036696823478</v>
      </c>
      <c r="F24" s="285">
        <f>'9   Trucks'!$AI24*'9   Trucks'!$L24*'10   Loader'!$F21*F$11/'9   Trucks'!$F24</f>
        <v>863.76055045235216</v>
      </c>
      <c r="G24" s="285">
        <f>'9   Trucks'!$AI24*'9   Trucks'!$L24*'10   Loader'!$F21*G$11/'9   Trucks'!$F24</f>
        <v>1151.6807339364696</v>
      </c>
      <c r="H24" s="285">
        <f>'9   Trucks'!$AI24*'9   Trucks'!$L24*'10   Loader'!$F21*H$11/'9   Trucks'!$F24</f>
        <v>1439.6009174205869</v>
      </c>
      <c r="I24" s="285">
        <f>'9   Trucks'!$AI24*'9   Trucks'!$L24*'10   Loader'!$F21*I$11/'9   Trucks'!$F24</f>
        <v>1727.5211009047043</v>
      </c>
      <c r="J24" s="285">
        <f>'9   Trucks'!$AI24*'9   Trucks'!$L24*'10   Loader'!$F21*J$11/'9   Trucks'!$F24</f>
        <v>2015.4412843888217</v>
      </c>
      <c r="K24" s="285">
        <f>'9   Trucks'!$AI24*'9   Trucks'!$L24*'10   Loader'!$F21*K$11/'9   Trucks'!$F24</f>
        <v>2303.3614678729391</v>
      </c>
      <c r="L24" s="285">
        <f>'9   Trucks'!$AI24*'9   Trucks'!$L24*'10   Loader'!$F21*L$11/'9   Trucks'!$F24</f>
        <v>2591.2816513570565</v>
      </c>
      <c r="M24" s="285">
        <f>'9   Trucks'!$AI24*'9   Trucks'!$L24*'10   Loader'!$F21*M$11/'9   Trucks'!$F24</f>
        <v>2879.2018348411739</v>
      </c>
      <c r="N24" s="285">
        <f>'9   Trucks'!$AI24*'9   Trucks'!$L24*'10   Loader'!$F21*N$11/'9   Trucks'!$F24</f>
        <v>3167.1220183252913</v>
      </c>
      <c r="O24" s="285">
        <f>'9   Trucks'!$AI24*'9   Trucks'!$L24*'10   Loader'!$F21*O$11/'9   Trucks'!$F24</f>
        <v>3455.0422018094087</v>
      </c>
      <c r="P24" s="285">
        <f>'9   Trucks'!$AI24*'9   Trucks'!$L24*'10   Loader'!$F21*P$11/'9   Trucks'!$F24</f>
        <v>3742.962385293526</v>
      </c>
      <c r="Q24" s="285">
        <f>'9   Trucks'!$AI24*'9   Trucks'!$L24*'10   Loader'!$F21*Q$11/'9   Trucks'!$F24</f>
        <v>4030.8825687776434</v>
      </c>
      <c r="R24" s="285">
        <f>'9   Trucks'!$AI24*'9   Trucks'!$L24*'10   Loader'!$F21*R$11/'9   Trucks'!$F24</f>
        <v>4318.8027522617604</v>
      </c>
      <c r="S24" s="285">
        <f>'9   Trucks'!$AI24*'9   Trucks'!$L24*'10   Loader'!$F21*S$11/'9   Trucks'!$F24</f>
        <v>4606.7229357458782</v>
      </c>
      <c r="T24" s="285">
        <f>'9   Trucks'!$AI24*'9   Trucks'!$L24*'10   Loader'!$F21*T$11/'9   Trucks'!$F24</f>
        <v>4894.6431192299951</v>
      </c>
      <c r="U24" s="285">
        <f>'9   Trucks'!$AI24*'9   Trucks'!$L24*'10   Loader'!$F21*U$11/'9   Trucks'!$F24</f>
        <v>5182.563302714113</v>
      </c>
      <c r="V24" s="285">
        <f>'9   Trucks'!$AI24*'9   Trucks'!$L24*'10   Loader'!$F21*V$11/'9   Trucks'!$F24</f>
        <v>5470.4834861982299</v>
      </c>
      <c r="W24" s="285">
        <f>'9   Trucks'!$AI24*'9   Trucks'!$L24*'10   Loader'!$F21*W$11/'9   Trucks'!$F24</f>
        <v>5758.4036696823478</v>
      </c>
      <c r="X24" s="285">
        <f>'9   Trucks'!$AI24*'9   Trucks'!$L24*'10   Loader'!$F21*X$11/'9   Trucks'!$F24</f>
        <v>6046.3238531664647</v>
      </c>
      <c r="Y24" s="285">
        <f>'9   Trucks'!$AI24*'9   Trucks'!$L24*'10   Loader'!$F21*Y$11/'9   Trucks'!$F24</f>
        <v>6334.2440366505825</v>
      </c>
      <c r="Z24" s="285">
        <f>'9   Trucks'!$AI24*'9   Trucks'!$L24*'10   Loader'!$F21*Z$11/'9   Trucks'!$F24</f>
        <v>6622.1642201346995</v>
      </c>
      <c r="AA24" s="285">
        <f>'9   Trucks'!$AI24*'9   Trucks'!$L24*'10   Loader'!$F21*AA$11/'9   Trucks'!$F24</f>
        <v>6910.0844036188173</v>
      </c>
      <c r="AB24" s="285">
        <f>'9   Trucks'!$AI24*'9   Trucks'!$L24*'10   Loader'!$F21*AB$11/'9   Trucks'!$F24</f>
        <v>7198.0045871029342</v>
      </c>
    </row>
    <row r="25" spans="1:28" x14ac:dyDescent="0.2">
      <c r="A25" s="279" t="str">
        <f>'4   Earthwork'!B67</f>
        <v>Haul cover soil</v>
      </c>
      <c r="B25" s="279" t="str">
        <f>'4   Earthwork'!C67</f>
        <v>NOBS</v>
      </c>
      <c r="C25" s="279" t="str">
        <f>'4   Earthwork'!D67</f>
        <v>Grape Gulch Pond #3</v>
      </c>
      <c r="D25" s="279" t="str">
        <f>'3   Material'!$G67</f>
        <v>777F</v>
      </c>
      <c r="E25" s="285">
        <f>'9   Trucks'!$AI25*'9   Trucks'!$L25*'10   Loader'!$F22*E$11/'9   Trucks'!$F25</f>
        <v>804.38097030345068</v>
      </c>
      <c r="F25" s="285">
        <f>'9   Trucks'!$AI25*'9   Trucks'!$L25*'10   Loader'!$F22*F$11/'9   Trucks'!$F25</f>
        <v>1206.5714554551762</v>
      </c>
      <c r="G25" s="285">
        <f>'9   Trucks'!$AI25*'9   Trucks'!$L25*'10   Loader'!$F22*G$11/'9   Trucks'!$F25</f>
        <v>1608.7619406069014</v>
      </c>
      <c r="H25" s="285">
        <f>'9   Trucks'!$AI25*'9   Trucks'!$L25*'10   Loader'!$F22*H$11/'9   Trucks'!$F25</f>
        <v>2010.9524257586268</v>
      </c>
      <c r="I25" s="285">
        <f>'9   Trucks'!$AI25*'9   Trucks'!$L25*'10   Loader'!$F22*I$11/'9   Trucks'!$F25</f>
        <v>2413.1429109103524</v>
      </c>
      <c r="J25" s="285">
        <f>'9   Trucks'!$AI25*'9   Trucks'!$L25*'10   Loader'!$F22*J$11/'9   Trucks'!$F25</f>
        <v>2815.3333960620776</v>
      </c>
      <c r="K25" s="285">
        <f>'9   Trucks'!$AI25*'9   Trucks'!$L25*'10   Loader'!$F22*K$11/'9   Trucks'!$F25</f>
        <v>3217.5238812138027</v>
      </c>
      <c r="L25" s="285">
        <f>'9   Trucks'!$AI25*'9   Trucks'!$L25*'10   Loader'!$F22*L$11/'9   Trucks'!$F25</f>
        <v>3619.7143663655283</v>
      </c>
      <c r="M25" s="285">
        <f>'9   Trucks'!$AI25*'9   Trucks'!$L25*'10   Loader'!$F22*M$11/'9   Trucks'!$F25</f>
        <v>4021.9048515172535</v>
      </c>
      <c r="N25" s="285">
        <f>'9   Trucks'!$AI25*'9   Trucks'!$L25*'10   Loader'!$F22*N$11/'9   Trucks'!$F25</f>
        <v>4424.0953366689791</v>
      </c>
      <c r="O25" s="285">
        <f>'9   Trucks'!$AI25*'9   Trucks'!$L25*'10   Loader'!$F22*O$11/'9   Trucks'!$F25</f>
        <v>4826.2858218207048</v>
      </c>
      <c r="P25" s="285">
        <f>'9   Trucks'!$AI25*'9   Trucks'!$L25*'10   Loader'!$F22*P$11/'9   Trucks'!$F25</f>
        <v>5228.4763069724295</v>
      </c>
      <c r="Q25" s="285">
        <f>'9   Trucks'!$AI25*'9   Trucks'!$L25*'10   Loader'!$F22*Q$11/'9   Trucks'!$F25</f>
        <v>5630.6667921241551</v>
      </c>
      <c r="R25" s="285">
        <f>'9   Trucks'!$AI25*'9   Trucks'!$L25*'10   Loader'!$F22*R$11/'9   Trucks'!$F25</f>
        <v>6032.8572772758807</v>
      </c>
      <c r="S25" s="285">
        <f>'9   Trucks'!$AI25*'9   Trucks'!$L25*'10   Loader'!$F22*S$11/'9   Trucks'!$F25</f>
        <v>6435.0477624276054</v>
      </c>
      <c r="T25" s="285">
        <f>'9   Trucks'!$AI25*'9   Trucks'!$L25*'10   Loader'!$F22*T$11/'9   Trucks'!$F25</f>
        <v>6837.2382475793311</v>
      </c>
      <c r="U25" s="285">
        <f>'9   Trucks'!$AI25*'9   Trucks'!$L25*'10   Loader'!$F22*U$11/'9   Trucks'!$F25</f>
        <v>7239.4287327310567</v>
      </c>
      <c r="V25" s="285">
        <f>'9   Trucks'!$AI25*'9   Trucks'!$L25*'10   Loader'!$F22*V$11/'9   Trucks'!$F25</f>
        <v>7641.6192178827823</v>
      </c>
      <c r="W25" s="285">
        <f>'9   Trucks'!$AI25*'9   Trucks'!$L25*'10   Loader'!$F22*W$11/'9   Trucks'!$F25</f>
        <v>8043.809703034507</v>
      </c>
      <c r="X25" s="285">
        <f>'9   Trucks'!$AI25*'9   Trucks'!$L25*'10   Loader'!$F22*X$11/'9   Trucks'!$F25</f>
        <v>8446.0001881862336</v>
      </c>
      <c r="Y25" s="285">
        <f>'9   Trucks'!$AI25*'9   Trucks'!$L25*'10   Loader'!$F22*Y$11/'9   Trucks'!$F25</f>
        <v>8848.1906733379583</v>
      </c>
      <c r="Z25" s="285">
        <f>'9   Trucks'!$AI25*'9   Trucks'!$L25*'10   Loader'!$F22*Z$11/'9   Trucks'!$F25</f>
        <v>9250.381158489683</v>
      </c>
      <c r="AA25" s="285">
        <f>'9   Trucks'!$AI25*'9   Trucks'!$L25*'10   Loader'!$F22*AA$11/'9   Trucks'!$F25</f>
        <v>9652.5716436414095</v>
      </c>
      <c r="AB25" s="285">
        <f>'9   Trucks'!$AI25*'9   Trucks'!$L25*'10   Loader'!$F22*AB$11/'9   Trucks'!$F25</f>
        <v>10054.762128793134</v>
      </c>
    </row>
    <row r="26" spans="1:28" x14ac:dyDescent="0.2">
      <c r="A26" s="279" t="str">
        <f>'4   Earthwork'!B68</f>
        <v>Haul cover soil</v>
      </c>
      <c r="B26" s="279" t="str">
        <f>'4   Earthwork'!C68</f>
        <v>NOBS</v>
      </c>
      <c r="C26" s="279" t="str">
        <f>'4   Earthwork'!D68</f>
        <v>Magnetite Seepage Pond</v>
      </c>
      <c r="D26" s="279" t="str">
        <f>'3   Material'!$G68</f>
        <v>777F</v>
      </c>
      <c r="E26" s="285">
        <f>'9   Trucks'!$AI26*'9   Trucks'!$L26*'10   Loader'!$F23*E$11/'9   Trucks'!$F26</f>
        <v>672.05362046441485</v>
      </c>
      <c r="F26" s="285">
        <f>'9   Trucks'!$AI26*'9   Trucks'!$L26*'10   Loader'!$F23*F$11/'9   Trucks'!$F26</f>
        <v>1008.0804306966222</v>
      </c>
      <c r="G26" s="285">
        <f>'9   Trucks'!$AI26*'9   Trucks'!$L26*'10   Loader'!$F23*G$11/'9   Trucks'!$F26</f>
        <v>1344.1072409288297</v>
      </c>
      <c r="H26" s="285">
        <f>'9   Trucks'!$AI26*'9   Trucks'!$L26*'10   Loader'!$F23*H$11/'9   Trucks'!$F26</f>
        <v>1680.134051161037</v>
      </c>
      <c r="I26" s="285">
        <f>'9   Trucks'!$AI26*'9   Trucks'!$L26*'10   Loader'!$F23*I$11/'9   Trucks'!$F26</f>
        <v>2016.1608613932444</v>
      </c>
      <c r="J26" s="285">
        <f>'9   Trucks'!$AI26*'9   Trucks'!$L26*'10   Loader'!$F23*J$11/'9   Trucks'!$F26</f>
        <v>2352.1876716254519</v>
      </c>
      <c r="K26" s="285">
        <f>'9   Trucks'!$AI26*'9   Trucks'!$L26*'10   Loader'!$F23*K$11/'9   Trucks'!$F26</f>
        <v>2688.2144818576594</v>
      </c>
      <c r="L26" s="285">
        <f>'9   Trucks'!$AI26*'9   Trucks'!$L26*'10   Loader'!$F23*L$11/'9   Trucks'!$F26</f>
        <v>3024.2412920898664</v>
      </c>
      <c r="M26" s="285">
        <f>'9   Trucks'!$AI26*'9   Trucks'!$L26*'10   Loader'!$F23*M$11/'9   Trucks'!$F26</f>
        <v>3360.2681023220739</v>
      </c>
      <c r="N26" s="285">
        <f>'9   Trucks'!$AI26*'9   Trucks'!$L26*'10   Loader'!$F23*N$11/'9   Trucks'!$F26</f>
        <v>3696.2949125542814</v>
      </c>
      <c r="O26" s="285">
        <f>'9   Trucks'!$AI26*'9   Trucks'!$L26*'10   Loader'!$F23*O$11/'9   Trucks'!$F26</f>
        <v>4032.3217227864889</v>
      </c>
      <c r="P26" s="285">
        <f>'9   Trucks'!$AI26*'9   Trucks'!$L26*'10   Loader'!$F23*P$11/'9   Trucks'!$F26</f>
        <v>4368.3485330186959</v>
      </c>
      <c r="Q26" s="285">
        <f>'9   Trucks'!$AI26*'9   Trucks'!$L26*'10   Loader'!$F23*Q$11/'9   Trucks'!$F26</f>
        <v>4704.3753432509038</v>
      </c>
      <c r="R26" s="285">
        <f>'9   Trucks'!$AI26*'9   Trucks'!$L26*'10   Loader'!$F23*R$11/'9   Trucks'!$F26</f>
        <v>5040.4021534831109</v>
      </c>
      <c r="S26" s="285">
        <f>'9   Trucks'!$AI26*'9   Trucks'!$L26*'10   Loader'!$F23*S$11/'9   Trucks'!$F26</f>
        <v>5376.4289637153188</v>
      </c>
      <c r="T26" s="285">
        <f>'9   Trucks'!$AI26*'9   Trucks'!$L26*'10   Loader'!$F23*T$11/'9   Trucks'!$F26</f>
        <v>5712.4557739475258</v>
      </c>
      <c r="U26" s="285">
        <f>'9   Trucks'!$AI26*'9   Trucks'!$L26*'10   Loader'!$F23*U$11/'9   Trucks'!$F26</f>
        <v>6048.4825841797328</v>
      </c>
      <c r="V26" s="285">
        <f>'9   Trucks'!$AI26*'9   Trucks'!$L26*'10   Loader'!$F23*V$11/'9   Trucks'!$F26</f>
        <v>6384.5093944119408</v>
      </c>
      <c r="W26" s="285">
        <f>'9   Trucks'!$AI26*'9   Trucks'!$L26*'10   Loader'!$F23*W$11/'9   Trucks'!$F26</f>
        <v>6720.5362046441478</v>
      </c>
      <c r="X26" s="285">
        <f>'9   Trucks'!$AI26*'9   Trucks'!$L26*'10   Loader'!$F23*X$11/'9   Trucks'!$F26</f>
        <v>7056.5630148763557</v>
      </c>
      <c r="Y26" s="285">
        <f>'9   Trucks'!$AI26*'9   Trucks'!$L26*'10   Loader'!$F23*Y$11/'9   Trucks'!$F26</f>
        <v>7392.5898251085628</v>
      </c>
      <c r="Z26" s="285">
        <f>'9   Trucks'!$AI26*'9   Trucks'!$L26*'10   Loader'!$F23*Z$11/'9   Trucks'!$F26</f>
        <v>7728.6166353407698</v>
      </c>
      <c r="AA26" s="285">
        <f>'9   Trucks'!$AI26*'9   Trucks'!$L26*'10   Loader'!$F23*AA$11/'9   Trucks'!$F26</f>
        <v>8064.6434455729777</v>
      </c>
      <c r="AB26" s="285">
        <f>'9   Trucks'!$AI26*'9   Trucks'!$L26*'10   Loader'!$F23*AB$11/'9   Trucks'!$F26</f>
        <v>8400.6702558051857</v>
      </c>
    </row>
    <row r="27" spans="1:28" x14ac:dyDescent="0.2">
      <c r="A27" s="279" t="str">
        <f>'4   Earthwork'!B69</f>
        <v>Haul cover soil</v>
      </c>
      <c r="B27" s="279" t="str">
        <f>'4   Earthwork'!C69</f>
        <v>OB Stockpile 1 through 3, Topsoil Stockpile, South OB Stockpile</v>
      </c>
      <c r="C27" s="279" t="str">
        <f>'4   Earthwork'!D69</f>
        <v>SWRF Dam 1</v>
      </c>
      <c r="D27" s="279" t="str">
        <f>'3   Material'!$G69</f>
        <v>777F</v>
      </c>
      <c r="E27" s="285">
        <f>'9   Trucks'!$AI27*'9   Trucks'!$L27*'10   Loader'!$F24*E$11/'9   Trucks'!$F27</f>
        <v>937.63522531970796</v>
      </c>
      <c r="F27" s="285">
        <f>'9   Trucks'!$AI27*'9   Trucks'!$L27*'10   Loader'!$F24*F$11/'9   Trucks'!$F27</f>
        <v>1406.4528379795618</v>
      </c>
      <c r="G27" s="285">
        <f>'9   Trucks'!$AI27*'9   Trucks'!$L27*'10   Loader'!$F24*G$11/'9   Trucks'!$F27</f>
        <v>1875.2704506394159</v>
      </c>
      <c r="H27" s="285">
        <f>'9   Trucks'!$AI27*'9   Trucks'!$L27*'10   Loader'!$F24*H$11/'9   Trucks'!$F27</f>
        <v>2344.0880632992698</v>
      </c>
      <c r="I27" s="285">
        <f>'9   Trucks'!$AI27*'9   Trucks'!$L27*'10   Loader'!$F24*I$11/'9   Trucks'!$F27</f>
        <v>2812.9056759591235</v>
      </c>
      <c r="J27" s="285">
        <f>'9   Trucks'!$AI27*'9   Trucks'!$L27*'10   Loader'!$F24*J$11/'9   Trucks'!$F27</f>
        <v>3281.7232886189777</v>
      </c>
      <c r="K27" s="285">
        <f>'9   Trucks'!$AI27*'9   Trucks'!$L27*'10   Loader'!$F24*K$11/'9   Trucks'!$F27</f>
        <v>3750.5409012788318</v>
      </c>
      <c r="L27" s="285">
        <f>'9   Trucks'!$AI27*'9   Trucks'!$L27*'10   Loader'!$F24*L$11/'9   Trucks'!$F27</f>
        <v>4219.358513938686</v>
      </c>
      <c r="M27" s="285">
        <f>'9   Trucks'!$AI27*'9   Trucks'!$L27*'10   Loader'!$F24*M$11/'9   Trucks'!$F27</f>
        <v>4688.1761265985397</v>
      </c>
      <c r="N27" s="285">
        <f>'9   Trucks'!$AI27*'9   Trucks'!$L27*'10   Loader'!$F24*N$11/'9   Trucks'!$F27</f>
        <v>5156.9937392583934</v>
      </c>
      <c r="O27" s="285">
        <f>'9   Trucks'!$AI27*'9   Trucks'!$L27*'10   Loader'!$F24*O$11/'9   Trucks'!$F27</f>
        <v>5625.8113519182471</v>
      </c>
      <c r="P27" s="285">
        <f>'9   Trucks'!$AI27*'9   Trucks'!$L27*'10   Loader'!$F24*P$11/'9   Trucks'!$F27</f>
        <v>6094.6289645781017</v>
      </c>
      <c r="Q27" s="285">
        <f>'9   Trucks'!$AI27*'9   Trucks'!$L27*'10   Loader'!$F24*Q$11/'9   Trucks'!$F27</f>
        <v>6563.4465772379554</v>
      </c>
      <c r="R27" s="285">
        <f>'9   Trucks'!$AI27*'9   Trucks'!$L27*'10   Loader'!$F24*R$11/'9   Trucks'!$F27</f>
        <v>7032.264189897809</v>
      </c>
      <c r="S27" s="285">
        <f>'9   Trucks'!$AI27*'9   Trucks'!$L27*'10   Loader'!$F24*S$11/'9   Trucks'!$F27</f>
        <v>7501.0818025576637</v>
      </c>
      <c r="T27" s="285">
        <f>'9   Trucks'!$AI27*'9   Trucks'!$L27*'10   Loader'!$F24*T$11/'9   Trucks'!$F27</f>
        <v>7969.8994152175173</v>
      </c>
      <c r="U27" s="285">
        <f>'9   Trucks'!$AI27*'9   Trucks'!$L27*'10   Loader'!$F24*U$11/'9   Trucks'!$F27</f>
        <v>8438.7170278773719</v>
      </c>
      <c r="V27" s="285">
        <f>'9   Trucks'!$AI27*'9   Trucks'!$L27*'10   Loader'!$F24*V$11/'9   Trucks'!$F27</f>
        <v>8907.5346405372256</v>
      </c>
      <c r="W27" s="285">
        <f>'9   Trucks'!$AI27*'9   Trucks'!$L27*'10   Loader'!$F24*W$11/'9   Trucks'!$F27</f>
        <v>9376.3522531970793</v>
      </c>
      <c r="X27" s="285">
        <f>'9   Trucks'!$AI27*'9   Trucks'!$L27*'10   Loader'!$F24*X$11/'9   Trucks'!$F27</f>
        <v>9845.169865856933</v>
      </c>
      <c r="Y27" s="285">
        <f>'9   Trucks'!$AI27*'9   Trucks'!$L27*'10   Loader'!$F24*Y$11/'9   Trucks'!$F27</f>
        <v>10313.987478516787</v>
      </c>
      <c r="Z27" s="285">
        <f>'9   Trucks'!$AI27*'9   Trucks'!$L27*'10   Loader'!$F24*Z$11/'9   Trucks'!$F27</f>
        <v>10782.80509117664</v>
      </c>
      <c r="AA27" s="285">
        <f>'9   Trucks'!$AI27*'9   Trucks'!$L27*'10   Loader'!$F24*AA$11/'9   Trucks'!$F27</f>
        <v>11251.622703836494</v>
      </c>
      <c r="AB27" s="285">
        <f>'9   Trucks'!$AI27*'9   Trucks'!$L27*'10   Loader'!$F24*AB$11/'9   Trucks'!$F27</f>
        <v>11720.44031649635</v>
      </c>
    </row>
    <row r="28" spans="1:28" x14ac:dyDescent="0.2">
      <c r="A28" s="279" t="str">
        <f>'4   Earthwork'!B70</f>
        <v>Haul cover soil</v>
      </c>
      <c r="B28" s="279" t="str">
        <f>'4   Earthwork'!C70</f>
        <v>OB Stockpile 1 through 3, Topsoil Stockpile, South OB Stockpile</v>
      </c>
      <c r="C28" s="279" t="str">
        <f>'4   Earthwork'!D70</f>
        <v>SWRF Dam 2</v>
      </c>
      <c r="D28" s="279" t="str">
        <f>'3   Material'!$G70</f>
        <v>777F</v>
      </c>
      <c r="E28" s="285">
        <f>'9   Trucks'!$AI28*'9   Trucks'!$L28*'10   Loader'!$F25*E$11/'9   Trucks'!$F28</f>
        <v>937.63522531970796</v>
      </c>
      <c r="F28" s="285">
        <f>'9   Trucks'!$AI28*'9   Trucks'!$L28*'10   Loader'!$F25*F$11/'9   Trucks'!$F28</f>
        <v>1406.4528379795618</v>
      </c>
      <c r="G28" s="285">
        <f>'9   Trucks'!$AI28*'9   Trucks'!$L28*'10   Loader'!$F25*G$11/'9   Trucks'!$F28</f>
        <v>1875.2704506394159</v>
      </c>
      <c r="H28" s="285">
        <f>'9   Trucks'!$AI28*'9   Trucks'!$L28*'10   Loader'!$F25*H$11/'9   Trucks'!$F28</f>
        <v>2344.0880632992698</v>
      </c>
      <c r="I28" s="285">
        <f>'9   Trucks'!$AI28*'9   Trucks'!$L28*'10   Loader'!$F25*I$11/'9   Trucks'!$F28</f>
        <v>2812.9056759591235</v>
      </c>
      <c r="J28" s="285">
        <f>'9   Trucks'!$AI28*'9   Trucks'!$L28*'10   Loader'!$F25*J$11/'9   Trucks'!$F28</f>
        <v>3281.7232886189777</v>
      </c>
      <c r="K28" s="285">
        <f>'9   Trucks'!$AI28*'9   Trucks'!$L28*'10   Loader'!$F25*K$11/'9   Trucks'!$F28</f>
        <v>3750.5409012788318</v>
      </c>
      <c r="L28" s="285">
        <f>'9   Trucks'!$AI28*'9   Trucks'!$L28*'10   Loader'!$F25*L$11/'9   Trucks'!$F28</f>
        <v>4219.358513938686</v>
      </c>
      <c r="M28" s="285">
        <f>'9   Trucks'!$AI28*'9   Trucks'!$L28*'10   Loader'!$F25*M$11/'9   Trucks'!$F28</f>
        <v>4688.1761265985397</v>
      </c>
      <c r="N28" s="285">
        <f>'9   Trucks'!$AI28*'9   Trucks'!$L28*'10   Loader'!$F25*N$11/'9   Trucks'!$F28</f>
        <v>5156.9937392583934</v>
      </c>
      <c r="O28" s="285">
        <f>'9   Trucks'!$AI28*'9   Trucks'!$L28*'10   Loader'!$F25*O$11/'9   Trucks'!$F28</f>
        <v>5625.8113519182471</v>
      </c>
      <c r="P28" s="285">
        <f>'9   Trucks'!$AI28*'9   Trucks'!$L28*'10   Loader'!$F25*P$11/'9   Trucks'!$F28</f>
        <v>6094.6289645781017</v>
      </c>
      <c r="Q28" s="285">
        <f>'9   Trucks'!$AI28*'9   Trucks'!$L28*'10   Loader'!$F25*Q$11/'9   Trucks'!$F28</f>
        <v>6563.4465772379554</v>
      </c>
      <c r="R28" s="285">
        <f>'9   Trucks'!$AI28*'9   Trucks'!$L28*'10   Loader'!$F25*R$11/'9   Trucks'!$F28</f>
        <v>7032.264189897809</v>
      </c>
      <c r="S28" s="285">
        <f>'9   Trucks'!$AI28*'9   Trucks'!$L28*'10   Loader'!$F25*S$11/'9   Trucks'!$F28</f>
        <v>7501.0818025576637</v>
      </c>
      <c r="T28" s="285">
        <f>'9   Trucks'!$AI28*'9   Trucks'!$L28*'10   Loader'!$F25*T$11/'9   Trucks'!$F28</f>
        <v>7969.8994152175173</v>
      </c>
      <c r="U28" s="285">
        <f>'9   Trucks'!$AI28*'9   Trucks'!$L28*'10   Loader'!$F25*U$11/'9   Trucks'!$F28</f>
        <v>8438.7170278773719</v>
      </c>
      <c r="V28" s="285">
        <f>'9   Trucks'!$AI28*'9   Trucks'!$L28*'10   Loader'!$F25*V$11/'9   Trucks'!$F28</f>
        <v>8907.5346405372256</v>
      </c>
      <c r="W28" s="285">
        <f>'9   Trucks'!$AI28*'9   Trucks'!$L28*'10   Loader'!$F25*W$11/'9   Trucks'!$F28</f>
        <v>9376.3522531970793</v>
      </c>
      <c r="X28" s="285">
        <f>'9   Trucks'!$AI28*'9   Trucks'!$L28*'10   Loader'!$F25*X$11/'9   Trucks'!$F28</f>
        <v>9845.169865856933</v>
      </c>
      <c r="Y28" s="285">
        <f>'9   Trucks'!$AI28*'9   Trucks'!$L28*'10   Loader'!$F25*Y$11/'9   Trucks'!$F28</f>
        <v>10313.987478516787</v>
      </c>
      <c r="Z28" s="285">
        <f>'9   Trucks'!$AI28*'9   Trucks'!$L28*'10   Loader'!$F25*Z$11/'9   Trucks'!$F28</f>
        <v>10782.80509117664</v>
      </c>
      <c r="AA28" s="285">
        <f>'9   Trucks'!$AI28*'9   Trucks'!$L28*'10   Loader'!$F25*AA$11/'9   Trucks'!$F28</f>
        <v>11251.622703836494</v>
      </c>
      <c r="AB28" s="285">
        <f>'9   Trucks'!$AI28*'9   Trucks'!$L28*'10   Loader'!$F25*AB$11/'9   Trucks'!$F28</f>
        <v>11720.44031649635</v>
      </c>
    </row>
    <row r="29" spans="1:28" x14ac:dyDescent="0.2">
      <c r="A29" s="279" t="str">
        <f>'4   Earthwork'!B71</f>
        <v>Haul cover soil</v>
      </c>
      <c r="B29" s="279" t="str">
        <f>'4   Earthwork'!C71</f>
        <v>OB Stockpile 1 through 3, Topsoil Stockpile, South OB Stockpile</v>
      </c>
      <c r="C29" s="279" t="str">
        <f>'4   Earthwork'!D71</f>
        <v>SWRF Dam 3</v>
      </c>
      <c r="D29" s="279" t="str">
        <f>'3   Material'!$G71</f>
        <v>777F</v>
      </c>
      <c r="E29" s="285">
        <f>'9   Trucks'!$AI29*'9   Trucks'!$L29*'10   Loader'!$F26*E$11/'9   Trucks'!$F29</f>
        <v>937.63522531970796</v>
      </c>
      <c r="F29" s="285">
        <f>'9   Trucks'!$AI29*'9   Trucks'!$L29*'10   Loader'!$F26*F$11/'9   Trucks'!$F29</f>
        <v>1406.4528379795618</v>
      </c>
      <c r="G29" s="285">
        <f>'9   Trucks'!$AI29*'9   Trucks'!$L29*'10   Loader'!$F26*G$11/'9   Trucks'!$F29</f>
        <v>1875.2704506394159</v>
      </c>
      <c r="H29" s="285">
        <f>'9   Trucks'!$AI29*'9   Trucks'!$L29*'10   Loader'!$F26*H$11/'9   Trucks'!$F29</f>
        <v>2344.0880632992698</v>
      </c>
      <c r="I29" s="285">
        <f>'9   Trucks'!$AI29*'9   Trucks'!$L29*'10   Loader'!$F26*I$11/'9   Trucks'!$F29</f>
        <v>2812.9056759591235</v>
      </c>
      <c r="J29" s="285">
        <f>'9   Trucks'!$AI29*'9   Trucks'!$L29*'10   Loader'!$F26*J$11/'9   Trucks'!$F29</f>
        <v>3281.7232886189777</v>
      </c>
      <c r="K29" s="285">
        <f>'9   Trucks'!$AI29*'9   Trucks'!$L29*'10   Loader'!$F26*K$11/'9   Trucks'!$F29</f>
        <v>3750.5409012788318</v>
      </c>
      <c r="L29" s="285">
        <f>'9   Trucks'!$AI29*'9   Trucks'!$L29*'10   Loader'!$F26*L$11/'9   Trucks'!$F29</f>
        <v>4219.358513938686</v>
      </c>
      <c r="M29" s="285">
        <f>'9   Trucks'!$AI29*'9   Trucks'!$L29*'10   Loader'!$F26*M$11/'9   Trucks'!$F29</f>
        <v>4688.1761265985397</v>
      </c>
      <c r="N29" s="285">
        <f>'9   Trucks'!$AI29*'9   Trucks'!$L29*'10   Loader'!$F26*N$11/'9   Trucks'!$F29</f>
        <v>5156.9937392583934</v>
      </c>
      <c r="O29" s="285">
        <f>'9   Trucks'!$AI29*'9   Trucks'!$L29*'10   Loader'!$F26*O$11/'9   Trucks'!$F29</f>
        <v>5625.8113519182471</v>
      </c>
      <c r="P29" s="285">
        <f>'9   Trucks'!$AI29*'9   Trucks'!$L29*'10   Loader'!$F26*P$11/'9   Trucks'!$F29</f>
        <v>6094.6289645781017</v>
      </c>
      <c r="Q29" s="285">
        <f>'9   Trucks'!$AI29*'9   Trucks'!$L29*'10   Loader'!$F26*Q$11/'9   Trucks'!$F29</f>
        <v>6563.4465772379554</v>
      </c>
      <c r="R29" s="285">
        <f>'9   Trucks'!$AI29*'9   Trucks'!$L29*'10   Loader'!$F26*R$11/'9   Trucks'!$F29</f>
        <v>7032.264189897809</v>
      </c>
      <c r="S29" s="285">
        <f>'9   Trucks'!$AI29*'9   Trucks'!$L29*'10   Loader'!$F26*S$11/'9   Trucks'!$F29</f>
        <v>7501.0818025576637</v>
      </c>
      <c r="T29" s="285">
        <f>'9   Trucks'!$AI29*'9   Trucks'!$L29*'10   Loader'!$F26*T$11/'9   Trucks'!$F29</f>
        <v>7969.8994152175173</v>
      </c>
      <c r="U29" s="285">
        <f>'9   Trucks'!$AI29*'9   Trucks'!$L29*'10   Loader'!$F26*U$11/'9   Trucks'!$F29</f>
        <v>8438.7170278773719</v>
      </c>
      <c r="V29" s="285">
        <f>'9   Trucks'!$AI29*'9   Trucks'!$L29*'10   Loader'!$F26*V$11/'9   Trucks'!$F29</f>
        <v>8907.5346405372256</v>
      </c>
      <c r="W29" s="285">
        <f>'9   Trucks'!$AI29*'9   Trucks'!$L29*'10   Loader'!$F26*W$11/'9   Trucks'!$F29</f>
        <v>9376.3522531970793</v>
      </c>
      <c r="X29" s="285">
        <f>'9   Trucks'!$AI29*'9   Trucks'!$L29*'10   Loader'!$F26*X$11/'9   Trucks'!$F29</f>
        <v>9845.169865856933</v>
      </c>
      <c r="Y29" s="285">
        <f>'9   Trucks'!$AI29*'9   Trucks'!$L29*'10   Loader'!$F26*Y$11/'9   Trucks'!$F29</f>
        <v>10313.987478516787</v>
      </c>
      <c r="Z29" s="285">
        <f>'9   Trucks'!$AI29*'9   Trucks'!$L29*'10   Loader'!$F26*Z$11/'9   Trucks'!$F29</f>
        <v>10782.80509117664</v>
      </c>
      <c r="AA29" s="285">
        <f>'9   Trucks'!$AI29*'9   Trucks'!$L29*'10   Loader'!$F26*AA$11/'9   Trucks'!$F29</f>
        <v>11251.622703836494</v>
      </c>
      <c r="AB29" s="285">
        <f>'9   Trucks'!$AI29*'9   Trucks'!$L29*'10   Loader'!$F26*AB$11/'9   Trucks'!$F29</f>
        <v>11720.44031649635</v>
      </c>
    </row>
    <row r="30" spans="1:28" x14ac:dyDescent="0.2">
      <c r="A30" s="279" t="str">
        <f>'4   Earthwork'!B72</f>
        <v>Haul cover soil</v>
      </c>
      <c r="B30" s="279" t="str">
        <f>'4   Earthwork'!C72</f>
        <v>OB-4 Stockpile</v>
      </c>
      <c r="C30" s="279" t="str">
        <f>'4   Earthwork'!D72</f>
        <v>North Tailings Decant Pond</v>
      </c>
      <c r="D30" s="279" t="str">
        <f>'3   Material'!$G72</f>
        <v>777F</v>
      </c>
      <c r="E30" s="285">
        <f>'9   Trucks'!$AI30*'9   Trucks'!$L30*'10   Loader'!$F27*E$11/'9   Trucks'!$F30</f>
        <v>1165.7257025939134</v>
      </c>
      <c r="F30" s="285">
        <f>'9   Trucks'!$AI30*'9   Trucks'!$L30*'10   Loader'!$F27*F$11/'9   Trucks'!$F30</f>
        <v>1748.5885538908703</v>
      </c>
      <c r="G30" s="285">
        <f>'9   Trucks'!$AI30*'9   Trucks'!$L30*'10   Loader'!$F27*G$11/'9   Trucks'!$F30</f>
        <v>2331.4514051878268</v>
      </c>
      <c r="H30" s="285">
        <f>'9   Trucks'!$AI30*'9   Trucks'!$L30*'10   Loader'!$F27*H$11/'9   Trucks'!$F30</f>
        <v>2914.314256484784</v>
      </c>
      <c r="I30" s="285">
        <f>'9   Trucks'!$AI30*'9   Trucks'!$L30*'10   Loader'!$F27*I$11/'9   Trucks'!$F30</f>
        <v>3497.1771077817407</v>
      </c>
      <c r="J30" s="285">
        <f>'9   Trucks'!$AI30*'9   Trucks'!$L30*'10   Loader'!$F27*J$11/'9   Trucks'!$F30</f>
        <v>4080.0399590786974</v>
      </c>
      <c r="K30" s="285">
        <f>'9   Trucks'!$AI30*'9   Trucks'!$L30*'10   Loader'!$F27*K$11/'9   Trucks'!$F30</f>
        <v>4662.9028103756536</v>
      </c>
      <c r="L30" s="285">
        <f>'9   Trucks'!$AI30*'9   Trucks'!$L30*'10   Loader'!$F27*L$11/'9   Trucks'!$F30</f>
        <v>5245.7656616726108</v>
      </c>
      <c r="M30" s="285">
        <f>'9   Trucks'!$AI30*'9   Trucks'!$L30*'10   Loader'!$F27*M$11/'9   Trucks'!$F30</f>
        <v>5828.628512969568</v>
      </c>
      <c r="N30" s="285">
        <f>'9   Trucks'!$AI30*'9   Trucks'!$L30*'10   Loader'!$F27*N$11/'9   Trucks'!$F30</f>
        <v>6411.4913642665242</v>
      </c>
      <c r="O30" s="285">
        <f>'9   Trucks'!$AI30*'9   Trucks'!$L30*'10   Loader'!$F27*O$11/'9   Trucks'!$F30</f>
        <v>6994.3542155634814</v>
      </c>
      <c r="P30" s="285">
        <f>'9   Trucks'!$AI30*'9   Trucks'!$L30*'10   Loader'!$F27*P$11/'9   Trucks'!$F30</f>
        <v>7577.2170668604376</v>
      </c>
      <c r="Q30" s="285">
        <f>'9   Trucks'!$AI30*'9   Trucks'!$L30*'10   Loader'!$F27*Q$11/'9   Trucks'!$F30</f>
        <v>8160.0799181573948</v>
      </c>
      <c r="R30" s="285">
        <f>'9   Trucks'!$AI30*'9   Trucks'!$L30*'10   Loader'!$F27*R$11/'9   Trucks'!$F30</f>
        <v>8742.9427694543519</v>
      </c>
      <c r="S30" s="285">
        <f>'9   Trucks'!$AI30*'9   Trucks'!$L30*'10   Loader'!$F27*S$11/'9   Trucks'!$F30</f>
        <v>9325.8056207513073</v>
      </c>
      <c r="T30" s="285">
        <f>'9   Trucks'!$AI30*'9   Trucks'!$L30*'10   Loader'!$F27*T$11/'9   Trucks'!$F30</f>
        <v>9908.6684720482644</v>
      </c>
      <c r="U30" s="285">
        <f>'9   Trucks'!$AI30*'9   Trucks'!$L30*'10   Loader'!$F27*U$11/'9   Trucks'!$F30</f>
        <v>10491.531323345222</v>
      </c>
      <c r="V30" s="285">
        <f>'9   Trucks'!$AI30*'9   Trucks'!$L30*'10   Loader'!$F27*V$11/'9   Trucks'!$F30</f>
        <v>11074.394174642179</v>
      </c>
      <c r="W30" s="285">
        <f>'9   Trucks'!$AI30*'9   Trucks'!$L30*'10   Loader'!$F27*W$11/'9   Trucks'!$F30</f>
        <v>11657.257025939136</v>
      </c>
      <c r="X30" s="285">
        <f>'9   Trucks'!$AI30*'9   Trucks'!$L30*'10   Loader'!$F27*X$11/'9   Trucks'!$F30</f>
        <v>12240.119877236091</v>
      </c>
      <c r="Y30" s="285">
        <f>'9   Trucks'!$AI30*'9   Trucks'!$L30*'10   Loader'!$F27*Y$11/'9   Trucks'!$F30</f>
        <v>12822.982728533048</v>
      </c>
      <c r="Z30" s="285">
        <f>'9   Trucks'!$AI30*'9   Trucks'!$L30*'10   Loader'!$F27*Z$11/'9   Trucks'!$F30</f>
        <v>13405.845579830006</v>
      </c>
      <c r="AA30" s="285">
        <f>'9   Trucks'!$AI30*'9   Trucks'!$L30*'10   Loader'!$F27*AA$11/'9   Trucks'!$F30</f>
        <v>13988.708431126963</v>
      </c>
      <c r="AB30" s="285">
        <f>'9   Trucks'!$AI30*'9   Trucks'!$L30*'10   Loader'!$F27*AB$11/'9   Trucks'!$F30</f>
        <v>14571.571282423918</v>
      </c>
    </row>
    <row r="31" spans="1:28" x14ac:dyDescent="0.2">
      <c r="A31" s="279" t="str">
        <f>'4   Earthwork'!B73</f>
        <v>Haul cover soil</v>
      </c>
      <c r="B31" s="279" t="str">
        <f>'4   Earthwork'!C73</f>
        <v>OB-4 Stockpile</v>
      </c>
      <c r="C31" s="279" t="str">
        <f>'4   Earthwork'!D73</f>
        <v>East WRF Containment</v>
      </c>
      <c r="D31" s="279" t="str">
        <f>'3   Material'!$G73</f>
        <v>777F</v>
      </c>
      <c r="E31" s="285">
        <f>'9   Trucks'!$AI31*'9   Trucks'!$L31*'10   Loader'!$F28*E$11/'9   Trucks'!$F31</f>
        <v>1165.7257025939134</v>
      </c>
      <c r="F31" s="285">
        <f>'9   Trucks'!$AI31*'9   Trucks'!$L31*'10   Loader'!$F28*F$11/'9   Trucks'!$F31</f>
        <v>1748.5885538908703</v>
      </c>
      <c r="G31" s="285">
        <f>'9   Trucks'!$AI31*'9   Trucks'!$L31*'10   Loader'!$F28*G$11/'9   Trucks'!$F31</f>
        <v>2331.4514051878268</v>
      </c>
      <c r="H31" s="285">
        <f>'9   Trucks'!$AI31*'9   Trucks'!$L31*'10   Loader'!$F28*H$11/'9   Trucks'!$F31</f>
        <v>2914.314256484784</v>
      </c>
      <c r="I31" s="285">
        <f>'9   Trucks'!$AI31*'9   Trucks'!$L31*'10   Loader'!$F28*I$11/'9   Trucks'!$F31</f>
        <v>3497.1771077817407</v>
      </c>
      <c r="J31" s="285">
        <f>'9   Trucks'!$AI31*'9   Trucks'!$L31*'10   Loader'!$F28*J$11/'9   Trucks'!$F31</f>
        <v>4080.0399590786974</v>
      </c>
      <c r="K31" s="285">
        <f>'9   Trucks'!$AI31*'9   Trucks'!$L31*'10   Loader'!$F28*K$11/'9   Trucks'!$F31</f>
        <v>4662.9028103756536</v>
      </c>
      <c r="L31" s="285">
        <f>'9   Trucks'!$AI31*'9   Trucks'!$L31*'10   Loader'!$F28*L$11/'9   Trucks'!$F31</f>
        <v>5245.7656616726108</v>
      </c>
      <c r="M31" s="285">
        <f>'9   Trucks'!$AI31*'9   Trucks'!$L31*'10   Loader'!$F28*M$11/'9   Trucks'!$F31</f>
        <v>5828.628512969568</v>
      </c>
      <c r="N31" s="285">
        <f>'9   Trucks'!$AI31*'9   Trucks'!$L31*'10   Loader'!$F28*N$11/'9   Trucks'!$F31</f>
        <v>6411.4913642665242</v>
      </c>
      <c r="O31" s="285">
        <f>'9   Trucks'!$AI31*'9   Trucks'!$L31*'10   Loader'!$F28*O$11/'9   Trucks'!$F31</f>
        <v>6994.3542155634814</v>
      </c>
      <c r="P31" s="285">
        <f>'9   Trucks'!$AI31*'9   Trucks'!$L31*'10   Loader'!$F28*P$11/'9   Trucks'!$F31</f>
        <v>7577.2170668604376</v>
      </c>
      <c r="Q31" s="285">
        <f>'9   Trucks'!$AI31*'9   Trucks'!$L31*'10   Loader'!$F28*Q$11/'9   Trucks'!$F31</f>
        <v>8160.0799181573948</v>
      </c>
      <c r="R31" s="285">
        <f>'9   Trucks'!$AI31*'9   Trucks'!$L31*'10   Loader'!$F28*R$11/'9   Trucks'!$F31</f>
        <v>8742.9427694543519</v>
      </c>
      <c r="S31" s="285">
        <f>'9   Trucks'!$AI31*'9   Trucks'!$L31*'10   Loader'!$F28*S$11/'9   Trucks'!$F31</f>
        <v>9325.8056207513073</v>
      </c>
      <c r="T31" s="285">
        <f>'9   Trucks'!$AI31*'9   Trucks'!$L31*'10   Loader'!$F28*T$11/'9   Trucks'!$F31</f>
        <v>9908.6684720482644</v>
      </c>
      <c r="U31" s="285">
        <f>'9   Trucks'!$AI31*'9   Trucks'!$L31*'10   Loader'!$F28*U$11/'9   Trucks'!$F31</f>
        <v>10491.531323345222</v>
      </c>
      <c r="V31" s="285">
        <f>'9   Trucks'!$AI31*'9   Trucks'!$L31*'10   Loader'!$F28*V$11/'9   Trucks'!$F31</f>
        <v>11074.394174642179</v>
      </c>
      <c r="W31" s="285">
        <f>'9   Trucks'!$AI31*'9   Trucks'!$L31*'10   Loader'!$F28*W$11/'9   Trucks'!$F31</f>
        <v>11657.257025939136</v>
      </c>
      <c r="X31" s="285">
        <f>'9   Trucks'!$AI31*'9   Trucks'!$L31*'10   Loader'!$F28*X$11/'9   Trucks'!$F31</f>
        <v>12240.119877236091</v>
      </c>
      <c r="Y31" s="285">
        <f>'9   Trucks'!$AI31*'9   Trucks'!$L31*'10   Loader'!$F28*Y$11/'9   Trucks'!$F31</f>
        <v>12822.982728533048</v>
      </c>
      <c r="Z31" s="285">
        <f>'9   Trucks'!$AI31*'9   Trucks'!$L31*'10   Loader'!$F28*Z$11/'9   Trucks'!$F31</f>
        <v>13405.845579830006</v>
      </c>
      <c r="AA31" s="285">
        <f>'9   Trucks'!$AI31*'9   Trucks'!$L31*'10   Loader'!$F28*AA$11/'9   Trucks'!$F31</f>
        <v>13988.708431126963</v>
      </c>
      <c r="AB31" s="285">
        <f>'9   Trucks'!$AI31*'9   Trucks'!$L31*'10   Loader'!$F28*AB$11/'9   Trucks'!$F31</f>
        <v>14571.571282423918</v>
      </c>
    </row>
    <row r="32" spans="1:28" x14ac:dyDescent="0.2">
      <c r="A32" s="279" t="str">
        <f>'4   Earthwork'!B74</f>
        <v>Haul cover soil</v>
      </c>
      <c r="B32" s="279" t="str">
        <f>'4   Earthwork'!C74</f>
        <v>NOBS</v>
      </c>
      <c r="C32" s="279" t="str">
        <f>'4   Earthwork'!D74</f>
        <v xml:space="preserve">Blackman's Seep (Pond #2) </v>
      </c>
      <c r="D32" s="279" t="str">
        <f>'3   Material'!$G74</f>
        <v>777F</v>
      </c>
      <c r="E32" s="285">
        <f>'9   Trucks'!$AI32*'9   Trucks'!$L32*'10   Loader'!$F29*E$11/'9   Trucks'!$F32</f>
        <v>804.38097030345068</v>
      </c>
      <c r="F32" s="285">
        <f>'9   Trucks'!$AI32*'9   Trucks'!$L32*'10   Loader'!$F29*F$11/'9   Trucks'!$F32</f>
        <v>1206.5714554551762</v>
      </c>
      <c r="G32" s="285">
        <f>'9   Trucks'!$AI32*'9   Trucks'!$L32*'10   Loader'!$F29*G$11/'9   Trucks'!$F32</f>
        <v>1608.7619406069014</v>
      </c>
      <c r="H32" s="285">
        <f>'9   Trucks'!$AI32*'9   Trucks'!$L32*'10   Loader'!$F29*H$11/'9   Trucks'!$F32</f>
        <v>2010.9524257586268</v>
      </c>
      <c r="I32" s="285">
        <f>'9   Trucks'!$AI32*'9   Trucks'!$L32*'10   Loader'!$F29*I$11/'9   Trucks'!$F32</f>
        <v>2413.1429109103524</v>
      </c>
      <c r="J32" s="285">
        <f>'9   Trucks'!$AI32*'9   Trucks'!$L32*'10   Loader'!$F29*J$11/'9   Trucks'!$F32</f>
        <v>2815.3333960620776</v>
      </c>
      <c r="K32" s="285">
        <f>'9   Trucks'!$AI32*'9   Trucks'!$L32*'10   Loader'!$F29*K$11/'9   Trucks'!$F32</f>
        <v>3217.5238812138027</v>
      </c>
      <c r="L32" s="285">
        <f>'9   Trucks'!$AI32*'9   Trucks'!$L32*'10   Loader'!$F29*L$11/'9   Trucks'!$F32</f>
        <v>3619.7143663655283</v>
      </c>
      <c r="M32" s="285">
        <f>'9   Trucks'!$AI32*'9   Trucks'!$L32*'10   Loader'!$F29*M$11/'9   Trucks'!$F32</f>
        <v>4021.9048515172535</v>
      </c>
      <c r="N32" s="285">
        <f>'9   Trucks'!$AI32*'9   Trucks'!$L32*'10   Loader'!$F29*N$11/'9   Trucks'!$F32</f>
        <v>4424.0953366689791</v>
      </c>
      <c r="O32" s="285">
        <f>'9   Trucks'!$AI32*'9   Trucks'!$L32*'10   Loader'!$F29*O$11/'9   Trucks'!$F32</f>
        <v>4826.2858218207048</v>
      </c>
      <c r="P32" s="285">
        <f>'9   Trucks'!$AI32*'9   Trucks'!$L32*'10   Loader'!$F29*P$11/'9   Trucks'!$F32</f>
        <v>5228.4763069724295</v>
      </c>
      <c r="Q32" s="285">
        <f>'9   Trucks'!$AI32*'9   Trucks'!$L32*'10   Loader'!$F29*Q$11/'9   Trucks'!$F32</f>
        <v>5630.6667921241551</v>
      </c>
      <c r="R32" s="285">
        <f>'9   Trucks'!$AI32*'9   Trucks'!$L32*'10   Loader'!$F29*R$11/'9   Trucks'!$F32</f>
        <v>6032.8572772758807</v>
      </c>
      <c r="S32" s="285">
        <f>'9   Trucks'!$AI32*'9   Trucks'!$L32*'10   Loader'!$F29*S$11/'9   Trucks'!$F32</f>
        <v>6435.0477624276054</v>
      </c>
      <c r="T32" s="285">
        <f>'9   Trucks'!$AI32*'9   Trucks'!$L32*'10   Loader'!$F29*T$11/'9   Trucks'!$F32</f>
        <v>6837.2382475793311</v>
      </c>
      <c r="U32" s="285">
        <f>'9   Trucks'!$AI32*'9   Trucks'!$L32*'10   Loader'!$F29*U$11/'9   Trucks'!$F32</f>
        <v>7239.4287327310567</v>
      </c>
      <c r="V32" s="285">
        <f>'9   Trucks'!$AI32*'9   Trucks'!$L32*'10   Loader'!$F29*V$11/'9   Trucks'!$F32</f>
        <v>7641.6192178827823</v>
      </c>
      <c r="W32" s="285">
        <f>'9   Trucks'!$AI32*'9   Trucks'!$L32*'10   Loader'!$F29*W$11/'9   Trucks'!$F32</f>
        <v>8043.809703034507</v>
      </c>
      <c r="X32" s="285">
        <f>'9   Trucks'!$AI32*'9   Trucks'!$L32*'10   Loader'!$F29*X$11/'9   Trucks'!$F32</f>
        <v>8446.0001881862336</v>
      </c>
      <c r="Y32" s="285">
        <f>'9   Trucks'!$AI32*'9   Trucks'!$L32*'10   Loader'!$F29*Y$11/'9   Trucks'!$F32</f>
        <v>8848.1906733379583</v>
      </c>
      <c r="Z32" s="285">
        <f>'9   Trucks'!$AI32*'9   Trucks'!$L32*'10   Loader'!$F29*Z$11/'9   Trucks'!$F32</f>
        <v>9250.381158489683</v>
      </c>
      <c r="AA32" s="285">
        <f>'9   Trucks'!$AI32*'9   Trucks'!$L32*'10   Loader'!$F29*AA$11/'9   Trucks'!$F32</f>
        <v>9652.5716436414095</v>
      </c>
      <c r="AB32" s="285">
        <f>'9   Trucks'!$AI32*'9   Trucks'!$L32*'10   Loader'!$F29*AB$11/'9   Trucks'!$F32</f>
        <v>10054.762128793134</v>
      </c>
    </row>
    <row r="33" spans="1:28" x14ac:dyDescent="0.2">
      <c r="A33" s="279" t="str">
        <f>'4   Earthwork'!B75</f>
        <v>Haul cover soil</v>
      </c>
      <c r="B33" s="279" t="str">
        <f>'4   Earthwork'!C75</f>
        <v>OB-4 Stockpile</v>
      </c>
      <c r="C33" s="279" t="str">
        <f>'4   Earthwork'!D75</f>
        <v>Decant Pond #4</v>
      </c>
      <c r="D33" s="279" t="str">
        <f>'3   Material'!$G75</f>
        <v>777F</v>
      </c>
      <c r="E33" s="285">
        <f>'9   Trucks'!$AI33*'9   Trucks'!$L33*'10   Loader'!$F30*E$11/'9   Trucks'!$F33</f>
        <v>1165.7257025939134</v>
      </c>
      <c r="F33" s="285">
        <f>'9   Trucks'!$AI33*'9   Trucks'!$L33*'10   Loader'!$F30*F$11/'9   Trucks'!$F33</f>
        <v>1748.5885538908703</v>
      </c>
      <c r="G33" s="285">
        <f>'9   Trucks'!$AI33*'9   Trucks'!$L33*'10   Loader'!$F30*G$11/'9   Trucks'!$F33</f>
        <v>2331.4514051878268</v>
      </c>
      <c r="H33" s="285">
        <f>'9   Trucks'!$AI33*'9   Trucks'!$L33*'10   Loader'!$F30*H$11/'9   Trucks'!$F33</f>
        <v>2914.314256484784</v>
      </c>
      <c r="I33" s="285">
        <f>'9   Trucks'!$AI33*'9   Trucks'!$L33*'10   Loader'!$F30*I$11/'9   Trucks'!$F33</f>
        <v>3497.1771077817407</v>
      </c>
      <c r="J33" s="285">
        <f>'9   Trucks'!$AI33*'9   Trucks'!$L33*'10   Loader'!$F30*J$11/'9   Trucks'!$F33</f>
        <v>4080.0399590786974</v>
      </c>
      <c r="K33" s="285">
        <f>'9   Trucks'!$AI33*'9   Trucks'!$L33*'10   Loader'!$F30*K$11/'9   Trucks'!$F33</f>
        <v>4662.9028103756536</v>
      </c>
      <c r="L33" s="285">
        <f>'9   Trucks'!$AI33*'9   Trucks'!$L33*'10   Loader'!$F30*L$11/'9   Trucks'!$F33</f>
        <v>5245.7656616726108</v>
      </c>
      <c r="M33" s="285">
        <f>'9   Trucks'!$AI33*'9   Trucks'!$L33*'10   Loader'!$F30*M$11/'9   Trucks'!$F33</f>
        <v>5828.628512969568</v>
      </c>
      <c r="N33" s="285">
        <f>'9   Trucks'!$AI33*'9   Trucks'!$L33*'10   Loader'!$F30*N$11/'9   Trucks'!$F33</f>
        <v>6411.4913642665242</v>
      </c>
      <c r="O33" s="285">
        <f>'9   Trucks'!$AI33*'9   Trucks'!$L33*'10   Loader'!$F30*O$11/'9   Trucks'!$F33</f>
        <v>6994.3542155634814</v>
      </c>
      <c r="P33" s="285">
        <f>'9   Trucks'!$AI33*'9   Trucks'!$L33*'10   Loader'!$F30*P$11/'9   Trucks'!$F33</f>
        <v>7577.2170668604376</v>
      </c>
      <c r="Q33" s="285">
        <f>'9   Trucks'!$AI33*'9   Trucks'!$L33*'10   Loader'!$F30*Q$11/'9   Trucks'!$F33</f>
        <v>8160.0799181573948</v>
      </c>
      <c r="R33" s="285">
        <f>'9   Trucks'!$AI33*'9   Trucks'!$L33*'10   Loader'!$F30*R$11/'9   Trucks'!$F33</f>
        <v>8742.9427694543519</v>
      </c>
      <c r="S33" s="285">
        <f>'9   Trucks'!$AI33*'9   Trucks'!$L33*'10   Loader'!$F30*S$11/'9   Trucks'!$F33</f>
        <v>9325.8056207513073</v>
      </c>
      <c r="T33" s="285">
        <f>'9   Trucks'!$AI33*'9   Trucks'!$L33*'10   Loader'!$F30*T$11/'9   Trucks'!$F33</f>
        <v>9908.6684720482644</v>
      </c>
      <c r="U33" s="285">
        <f>'9   Trucks'!$AI33*'9   Trucks'!$L33*'10   Loader'!$F30*U$11/'9   Trucks'!$F33</f>
        <v>10491.531323345222</v>
      </c>
      <c r="V33" s="285">
        <f>'9   Trucks'!$AI33*'9   Trucks'!$L33*'10   Loader'!$F30*V$11/'9   Trucks'!$F33</f>
        <v>11074.394174642179</v>
      </c>
      <c r="W33" s="285">
        <f>'9   Trucks'!$AI33*'9   Trucks'!$L33*'10   Loader'!$F30*W$11/'9   Trucks'!$F33</f>
        <v>11657.257025939136</v>
      </c>
      <c r="X33" s="285">
        <f>'9   Trucks'!$AI33*'9   Trucks'!$L33*'10   Loader'!$F30*X$11/'9   Trucks'!$F33</f>
        <v>12240.119877236091</v>
      </c>
      <c r="Y33" s="285">
        <f>'9   Trucks'!$AI33*'9   Trucks'!$L33*'10   Loader'!$F30*Y$11/'9   Trucks'!$F33</f>
        <v>12822.982728533048</v>
      </c>
      <c r="Z33" s="285">
        <f>'9   Trucks'!$AI33*'9   Trucks'!$L33*'10   Loader'!$F30*Z$11/'9   Trucks'!$F33</f>
        <v>13405.845579830006</v>
      </c>
      <c r="AA33" s="285">
        <f>'9   Trucks'!$AI33*'9   Trucks'!$L33*'10   Loader'!$F30*AA$11/'9   Trucks'!$F33</f>
        <v>13988.708431126963</v>
      </c>
      <c r="AB33" s="285">
        <f>'9   Trucks'!$AI33*'9   Trucks'!$L33*'10   Loader'!$F30*AB$11/'9   Trucks'!$F33</f>
        <v>14571.571282423918</v>
      </c>
    </row>
    <row r="34" spans="1:28" x14ac:dyDescent="0.2">
      <c r="A34" s="279" t="str">
        <f>'4   Earthwork'!B76</f>
        <v>Haul cover soil</v>
      </c>
      <c r="B34" s="279" t="str">
        <f>'4   Earthwork'!C76</f>
        <v>NOBS</v>
      </c>
      <c r="C34" s="279" t="str">
        <f>'4   Earthwork'!D76</f>
        <v xml:space="preserve">Upper Creek Containment Pond 1 </v>
      </c>
      <c r="D34" s="279" t="str">
        <f>'3   Material'!$G76</f>
        <v>777F</v>
      </c>
      <c r="E34" s="285">
        <f>'9   Trucks'!$AI34*'9   Trucks'!$L34*'10   Loader'!$F31*E$11/'9   Trucks'!$F34</f>
        <v>804.38097030345068</v>
      </c>
      <c r="F34" s="285">
        <f>'9   Trucks'!$AI34*'9   Trucks'!$L34*'10   Loader'!$F31*F$11/'9   Trucks'!$F34</f>
        <v>1206.5714554551762</v>
      </c>
      <c r="G34" s="285">
        <f>'9   Trucks'!$AI34*'9   Trucks'!$L34*'10   Loader'!$F31*G$11/'9   Trucks'!$F34</f>
        <v>1608.7619406069014</v>
      </c>
      <c r="H34" s="285">
        <f>'9   Trucks'!$AI34*'9   Trucks'!$L34*'10   Loader'!$F31*H$11/'9   Trucks'!$F34</f>
        <v>2010.9524257586268</v>
      </c>
      <c r="I34" s="285">
        <f>'9   Trucks'!$AI34*'9   Trucks'!$L34*'10   Loader'!$F31*I$11/'9   Trucks'!$F34</f>
        <v>2413.1429109103524</v>
      </c>
      <c r="J34" s="285">
        <f>'9   Trucks'!$AI34*'9   Trucks'!$L34*'10   Loader'!$F31*J$11/'9   Trucks'!$F34</f>
        <v>2815.3333960620776</v>
      </c>
      <c r="K34" s="285">
        <f>'9   Trucks'!$AI34*'9   Trucks'!$L34*'10   Loader'!$F31*K$11/'9   Trucks'!$F34</f>
        <v>3217.5238812138027</v>
      </c>
      <c r="L34" s="285">
        <f>'9   Trucks'!$AI34*'9   Trucks'!$L34*'10   Loader'!$F31*L$11/'9   Trucks'!$F34</f>
        <v>3619.7143663655283</v>
      </c>
      <c r="M34" s="285">
        <f>'9   Trucks'!$AI34*'9   Trucks'!$L34*'10   Loader'!$F31*M$11/'9   Trucks'!$F34</f>
        <v>4021.9048515172535</v>
      </c>
      <c r="N34" s="285">
        <f>'9   Trucks'!$AI34*'9   Trucks'!$L34*'10   Loader'!$F31*N$11/'9   Trucks'!$F34</f>
        <v>4424.0953366689791</v>
      </c>
      <c r="O34" s="285">
        <f>'9   Trucks'!$AI34*'9   Trucks'!$L34*'10   Loader'!$F31*O$11/'9   Trucks'!$F34</f>
        <v>4826.2858218207048</v>
      </c>
      <c r="P34" s="285">
        <f>'9   Trucks'!$AI34*'9   Trucks'!$L34*'10   Loader'!$F31*P$11/'9   Trucks'!$F34</f>
        <v>5228.4763069724295</v>
      </c>
      <c r="Q34" s="285">
        <f>'9   Trucks'!$AI34*'9   Trucks'!$L34*'10   Loader'!$F31*Q$11/'9   Trucks'!$F34</f>
        <v>5630.6667921241551</v>
      </c>
      <c r="R34" s="285">
        <f>'9   Trucks'!$AI34*'9   Trucks'!$L34*'10   Loader'!$F31*R$11/'9   Trucks'!$F34</f>
        <v>6032.8572772758807</v>
      </c>
      <c r="S34" s="285">
        <f>'9   Trucks'!$AI34*'9   Trucks'!$L34*'10   Loader'!$F31*S$11/'9   Trucks'!$F34</f>
        <v>6435.0477624276054</v>
      </c>
      <c r="T34" s="285">
        <f>'9   Trucks'!$AI34*'9   Trucks'!$L34*'10   Loader'!$F31*T$11/'9   Trucks'!$F34</f>
        <v>6837.2382475793311</v>
      </c>
      <c r="U34" s="285">
        <f>'9   Trucks'!$AI34*'9   Trucks'!$L34*'10   Loader'!$F31*U$11/'9   Trucks'!$F34</f>
        <v>7239.4287327310567</v>
      </c>
      <c r="V34" s="285">
        <f>'9   Trucks'!$AI34*'9   Trucks'!$L34*'10   Loader'!$F31*V$11/'9   Trucks'!$F34</f>
        <v>7641.6192178827823</v>
      </c>
      <c r="W34" s="285">
        <f>'9   Trucks'!$AI34*'9   Trucks'!$L34*'10   Loader'!$F31*W$11/'9   Trucks'!$F34</f>
        <v>8043.809703034507</v>
      </c>
      <c r="X34" s="285">
        <f>'9   Trucks'!$AI34*'9   Trucks'!$L34*'10   Loader'!$F31*X$11/'9   Trucks'!$F34</f>
        <v>8446.0001881862336</v>
      </c>
      <c r="Y34" s="285">
        <f>'9   Trucks'!$AI34*'9   Trucks'!$L34*'10   Loader'!$F31*Y$11/'9   Trucks'!$F34</f>
        <v>8848.1906733379583</v>
      </c>
      <c r="Z34" s="285">
        <f>'9   Trucks'!$AI34*'9   Trucks'!$L34*'10   Loader'!$F31*Z$11/'9   Trucks'!$F34</f>
        <v>9250.381158489683</v>
      </c>
      <c r="AA34" s="285">
        <f>'9   Trucks'!$AI34*'9   Trucks'!$L34*'10   Loader'!$F31*AA$11/'9   Trucks'!$F34</f>
        <v>9652.5716436414095</v>
      </c>
      <c r="AB34" s="285">
        <f>'9   Trucks'!$AI34*'9   Trucks'!$L34*'10   Loader'!$F31*AB$11/'9   Trucks'!$F34</f>
        <v>10054.762128793134</v>
      </c>
    </row>
  </sheetData>
  <printOptions horizontalCentered="1"/>
  <pageMargins left="0.75" right="0.75" top="1" bottom="1" header="0.5" footer="0.5"/>
  <pageSetup paperSize="17" scale="44" orientation="landscape" r:id="rId1"/>
  <headerFooter alignWithMargins="0">
    <oddFooter>&amp;C&amp;F
&amp;   Stockpile Sheet 9a
&amp;
Page &amp;P of &amp;N</oddFooter>
  </headerFooter>
  <colBreaks count="3" manualBreakCount="3">
    <brk id="10" max="43" man="1"/>
    <brk id="17" max="39" man="1"/>
    <brk id="24" max="3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75" zoomScaleSheetLayoutView="75" workbookViewId="0">
      <selection activeCell="E29" sqref="E29"/>
    </sheetView>
  </sheetViews>
  <sheetFormatPr defaultColWidth="7.21875" defaultRowHeight="12.75" x14ac:dyDescent="0.2"/>
  <cols>
    <col min="1" max="1" width="13.88671875" style="275" customWidth="1"/>
    <col min="2" max="2" width="15.21875" style="275" customWidth="1"/>
    <col min="3" max="3" width="23.77734375" style="275" customWidth="1"/>
    <col min="4" max="4" width="7.21875" style="275" customWidth="1"/>
    <col min="5" max="14" width="7.109375" style="275" customWidth="1"/>
    <col min="15" max="15" width="9.21875" style="275" customWidth="1"/>
    <col min="16" max="28" width="7.109375" style="275" customWidth="1"/>
    <col min="29" max="16384" width="7.21875" style="275"/>
  </cols>
  <sheetData>
    <row r="1" spans="1:28" ht="15" x14ac:dyDescent="0.2">
      <c r="A1" s="1"/>
      <c r="B1" s="276"/>
      <c r="C1" s="276"/>
      <c r="D1" s="276"/>
      <c r="E1" s="276"/>
      <c r="F1" s="276"/>
      <c r="G1" s="276"/>
      <c r="H1" s="276"/>
      <c r="I1" s="286"/>
      <c r="J1" s="279"/>
      <c r="K1" s="279"/>
      <c r="L1" s="279"/>
      <c r="M1" s="279"/>
      <c r="N1" s="279"/>
      <c r="P1" s="280" t="str">
        <f>Productivity!J1</f>
        <v>Cobre</v>
      </c>
      <c r="Q1" s="279"/>
      <c r="R1" s="279"/>
      <c r="S1" s="279"/>
      <c r="T1" s="279"/>
      <c r="U1" s="279"/>
      <c r="V1" s="279"/>
      <c r="W1" s="279"/>
      <c r="X1" s="279"/>
      <c r="Y1" s="279"/>
      <c r="Z1" s="279"/>
      <c r="AA1" s="279"/>
      <c r="AB1" s="279"/>
    </row>
    <row r="2" spans="1:28" ht="15" x14ac:dyDescent="0.2">
      <c r="A2" s="1"/>
      <c r="B2" s="276"/>
      <c r="C2" s="276"/>
      <c r="D2" s="276"/>
      <c r="E2" s="276"/>
      <c r="F2" s="276"/>
      <c r="G2" s="276"/>
      <c r="H2" s="276"/>
      <c r="I2" s="286"/>
      <c r="J2" s="279"/>
      <c r="K2" s="279"/>
      <c r="L2" s="279"/>
      <c r="M2" s="279"/>
      <c r="N2" s="279"/>
      <c r="P2" s="280" t="s">
        <v>363</v>
      </c>
      <c r="Q2" s="279"/>
      <c r="R2" s="279"/>
      <c r="S2" s="279"/>
      <c r="T2" s="279"/>
      <c r="U2" s="279"/>
      <c r="V2" s="279"/>
      <c r="W2" s="279"/>
      <c r="X2" s="279"/>
      <c r="Y2" s="279"/>
      <c r="Z2" s="279"/>
      <c r="AA2" s="279"/>
      <c r="AB2" s="279"/>
    </row>
    <row r="3" spans="1:28" x14ac:dyDescent="0.2">
      <c r="A3" s="281" t="s">
        <v>364</v>
      </c>
      <c r="B3" s="281"/>
      <c r="C3" s="281"/>
      <c r="D3" s="281"/>
      <c r="E3" s="276"/>
      <c r="F3" s="276"/>
      <c r="G3" s="276"/>
      <c r="H3" s="276"/>
      <c r="I3" s="286"/>
      <c r="J3" s="279"/>
      <c r="K3" s="279"/>
      <c r="L3" s="279"/>
      <c r="M3" s="279"/>
      <c r="N3" s="279"/>
      <c r="P3" s="287">
        <f>Productivity!J3</f>
        <v>41978</v>
      </c>
      <c r="Q3" s="279"/>
      <c r="R3" s="279"/>
      <c r="S3" s="279"/>
      <c r="T3" s="279"/>
      <c r="U3" s="279"/>
      <c r="V3" s="279"/>
      <c r="W3" s="279"/>
      <c r="X3" s="279"/>
      <c r="Y3" s="279"/>
      <c r="Z3" s="279"/>
      <c r="AA3" s="279"/>
      <c r="AB3" s="279"/>
    </row>
    <row r="4" spans="1:28" x14ac:dyDescent="0.2">
      <c r="A4" s="276"/>
      <c r="B4" s="276"/>
      <c r="C4" s="276"/>
      <c r="D4" s="276"/>
      <c r="E4" s="276"/>
      <c r="F4" s="276"/>
      <c r="G4" s="276"/>
      <c r="H4" s="276"/>
      <c r="I4" s="280"/>
      <c r="J4" s="279"/>
      <c r="K4" s="279"/>
      <c r="L4" s="279"/>
      <c r="M4" s="279"/>
      <c r="N4" s="279"/>
      <c r="O4" s="279"/>
      <c r="P4" s="279"/>
      <c r="Q4" s="279"/>
      <c r="R4" s="279"/>
      <c r="S4" s="279"/>
      <c r="T4" s="279"/>
      <c r="U4" s="279"/>
      <c r="V4" s="279"/>
      <c r="W4" s="279"/>
      <c r="X4" s="279"/>
      <c r="Y4" s="279"/>
      <c r="Z4" s="279"/>
      <c r="AA4" s="279"/>
      <c r="AB4" s="279"/>
    </row>
    <row r="5" spans="1:28" ht="15.75" x14ac:dyDescent="0.25">
      <c r="A5" s="276"/>
      <c r="B5" s="276"/>
      <c r="C5" s="288"/>
      <c r="D5" s="276"/>
      <c r="E5" s="276"/>
      <c r="F5" s="276"/>
      <c r="G5" s="276"/>
      <c r="H5" s="276"/>
      <c r="I5" s="280"/>
      <c r="J5" s="279"/>
      <c r="K5" s="279"/>
      <c r="L5" s="279"/>
      <c r="M5" s="279"/>
      <c r="N5" s="279"/>
      <c r="O5" s="279"/>
      <c r="P5" s="279"/>
      <c r="Q5" s="279"/>
      <c r="R5" s="279"/>
      <c r="S5" s="279"/>
      <c r="T5" s="279"/>
      <c r="U5" s="279"/>
      <c r="V5" s="279"/>
      <c r="W5" s="279"/>
      <c r="X5" s="279"/>
      <c r="Y5" s="279"/>
      <c r="Z5" s="279"/>
      <c r="AA5" s="279"/>
      <c r="AB5" s="279"/>
    </row>
    <row r="6" spans="1:28" ht="15" x14ac:dyDescent="0.2">
      <c r="A6" s="280" t="s">
        <v>365</v>
      </c>
      <c r="B6" s="276" t="s">
        <v>366</v>
      </c>
      <c r="C6" s="170"/>
      <c r="D6" s="276"/>
      <c r="E6" s="276"/>
      <c r="F6" s="276"/>
      <c r="G6" s="276"/>
      <c r="H6" s="276"/>
      <c r="I6" s="280"/>
      <c r="J6" s="279"/>
      <c r="K6" s="279"/>
      <c r="L6" s="279"/>
      <c r="M6" s="279"/>
      <c r="N6" s="279"/>
      <c r="O6" s="279"/>
      <c r="P6" s="279"/>
      <c r="Q6" s="279"/>
      <c r="R6" s="279"/>
      <c r="S6" s="279"/>
      <c r="T6" s="279"/>
      <c r="U6" s="279"/>
      <c r="V6" s="279"/>
      <c r="W6" s="279"/>
      <c r="X6" s="279"/>
      <c r="Y6" s="279"/>
      <c r="Z6" s="279"/>
      <c r="AA6" s="279"/>
      <c r="AB6" s="279"/>
    </row>
    <row r="7" spans="1:28" ht="15" x14ac:dyDescent="0.2">
      <c r="A7" s="280"/>
      <c r="B7" s="276"/>
      <c r="C7" s="170"/>
      <c r="D7" s="276"/>
      <c r="E7" s="276"/>
      <c r="F7" s="276"/>
      <c r="G7" s="276"/>
      <c r="H7" s="276"/>
      <c r="I7" s="280"/>
      <c r="J7" s="279"/>
      <c r="K7" s="279"/>
      <c r="L7" s="279"/>
      <c r="M7" s="279"/>
      <c r="N7" s="279"/>
      <c r="O7" s="279"/>
      <c r="P7" s="279"/>
      <c r="Q7" s="279"/>
      <c r="R7" s="279"/>
      <c r="S7" s="279"/>
      <c r="T7" s="279"/>
      <c r="U7" s="279"/>
      <c r="V7" s="279"/>
      <c r="W7" s="279"/>
      <c r="X7" s="279"/>
      <c r="Y7" s="279"/>
      <c r="Z7" s="279"/>
      <c r="AA7" s="279"/>
      <c r="AB7" s="279"/>
    </row>
    <row r="8" spans="1:28" x14ac:dyDescent="0.2">
      <c r="A8" s="280" t="s">
        <v>360</v>
      </c>
      <c r="B8" s="276" t="s">
        <v>367</v>
      </c>
      <c r="C8" s="276"/>
      <c r="D8" s="276"/>
      <c r="E8" s="276"/>
      <c r="F8" s="276"/>
      <c r="G8" s="276"/>
      <c r="H8" s="276"/>
      <c r="I8" s="280"/>
      <c r="J8" s="279"/>
      <c r="K8" s="279"/>
      <c r="L8" s="279"/>
      <c r="M8" s="279"/>
      <c r="N8" s="279"/>
      <c r="O8" s="279"/>
      <c r="P8" s="279"/>
      <c r="Q8" s="279"/>
      <c r="R8" s="279"/>
      <c r="S8" s="279"/>
      <c r="T8" s="279"/>
      <c r="U8" s="279"/>
      <c r="V8" s="279"/>
      <c r="W8" s="279"/>
      <c r="X8" s="279"/>
      <c r="Y8" s="279"/>
      <c r="Z8" s="279"/>
      <c r="AA8" s="279"/>
      <c r="AB8" s="279"/>
    </row>
    <row r="9" spans="1:28" ht="15" x14ac:dyDescent="0.2">
      <c r="A9" s="170"/>
      <c r="B9" s="276"/>
      <c r="C9" s="279"/>
      <c r="D9" s="276"/>
      <c r="E9" s="276"/>
      <c r="F9" s="276"/>
      <c r="G9" s="276"/>
      <c r="H9" s="276"/>
      <c r="I9" s="280"/>
      <c r="J9" s="279"/>
      <c r="K9" s="279"/>
      <c r="L9" s="279"/>
      <c r="M9" s="279"/>
      <c r="N9" s="279"/>
      <c r="O9" s="279"/>
      <c r="P9" s="279"/>
      <c r="Q9" s="279"/>
      <c r="R9" s="279"/>
      <c r="S9" s="279"/>
      <c r="T9" s="279"/>
      <c r="U9" s="279"/>
      <c r="V9" s="279"/>
      <c r="W9" s="279"/>
      <c r="X9" s="279"/>
      <c r="Y9" s="279"/>
      <c r="Z9" s="279"/>
      <c r="AA9" s="279"/>
      <c r="AB9" s="279"/>
    </row>
    <row r="10" spans="1:28" ht="15" x14ac:dyDescent="0.2">
      <c r="A10" s="170"/>
      <c r="B10" s="279"/>
      <c r="C10" s="279"/>
      <c r="D10" s="279"/>
      <c r="E10" s="279" t="s">
        <v>362</v>
      </c>
      <c r="F10" s="279"/>
      <c r="G10" s="279"/>
      <c r="H10" s="279"/>
      <c r="I10" s="279"/>
      <c r="J10" s="279"/>
      <c r="K10" s="279"/>
      <c r="L10" s="279"/>
      <c r="M10" s="279"/>
      <c r="N10" s="279"/>
      <c r="O10" s="279"/>
      <c r="P10" s="279"/>
      <c r="Q10" s="279"/>
      <c r="R10" s="279"/>
      <c r="S10" s="279"/>
      <c r="T10" s="279"/>
      <c r="U10" s="279"/>
      <c r="V10" s="279"/>
      <c r="W10" s="279"/>
      <c r="X10" s="279"/>
      <c r="Y10" s="279"/>
      <c r="Z10" s="279"/>
      <c r="AA10" s="279"/>
      <c r="AB10" s="279"/>
    </row>
    <row r="11" spans="1:28" x14ac:dyDescent="0.2">
      <c r="A11" s="279" t="s">
        <v>75</v>
      </c>
      <c r="B11" s="279" t="s">
        <v>20</v>
      </c>
      <c r="C11" s="279" t="s">
        <v>21</v>
      </c>
      <c r="D11" s="279" t="s">
        <v>23</v>
      </c>
      <c r="E11" s="279">
        <v>2</v>
      </c>
      <c r="F11" s="279">
        <f>E11+1</f>
        <v>3</v>
      </c>
      <c r="G11" s="279">
        <f t="shared" ref="G11:AB11" si="0">F11+1</f>
        <v>4</v>
      </c>
      <c r="H11" s="279">
        <f t="shared" si="0"/>
        <v>5</v>
      </c>
      <c r="I11" s="279">
        <f t="shared" si="0"/>
        <v>6</v>
      </c>
      <c r="J11" s="279">
        <f t="shared" si="0"/>
        <v>7</v>
      </c>
      <c r="K11" s="279">
        <f t="shared" si="0"/>
        <v>8</v>
      </c>
      <c r="L11" s="279">
        <f t="shared" si="0"/>
        <v>9</v>
      </c>
      <c r="M11" s="279">
        <f t="shared" si="0"/>
        <v>10</v>
      </c>
      <c r="N11" s="279">
        <f t="shared" si="0"/>
        <v>11</v>
      </c>
      <c r="O11" s="279">
        <f t="shared" si="0"/>
        <v>12</v>
      </c>
      <c r="P11" s="279">
        <f t="shared" si="0"/>
        <v>13</v>
      </c>
      <c r="Q11" s="279">
        <f t="shared" si="0"/>
        <v>14</v>
      </c>
      <c r="R11" s="279">
        <f t="shared" si="0"/>
        <v>15</v>
      </c>
      <c r="S11" s="279">
        <f t="shared" si="0"/>
        <v>16</v>
      </c>
      <c r="T11" s="279">
        <f t="shared" si="0"/>
        <v>17</v>
      </c>
      <c r="U11" s="279">
        <f t="shared" si="0"/>
        <v>18</v>
      </c>
      <c r="V11" s="279">
        <f t="shared" si="0"/>
        <v>19</v>
      </c>
      <c r="W11" s="279">
        <f t="shared" si="0"/>
        <v>20</v>
      </c>
      <c r="X11" s="279">
        <f t="shared" si="0"/>
        <v>21</v>
      </c>
      <c r="Y11" s="279">
        <f t="shared" si="0"/>
        <v>22</v>
      </c>
      <c r="Z11" s="279">
        <f t="shared" si="0"/>
        <v>23</v>
      </c>
      <c r="AA11" s="279">
        <f t="shared" si="0"/>
        <v>24</v>
      </c>
      <c r="AB11" s="279">
        <f t="shared" si="0"/>
        <v>25</v>
      </c>
    </row>
    <row r="12" spans="1:28" ht="15" x14ac:dyDescent="0.2">
      <c r="A12" s="283"/>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row>
    <row r="13" spans="1:28" ht="15" x14ac:dyDescent="0.2">
      <c r="A13" s="283"/>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row>
    <row r="14" spans="1:28" x14ac:dyDescent="0.2">
      <c r="A14" s="279" t="str">
        <f>Productivity!A14</f>
        <v>Haul cover soil</v>
      </c>
      <c r="B14" s="279" t="str">
        <f>Productivity!B14</f>
        <v>OB Stockpile 1 through 4, Topsoil Stockpile, South OB Stockpile</v>
      </c>
      <c r="C14" s="279" t="str">
        <f>Productivity!C14</f>
        <v xml:space="preserve">SWRDF Top </v>
      </c>
      <c r="D14" s="279" t="str">
        <f>Productivity!D14</f>
        <v>777F</v>
      </c>
      <c r="E14" s="289">
        <f>IF('9   Trucks'!$E14/Productivity!E14&lt;'10   Loader'!$I11,'10   Loader'!$I11,'9   Trucks'!$E14/Productivity!E14)</f>
        <v>439.79576370906273</v>
      </c>
      <c r="F14" s="289">
        <f>IF('9   Trucks'!$E14/Productivity!F14&lt;'10   Loader'!$I11,'10   Loader'!$I11,'9   Trucks'!$E14/Productivity!F14)</f>
        <v>382.91314285714293</v>
      </c>
      <c r="G14" s="289">
        <f>IF('9   Trucks'!$E14/Productivity!G14&lt;'10   Loader'!$I11,'10   Loader'!$I11,'9   Trucks'!$E14/Productivity!G14)</f>
        <v>382.91314285714293</v>
      </c>
      <c r="H14" s="289">
        <f>IF('9   Trucks'!$E14/Productivity!H14&lt;'10   Loader'!$I11,'10   Loader'!$I11,'9   Trucks'!$E14/Productivity!H14)</f>
        <v>382.91314285714293</v>
      </c>
      <c r="I14" s="289">
        <f>IF('9   Trucks'!$E14/Productivity!I14&lt;'10   Loader'!$I11,'10   Loader'!$I11,'9   Trucks'!$E14/Productivity!I14)</f>
        <v>382.91314285714293</v>
      </c>
      <c r="J14" s="289">
        <f>IF('9   Trucks'!$E14/Productivity!J14&lt;'10   Loader'!$I11,'10   Loader'!$I11,'9   Trucks'!$E14/Productivity!J14)</f>
        <v>382.91314285714293</v>
      </c>
      <c r="K14" s="289">
        <f>IF('9   Trucks'!$E14/Productivity!K14&lt;'10   Loader'!$I11,'10   Loader'!$I11,'9   Trucks'!$E14/Productivity!K14)</f>
        <v>382.91314285714293</v>
      </c>
      <c r="L14" s="289">
        <f>IF('9   Trucks'!$E14/Productivity!L14&lt;'10   Loader'!$I11,'10   Loader'!$I11,'9   Trucks'!$E14/Productivity!L14)</f>
        <v>382.91314285714293</v>
      </c>
      <c r="M14" s="289">
        <f>IF('9   Trucks'!$E14/Productivity!M14&lt;'10   Loader'!$I11,'10   Loader'!$I11,'9   Trucks'!$E14/Productivity!M14)</f>
        <v>382.91314285714293</v>
      </c>
      <c r="N14" s="289">
        <f>IF('9   Trucks'!$E14/Productivity!N14&lt;'10   Loader'!$I11,'10   Loader'!$I11,'9   Trucks'!$E14/Productivity!N14)</f>
        <v>382.91314285714293</v>
      </c>
      <c r="O14" s="289">
        <f>IF('9   Trucks'!$E14/Productivity!O14&lt;'10   Loader'!$I11,'10   Loader'!$I11,'9   Trucks'!$E14/Productivity!O14)</f>
        <v>382.91314285714293</v>
      </c>
      <c r="P14" s="289">
        <f>IF('9   Trucks'!$E14/Productivity!P14&lt;'10   Loader'!$I11,'10   Loader'!$I11,'9   Trucks'!$E14/Productivity!P14)</f>
        <v>382.91314285714293</v>
      </c>
      <c r="Q14" s="289">
        <f>IF('9   Trucks'!$E14/Productivity!Q14&lt;'10   Loader'!$I11,'10   Loader'!$I11,'9   Trucks'!$E14/Productivity!Q14)</f>
        <v>382.91314285714293</v>
      </c>
      <c r="R14" s="289">
        <f>IF('9   Trucks'!$E14/Productivity!R14&lt;'10   Loader'!$I11,'10   Loader'!$I11,'9   Trucks'!$E14/Productivity!R14)</f>
        <v>382.91314285714293</v>
      </c>
      <c r="S14" s="289">
        <f>IF('9   Trucks'!$E14/Productivity!S14&lt;'10   Loader'!$I11,'10   Loader'!$I11,'9   Trucks'!$E14/Productivity!S14)</f>
        <v>382.91314285714293</v>
      </c>
      <c r="T14" s="289">
        <f>IF('9   Trucks'!$E14/Productivity!T14&lt;'10   Loader'!$I11,'10   Loader'!$I11,'9   Trucks'!$E14/Productivity!T14)</f>
        <v>382.91314285714293</v>
      </c>
      <c r="U14" s="289">
        <f>IF('9   Trucks'!$E14/Productivity!U14&lt;'10   Loader'!$I11,'10   Loader'!$I11,'9   Trucks'!$E14/Productivity!U14)</f>
        <v>382.91314285714293</v>
      </c>
      <c r="V14" s="289">
        <f>IF('9   Trucks'!$E14/Productivity!V14&lt;'10   Loader'!$I11,'10   Loader'!$I11,'9   Trucks'!$E14/Productivity!V14)</f>
        <v>382.91314285714293</v>
      </c>
      <c r="W14" s="289">
        <f>IF('9   Trucks'!$E14/Productivity!W14&lt;'10   Loader'!$I11,'10   Loader'!$I11,'9   Trucks'!$E14/Productivity!W14)</f>
        <v>382.91314285714293</v>
      </c>
      <c r="X14" s="289">
        <f>IF('9   Trucks'!$E14/Productivity!X14&lt;'10   Loader'!$I11,'10   Loader'!$I11,'9   Trucks'!$E14/Productivity!X14)</f>
        <v>382.91314285714293</v>
      </c>
      <c r="Y14" s="289">
        <f>IF('9   Trucks'!$E14/Productivity!Y14&lt;'10   Loader'!$I11,'10   Loader'!$I11,'9   Trucks'!$E14/Productivity!Y14)</f>
        <v>382.91314285714293</v>
      </c>
      <c r="Z14" s="289">
        <f>IF('9   Trucks'!$E14/Productivity!Z14&lt;'10   Loader'!$I11,'10   Loader'!$I11,'9   Trucks'!$E14/Productivity!Z14)</f>
        <v>382.91314285714293</v>
      </c>
      <c r="AA14" s="289">
        <f>IF('9   Trucks'!$E14/Productivity!AA14&lt;'10   Loader'!$I11,'10   Loader'!$I11,'9   Trucks'!$E14/Productivity!AA14)</f>
        <v>382.91314285714293</v>
      </c>
      <c r="AB14" s="289">
        <f>IF('9   Trucks'!$E14/Productivity!AB14&lt;'10   Loader'!$I11,'10   Loader'!$I11,'9   Trucks'!$E14/Productivity!AB14)</f>
        <v>382.91314285714293</v>
      </c>
    </row>
    <row r="15" spans="1:28" x14ac:dyDescent="0.2">
      <c r="A15" s="279" t="str">
        <f>Productivity!A15</f>
        <v>Haul cover soil</v>
      </c>
      <c r="B15" s="279" t="str">
        <f>Productivity!B15</f>
        <v>OB Stockpile 1 through 4, Topsoil Stockpile, South OB Stockpile</v>
      </c>
      <c r="C15" s="279" t="str">
        <f>Productivity!C15</f>
        <v>SWRDF Outslopes</v>
      </c>
      <c r="D15" s="279" t="str">
        <f>Productivity!D15</f>
        <v>777F</v>
      </c>
      <c r="E15" s="289">
        <f>IF('9   Trucks'!$E15/Productivity!E15&lt;'10   Loader'!$I12,'10   Loader'!$I12,'9   Trucks'!$E15/Productivity!E15)</f>
        <v>1319.3872911271883</v>
      </c>
      <c r="F15" s="289">
        <f>IF('9   Trucks'!$E15/Productivity!F15&lt;'10   Loader'!$I12,'10   Loader'!$I12,'9   Trucks'!$E15/Productivity!F15)</f>
        <v>1148.7394285714288</v>
      </c>
      <c r="G15" s="289">
        <f>IF('9   Trucks'!$E15/Productivity!G15&lt;'10   Loader'!$I12,'10   Loader'!$I12,'9   Trucks'!$E15/Productivity!G15)</f>
        <v>1148.7394285714288</v>
      </c>
      <c r="H15" s="289">
        <f>IF('9   Trucks'!$E15/Productivity!H15&lt;'10   Loader'!$I12,'10   Loader'!$I12,'9   Trucks'!$E15/Productivity!H15)</f>
        <v>1148.7394285714288</v>
      </c>
      <c r="I15" s="289">
        <f>IF('9   Trucks'!$E15/Productivity!I15&lt;'10   Loader'!$I12,'10   Loader'!$I12,'9   Trucks'!$E15/Productivity!I15)</f>
        <v>1148.7394285714288</v>
      </c>
      <c r="J15" s="289">
        <f>IF('9   Trucks'!$E15/Productivity!J15&lt;'10   Loader'!$I12,'10   Loader'!$I12,'9   Trucks'!$E15/Productivity!J15)</f>
        <v>1148.7394285714288</v>
      </c>
      <c r="K15" s="289">
        <f>IF('9   Trucks'!$E15/Productivity!K15&lt;'10   Loader'!$I12,'10   Loader'!$I12,'9   Trucks'!$E15/Productivity!K15)</f>
        <v>1148.7394285714288</v>
      </c>
      <c r="L15" s="289">
        <f>IF('9   Trucks'!$E15/Productivity!L15&lt;'10   Loader'!$I12,'10   Loader'!$I12,'9   Trucks'!$E15/Productivity!L15)</f>
        <v>1148.7394285714288</v>
      </c>
      <c r="M15" s="289">
        <f>IF('9   Trucks'!$E15/Productivity!M15&lt;'10   Loader'!$I12,'10   Loader'!$I12,'9   Trucks'!$E15/Productivity!M15)</f>
        <v>1148.7394285714288</v>
      </c>
      <c r="N15" s="289">
        <f>IF('9   Trucks'!$E15/Productivity!N15&lt;'10   Loader'!$I12,'10   Loader'!$I12,'9   Trucks'!$E15/Productivity!N15)</f>
        <v>1148.7394285714288</v>
      </c>
      <c r="O15" s="289">
        <f>IF('9   Trucks'!$E15/Productivity!O15&lt;'10   Loader'!$I12,'10   Loader'!$I12,'9   Trucks'!$E15/Productivity!O15)</f>
        <v>1148.7394285714288</v>
      </c>
      <c r="P15" s="289">
        <f>IF('9   Trucks'!$E15/Productivity!P15&lt;'10   Loader'!$I12,'10   Loader'!$I12,'9   Trucks'!$E15/Productivity!P15)</f>
        <v>1148.7394285714288</v>
      </c>
      <c r="Q15" s="289">
        <f>IF('9   Trucks'!$E15/Productivity!Q15&lt;'10   Loader'!$I12,'10   Loader'!$I12,'9   Trucks'!$E15/Productivity!Q15)</f>
        <v>1148.7394285714288</v>
      </c>
      <c r="R15" s="289">
        <f>IF('9   Trucks'!$E15/Productivity!R15&lt;'10   Loader'!$I12,'10   Loader'!$I12,'9   Trucks'!$E15/Productivity!R15)</f>
        <v>1148.7394285714288</v>
      </c>
      <c r="S15" s="289">
        <f>IF('9   Trucks'!$E15/Productivity!S15&lt;'10   Loader'!$I12,'10   Loader'!$I12,'9   Trucks'!$E15/Productivity!S15)</f>
        <v>1148.7394285714288</v>
      </c>
      <c r="T15" s="289">
        <f>IF('9   Trucks'!$E15/Productivity!T15&lt;'10   Loader'!$I12,'10   Loader'!$I12,'9   Trucks'!$E15/Productivity!T15)</f>
        <v>1148.7394285714288</v>
      </c>
      <c r="U15" s="289">
        <f>IF('9   Trucks'!$E15/Productivity!U15&lt;'10   Loader'!$I12,'10   Loader'!$I12,'9   Trucks'!$E15/Productivity!U15)</f>
        <v>1148.7394285714288</v>
      </c>
      <c r="V15" s="289">
        <f>IF('9   Trucks'!$E15/Productivity!V15&lt;'10   Loader'!$I12,'10   Loader'!$I12,'9   Trucks'!$E15/Productivity!V15)</f>
        <v>1148.7394285714288</v>
      </c>
      <c r="W15" s="289">
        <f>IF('9   Trucks'!$E15/Productivity!W15&lt;'10   Loader'!$I12,'10   Loader'!$I12,'9   Trucks'!$E15/Productivity!W15)</f>
        <v>1148.7394285714288</v>
      </c>
      <c r="X15" s="289">
        <f>IF('9   Trucks'!$E15/Productivity!X15&lt;'10   Loader'!$I12,'10   Loader'!$I12,'9   Trucks'!$E15/Productivity!X15)</f>
        <v>1148.7394285714288</v>
      </c>
      <c r="Y15" s="289">
        <f>IF('9   Trucks'!$E15/Productivity!Y15&lt;'10   Loader'!$I12,'10   Loader'!$I12,'9   Trucks'!$E15/Productivity!Y15)</f>
        <v>1148.7394285714288</v>
      </c>
      <c r="Z15" s="289">
        <f>IF('9   Trucks'!$E15/Productivity!Z15&lt;'10   Loader'!$I12,'10   Loader'!$I12,'9   Trucks'!$E15/Productivity!Z15)</f>
        <v>1148.7394285714288</v>
      </c>
      <c r="AA15" s="289">
        <f>IF('9   Trucks'!$E15/Productivity!AA15&lt;'10   Loader'!$I12,'10   Loader'!$I12,'9   Trucks'!$E15/Productivity!AA15)</f>
        <v>1148.7394285714288</v>
      </c>
      <c r="AB15" s="289">
        <f>IF('9   Trucks'!$E15/Productivity!AB15&lt;'10   Loader'!$I12,'10   Loader'!$I12,'9   Trucks'!$E15/Productivity!AB15)</f>
        <v>1148.7394285714288</v>
      </c>
    </row>
    <row r="16" spans="1:28" x14ac:dyDescent="0.2">
      <c r="A16" s="279" t="str">
        <f>Productivity!A16</f>
        <v>Haul cover soil</v>
      </c>
      <c r="B16" s="279" t="str">
        <f>Productivity!B16</f>
        <v>NOBS</v>
      </c>
      <c r="C16" s="279" t="str">
        <f>Productivity!C16</f>
        <v xml:space="preserve">SWRDF Top </v>
      </c>
      <c r="D16" s="279" t="str">
        <f>Productivity!D16</f>
        <v>777F</v>
      </c>
      <c r="E16" s="289">
        <f>IF('9   Trucks'!$E16/Productivity!E16&lt;'10   Loader'!$I13,'10   Loader'!$I13,'9   Trucks'!$E16/Productivity!E16)</f>
        <v>261.86601482277615</v>
      </c>
      <c r="F16" s="289">
        <f>IF('9   Trucks'!$E16/Productivity!F16&lt;'10   Loader'!$I13,'10   Loader'!$I13,'9   Trucks'!$E16/Productivity!F16)</f>
        <v>174.5773432151841</v>
      </c>
      <c r="G16" s="289">
        <f>IF('9   Trucks'!$E16/Productivity!G16&lt;'10   Loader'!$I13,'10   Loader'!$I13,'9   Trucks'!$E16/Productivity!G16)</f>
        <v>130.93300741138808</v>
      </c>
      <c r="H16" s="289">
        <f>IF('9   Trucks'!$E16/Productivity!H16&lt;'10   Loader'!$I13,'10   Loader'!$I13,'9   Trucks'!$E16/Productivity!H16)</f>
        <v>111.00885714285712</v>
      </c>
      <c r="I16" s="289">
        <f>IF('9   Trucks'!$E16/Productivity!I16&lt;'10   Loader'!$I13,'10   Loader'!$I13,'9   Trucks'!$E16/Productivity!I16)</f>
        <v>111.00885714285712</v>
      </c>
      <c r="J16" s="289">
        <f>IF('9   Trucks'!$E16/Productivity!J16&lt;'10   Loader'!$I13,'10   Loader'!$I13,'9   Trucks'!$E16/Productivity!J16)</f>
        <v>111.00885714285712</v>
      </c>
      <c r="K16" s="289">
        <f>IF('9   Trucks'!$E16/Productivity!K16&lt;'10   Loader'!$I13,'10   Loader'!$I13,'9   Trucks'!$E16/Productivity!K16)</f>
        <v>111.00885714285712</v>
      </c>
      <c r="L16" s="289">
        <f>IF('9   Trucks'!$E16/Productivity!L16&lt;'10   Loader'!$I13,'10   Loader'!$I13,'9   Trucks'!$E16/Productivity!L16)</f>
        <v>111.00885714285712</v>
      </c>
      <c r="M16" s="289">
        <f>IF('9   Trucks'!$E16/Productivity!M16&lt;'10   Loader'!$I13,'10   Loader'!$I13,'9   Trucks'!$E16/Productivity!M16)</f>
        <v>111.00885714285712</v>
      </c>
      <c r="N16" s="289">
        <f>IF('9   Trucks'!$E16/Productivity!N16&lt;'10   Loader'!$I13,'10   Loader'!$I13,'9   Trucks'!$E16/Productivity!N16)</f>
        <v>111.00885714285712</v>
      </c>
      <c r="O16" s="289">
        <f>IF('9   Trucks'!$E16/Productivity!O16&lt;'10   Loader'!$I13,'10   Loader'!$I13,'9   Trucks'!$E16/Productivity!O16)</f>
        <v>111.00885714285712</v>
      </c>
      <c r="P16" s="289">
        <f>IF('9   Trucks'!$E16/Productivity!P16&lt;'10   Loader'!$I13,'10   Loader'!$I13,'9   Trucks'!$E16/Productivity!P16)</f>
        <v>111.00885714285712</v>
      </c>
      <c r="Q16" s="289">
        <f>IF('9   Trucks'!$E16/Productivity!Q16&lt;'10   Loader'!$I13,'10   Loader'!$I13,'9   Trucks'!$E16/Productivity!Q16)</f>
        <v>111.00885714285712</v>
      </c>
      <c r="R16" s="289">
        <f>IF('9   Trucks'!$E16/Productivity!R16&lt;'10   Loader'!$I13,'10   Loader'!$I13,'9   Trucks'!$E16/Productivity!R16)</f>
        <v>111.00885714285712</v>
      </c>
      <c r="S16" s="289">
        <f>IF('9   Trucks'!$E16/Productivity!S16&lt;'10   Loader'!$I13,'10   Loader'!$I13,'9   Trucks'!$E16/Productivity!S16)</f>
        <v>111.00885714285712</v>
      </c>
      <c r="T16" s="289">
        <f>IF('9   Trucks'!$E16/Productivity!T16&lt;'10   Loader'!$I13,'10   Loader'!$I13,'9   Trucks'!$E16/Productivity!T16)</f>
        <v>111.00885714285712</v>
      </c>
      <c r="U16" s="289">
        <f>IF('9   Trucks'!$E16/Productivity!U16&lt;'10   Loader'!$I13,'10   Loader'!$I13,'9   Trucks'!$E16/Productivity!U16)</f>
        <v>111.00885714285712</v>
      </c>
      <c r="V16" s="289">
        <f>IF('9   Trucks'!$E16/Productivity!V16&lt;'10   Loader'!$I13,'10   Loader'!$I13,'9   Trucks'!$E16/Productivity!V16)</f>
        <v>111.00885714285712</v>
      </c>
      <c r="W16" s="289">
        <f>IF('9   Trucks'!$E16/Productivity!W16&lt;'10   Loader'!$I13,'10   Loader'!$I13,'9   Trucks'!$E16/Productivity!W16)</f>
        <v>111.00885714285712</v>
      </c>
      <c r="X16" s="289">
        <f>IF('9   Trucks'!$E16/Productivity!X16&lt;'10   Loader'!$I13,'10   Loader'!$I13,'9   Trucks'!$E16/Productivity!X16)</f>
        <v>111.00885714285712</v>
      </c>
      <c r="Y16" s="289">
        <f>IF('9   Trucks'!$E16/Productivity!Y16&lt;'10   Loader'!$I13,'10   Loader'!$I13,'9   Trucks'!$E16/Productivity!Y16)</f>
        <v>111.00885714285712</v>
      </c>
      <c r="Z16" s="289">
        <f>IF('9   Trucks'!$E16/Productivity!Z16&lt;'10   Loader'!$I13,'10   Loader'!$I13,'9   Trucks'!$E16/Productivity!Z16)</f>
        <v>111.00885714285712</v>
      </c>
      <c r="AA16" s="289">
        <f>IF('9   Trucks'!$E16/Productivity!AA16&lt;'10   Loader'!$I13,'10   Loader'!$I13,'9   Trucks'!$E16/Productivity!AA16)</f>
        <v>111.00885714285712</v>
      </c>
      <c r="AB16" s="289">
        <f>IF('9   Trucks'!$E16/Productivity!AB16&lt;'10   Loader'!$I13,'10   Loader'!$I13,'9   Trucks'!$E16/Productivity!AB16)</f>
        <v>111.00885714285712</v>
      </c>
    </row>
    <row r="17" spans="1:28" x14ac:dyDescent="0.2">
      <c r="A17" s="279" t="str">
        <f>Productivity!A17</f>
        <v>Haul cover soil</v>
      </c>
      <c r="B17" s="279" t="str">
        <f>Productivity!B17</f>
        <v>NOBS</v>
      </c>
      <c r="C17" s="279" t="str">
        <f>Productivity!C17</f>
        <v>Hanover Mountain Deposit</v>
      </c>
      <c r="D17" s="279" t="str">
        <f>Productivity!D17</f>
        <v>777F</v>
      </c>
      <c r="E17" s="289">
        <f>IF('9   Trucks'!$E17/Productivity!E17&lt;'10   Loader'!$I14,'10   Loader'!$I14,'9   Trucks'!$E17/Productivity!E17)</f>
        <v>742.02703143211386</v>
      </c>
      <c r="F17" s="289">
        <f>IF('9   Trucks'!$E17/Productivity!F17&lt;'10   Loader'!$I14,'10   Loader'!$I14,'9   Trucks'!$E17/Productivity!F17)</f>
        <v>494.68468762140924</v>
      </c>
      <c r="G17" s="289">
        <f>IF('9   Trucks'!$E17/Productivity!G17&lt;'10   Loader'!$I14,'10   Loader'!$I14,'9   Trucks'!$E17/Productivity!G17)</f>
        <v>419.31685714285709</v>
      </c>
      <c r="H17" s="289">
        <f>IF('9   Trucks'!$E17/Productivity!H17&lt;'10   Loader'!$I14,'10   Loader'!$I14,'9   Trucks'!$E17/Productivity!H17)</f>
        <v>419.31685714285709</v>
      </c>
      <c r="I17" s="289">
        <f>IF('9   Trucks'!$E17/Productivity!I17&lt;'10   Loader'!$I14,'10   Loader'!$I14,'9   Trucks'!$E17/Productivity!I17)</f>
        <v>419.31685714285709</v>
      </c>
      <c r="J17" s="289">
        <f>IF('9   Trucks'!$E17/Productivity!J17&lt;'10   Loader'!$I14,'10   Loader'!$I14,'9   Trucks'!$E17/Productivity!J17)</f>
        <v>419.31685714285709</v>
      </c>
      <c r="K17" s="289">
        <f>IF('9   Trucks'!$E17/Productivity!K17&lt;'10   Loader'!$I14,'10   Loader'!$I14,'9   Trucks'!$E17/Productivity!K17)</f>
        <v>419.31685714285709</v>
      </c>
      <c r="L17" s="289">
        <f>IF('9   Trucks'!$E17/Productivity!L17&lt;'10   Loader'!$I14,'10   Loader'!$I14,'9   Trucks'!$E17/Productivity!L17)</f>
        <v>419.31685714285709</v>
      </c>
      <c r="M17" s="289">
        <f>IF('9   Trucks'!$E17/Productivity!M17&lt;'10   Loader'!$I14,'10   Loader'!$I14,'9   Trucks'!$E17/Productivity!M17)</f>
        <v>419.31685714285709</v>
      </c>
      <c r="N17" s="289">
        <f>IF('9   Trucks'!$E17/Productivity!N17&lt;'10   Loader'!$I14,'10   Loader'!$I14,'9   Trucks'!$E17/Productivity!N17)</f>
        <v>419.31685714285709</v>
      </c>
      <c r="O17" s="289">
        <f>IF('9   Trucks'!$E17/Productivity!O17&lt;'10   Loader'!$I14,'10   Loader'!$I14,'9   Trucks'!$E17/Productivity!O17)</f>
        <v>419.31685714285709</v>
      </c>
      <c r="P17" s="289">
        <f>IF('9   Trucks'!$E17/Productivity!P17&lt;'10   Loader'!$I14,'10   Loader'!$I14,'9   Trucks'!$E17/Productivity!P17)</f>
        <v>419.31685714285709</v>
      </c>
      <c r="Q17" s="289">
        <f>IF('9   Trucks'!$E17/Productivity!Q17&lt;'10   Loader'!$I14,'10   Loader'!$I14,'9   Trucks'!$E17/Productivity!Q17)</f>
        <v>419.31685714285709</v>
      </c>
      <c r="R17" s="289">
        <f>IF('9   Trucks'!$E17/Productivity!R17&lt;'10   Loader'!$I14,'10   Loader'!$I14,'9   Trucks'!$E17/Productivity!R17)</f>
        <v>419.31685714285709</v>
      </c>
      <c r="S17" s="289">
        <f>IF('9   Trucks'!$E17/Productivity!S17&lt;'10   Loader'!$I14,'10   Loader'!$I14,'9   Trucks'!$E17/Productivity!S17)</f>
        <v>419.31685714285709</v>
      </c>
      <c r="T17" s="289">
        <f>IF('9   Trucks'!$E17/Productivity!T17&lt;'10   Loader'!$I14,'10   Loader'!$I14,'9   Trucks'!$E17/Productivity!T17)</f>
        <v>419.31685714285709</v>
      </c>
      <c r="U17" s="289">
        <f>IF('9   Trucks'!$E17/Productivity!U17&lt;'10   Loader'!$I14,'10   Loader'!$I14,'9   Trucks'!$E17/Productivity!U17)</f>
        <v>419.31685714285709</v>
      </c>
      <c r="V17" s="289">
        <f>IF('9   Trucks'!$E17/Productivity!V17&lt;'10   Loader'!$I14,'10   Loader'!$I14,'9   Trucks'!$E17/Productivity!V17)</f>
        <v>419.31685714285709</v>
      </c>
      <c r="W17" s="289">
        <f>IF('9   Trucks'!$E17/Productivity!W17&lt;'10   Loader'!$I14,'10   Loader'!$I14,'9   Trucks'!$E17/Productivity!W17)</f>
        <v>419.31685714285709</v>
      </c>
      <c r="X17" s="289">
        <f>IF('9   Trucks'!$E17/Productivity!X17&lt;'10   Loader'!$I14,'10   Loader'!$I14,'9   Trucks'!$E17/Productivity!X17)</f>
        <v>419.31685714285709</v>
      </c>
      <c r="Y17" s="289">
        <f>IF('9   Trucks'!$E17/Productivity!Y17&lt;'10   Loader'!$I14,'10   Loader'!$I14,'9   Trucks'!$E17/Productivity!Y17)</f>
        <v>419.31685714285709</v>
      </c>
      <c r="Z17" s="289">
        <f>IF('9   Trucks'!$E17/Productivity!Z17&lt;'10   Loader'!$I14,'10   Loader'!$I14,'9   Trucks'!$E17/Productivity!Z17)</f>
        <v>419.31685714285709</v>
      </c>
      <c r="AA17" s="289">
        <f>IF('9   Trucks'!$E17/Productivity!AA17&lt;'10   Loader'!$I14,'10   Loader'!$I14,'9   Trucks'!$E17/Productivity!AA17)</f>
        <v>419.31685714285709</v>
      </c>
      <c r="AB17" s="289">
        <f>IF('9   Trucks'!$E17/Productivity!AB17&lt;'10   Loader'!$I14,'10   Loader'!$I14,'9   Trucks'!$E17/Productivity!AB17)</f>
        <v>419.31685714285709</v>
      </c>
    </row>
    <row r="18" spans="1:28" x14ac:dyDescent="0.2">
      <c r="A18" s="279" t="str">
        <f>Productivity!A18</f>
        <v>Haul cover soil</v>
      </c>
      <c r="B18" s="279" t="str">
        <f>Productivity!B18</f>
        <v>OB Stockpile 1 through 3, Topsoil Stockpile, South OB Stockpile</v>
      </c>
      <c r="C18" s="279" t="str">
        <f>Productivity!C18</f>
        <v>Pearson-Barnes Mine Area</v>
      </c>
      <c r="D18" s="279" t="str">
        <f>Productivity!D18</f>
        <v>777F</v>
      </c>
      <c r="E18" s="289">
        <f>IF('9   Trucks'!$E18/Productivity!E18&lt;'10   Loader'!$I15,'10   Loader'!$I15,'9   Trucks'!$E18/Productivity!E18)</f>
        <v>53.482000000000006</v>
      </c>
      <c r="F18" s="289">
        <f>IF('9   Trucks'!$E18/Productivity!F18&lt;'10   Loader'!$I15,'10   Loader'!$I15,'9   Trucks'!$E18/Productivity!F18)</f>
        <v>53.482000000000006</v>
      </c>
      <c r="G18" s="289">
        <f>IF('9   Trucks'!$E18/Productivity!G18&lt;'10   Loader'!$I15,'10   Loader'!$I15,'9   Trucks'!$E18/Productivity!G18)</f>
        <v>53.482000000000006</v>
      </c>
      <c r="H18" s="289">
        <f>IF('9   Trucks'!$E18/Productivity!H18&lt;'10   Loader'!$I15,'10   Loader'!$I15,'9   Trucks'!$E18/Productivity!H18)</f>
        <v>53.482000000000006</v>
      </c>
      <c r="I18" s="289">
        <f>IF('9   Trucks'!$E18/Productivity!I18&lt;'10   Loader'!$I15,'10   Loader'!$I15,'9   Trucks'!$E18/Productivity!I18)</f>
        <v>53.482000000000006</v>
      </c>
      <c r="J18" s="289">
        <f>IF('9   Trucks'!$E18/Productivity!J18&lt;'10   Loader'!$I15,'10   Loader'!$I15,'9   Trucks'!$E18/Productivity!J18)</f>
        <v>53.482000000000006</v>
      </c>
      <c r="K18" s="289">
        <f>IF('9   Trucks'!$E18/Productivity!K18&lt;'10   Loader'!$I15,'10   Loader'!$I15,'9   Trucks'!$E18/Productivity!K18)</f>
        <v>53.482000000000006</v>
      </c>
      <c r="L18" s="289">
        <f>IF('9   Trucks'!$E18/Productivity!L18&lt;'10   Loader'!$I15,'10   Loader'!$I15,'9   Trucks'!$E18/Productivity!L18)</f>
        <v>53.482000000000006</v>
      </c>
      <c r="M18" s="289">
        <f>IF('9   Trucks'!$E18/Productivity!M18&lt;'10   Loader'!$I15,'10   Loader'!$I15,'9   Trucks'!$E18/Productivity!M18)</f>
        <v>53.482000000000006</v>
      </c>
      <c r="N18" s="289">
        <f>IF('9   Trucks'!$E18/Productivity!N18&lt;'10   Loader'!$I15,'10   Loader'!$I15,'9   Trucks'!$E18/Productivity!N18)</f>
        <v>53.482000000000006</v>
      </c>
      <c r="O18" s="289">
        <f>IF('9   Trucks'!$E18/Productivity!O18&lt;'10   Loader'!$I15,'10   Loader'!$I15,'9   Trucks'!$E18/Productivity!O18)</f>
        <v>53.482000000000006</v>
      </c>
      <c r="P18" s="289">
        <f>IF('9   Trucks'!$E18/Productivity!P18&lt;'10   Loader'!$I15,'10   Loader'!$I15,'9   Trucks'!$E18/Productivity!P18)</f>
        <v>53.482000000000006</v>
      </c>
      <c r="Q18" s="289">
        <f>IF('9   Trucks'!$E18/Productivity!Q18&lt;'10   Loader'!$I15,'10   Loader'!$I15,'9   Trucks'!$E18/Productivity!Q18)</f>
        <v>53.482000000000006</v>
      </c>
      <c r="R18" s="289">
        <f>IF('9   Trucks'!$E18/Productivity!R18&lt;'10   Loader'!$I15,'10   Loader'!$I15,'9   Trucks'!$E18/Productivity!R18)</f>
        <v>53.482000000000006</v>
      </c>
      <c r="S18" s="289">
        <f>IF('9   Trucks'!$E18/Productivity!S18&lt;'10   Loader'!$I15,'10   Loader'!$I15,'9   Trucks'!$E18/Productivity!S18)</f>
        <v>53.482000000000006</v>
      </c>
      <c r="T18" s="289">
        <f>IF('9   Trucks'!$E18/Productivity!T18&lt;'10   Loader'!$I15,'10   Loader'!$I15,'9   Trucks'!$E18/Productivity!T18)</f>
        <v>53.482000000000006</v>
      </c>
      <c r="U18" s="289">
        <f>IF('9   Trucks'!$E18/Productivity!U18&lt;'10   Loader'!$I15,'10   Loader'!$I15,'9   Trucks'!$E18/Productivity!U18)</f>
        <v>53.482000000000006</v>
      </c>
      <c r="V18" s="289">
        <f>IF('9   Trucks'!$E18/Productivity!V18&lt;'10   Loader'!$I15,'10   Loader'!$I15,'9   Trucks'!$E18/Productivity!V18)</f>
        <v>53.482000000000006</v>
      </c>
      <c r="W18" s="289">
        <f>IF('9   Trucks'!$E18/Productivity!W18&lt;'10   Loader'!$I15,'10   Loader'!$I15,'9   Trucks'!$E18/Productivity!W18)</f>
        <v>53.482000000000006</v>
      </c>
      <c r="X18" s="289">
        <f>IF('9   Trucks'!$E18/Productivity!X18&lt;'10   Loader'!$I15,'10   Loader'!$I15,'9   Trucks'!$E18/Productivity!X18)</f>
        <v>53.482000000000006</v>
      </c>
      <c r="Y18" s="289">
        <f>IF('9   Trucks'!$E18/Productivity!Y18&lt;'10   Loader'!$I15,'10   Loader'!$I15,'9   Trucks'!$E18/Productivity!Y18)</f>
        <v>53.482000000000006</v>
      </c>
      <c r="Z18" s="289">
        <f>IF('9   Trucks'!$E18/Productivity!Z18&lt;'10   Loader'!$I15,'10   Loader'!$I15,'9   Trucks'!$E18/Productivity!Z18)</f>
        <v>53.482000000000006</v>
      </c>
      <c r="AA18" s="289">
        <f>IF('9   Trucks'!$E18/Productivity!AA18&lt;'10   Loader'!$I15,'10   Loader'!$I15,'9   Trucks'!$E18/Productivity!AA18)</f>
        <v>53.482000000000006</v>
      </c>
      <c r="AB18" s="289">
        <f>IF('9   Trucks'!$E18/Productivity!AB18&lt;'10   Loader'!$I15,'10   Loader'!$I15,'9   Trucks'!$E18/Productivity!AB18)</f>
        <v>53.482000000000006</v>
      </c>
    </row>
    <row r="19" spans="1:28" x14ac:dyDescent="0.2">
      <c r="A19" s="279" t="str">
        <f>Productivity!A19</f>
        <v>Haul cover soil</v>
      </c>
      <c r="B19" s="279" t="str">
        <f>Productivity!B19</f>
        <v>OB-4 Stockpile</v>
      </c>
      <c r="C19" s="279" t="str">
        <f>Productivity!C19</f>
        <v>Low Grade WRF</v>
      </c>
      <c r="D19" s="279" t="str">
        <f>Productivity!D19</f>
        <v>777F</v>
      </c>
      <c r="E19" s="289">
        <f>IF('9   Trucks'!$E19/Productivity!E19&lt;'10   Loader'!$I16,'10   Loader'!$I16,'9   Trucks'!$E19/Productivity!E19)</f>
        <v>41.691990476190469</v>
      </c>
      <c r="F19" s="289">
        <f>IF('9   Trucks'!$E19/Productivity!F19&lt;'10   Loader'!$I16,'10   Loader'!$I16,'9   Trucks'!$E19/Productivity!F19)</f>
        <v>41.691990476190469</v>
      </c>
      <c r="G19" s="289">
        <f>IF('9   Trucks'!$E19/Productivity!G19&lt;'10   Loader'!$I16,'10   Loader'!$I16,'9   Trucks'!$E19/Productivity!G19)</f>
        <v>41.691990476190469</v>
      </c>
      <c r="H19" s="289">
        <f>IF('9   Trucks'!$E19/Productivity!H19&lt;'10   Loader'!$I16,'10   Loader'!$I16,'9   Trucks'!$E19/Productivity!H19)</f>
        <v>41.691990476190469</v>
      </c>
      <c r="I19" s="289">
        <f>IF('9   Trucks'!$E19/Productivity!I19&lt;'10   Loader'!$I16,'10   Loader'!$I16,'9   Trucks'!$E19/Productivity!I19)</f>
        <v>41.691990476190469</v>
      </c>
      <c r="J19" s="289">
        <f>IF('9   Trucks'!$E19/Productivity!J19&lt;'10   Loader'!$I16,'10   Loader'!$I16,'9   Trucks'!$E19/Productivity!J19)</f>
        <v>41.691990476190469</v>
      </c>
      <c r="K19" s="289">
        <f>IF('9   Trucks'!$E19/Productivity!K19&lt;'10   Loader'!$I16,'10   Loader'!$I16,'9   Trucks'!$E19/Productivity!K19)</f>
        <v>41.691990476190469</v>
      </c>
      <c r="L19" s="289">
        <f>IF('9   Trucks'!$E19/Productivity!L19&lt;'10   Loader'!$I16,'10   Loader'!$I16,'9   Trucks'!$E19/Productivity!L19)</f>
        <v>41.691990476190469</v>
      </c>
      <c r="M19" s="289">
        <f>IF('9   Trucks'!$E19/Productivity!M19&lt;'10   Loader'!$I16,'10   Loader'!$I16,'9   Trucks'!$E19/Productivity!M19)</f>
        <v>41.691990476190469</v>
      </c>
      <c r="N19" s="289">
        <f>IF('9   Trucks'!$E19/Productivity!N19&lt;'10   Loader'!$I16,'10   Loader'!$I16,'9   Trucks'!$E19/Productivity!N19)</f>
        <v>41.691990476190469</v>
      </c>
      <c r="O19" s="289">
        <f>IF('9   Trucks'!$E19/Productivity!O19&lt;'10   Loader'!$I16,'10   Loader'!$I16,'9   Trucks'!$E19/Productivity!O19)</f>
        <v>41.691990476190469</v>
      </c>
      <c r="P19" s="289">
        <f>IF('9   Trucks'!$E19/Productivity!P19&lt;'10   Loader'!$I16,'10   Loader'!$I16,'9   Trucks'!$E19/Productivity!P19)</f>
        <v>41.691990476190469</v>
      </c>
      <c r="Q19" s="289">
        <f>IF('9   Trucks'!$E19/Productivity!Q19&lt;'10   Loader'!$I16,'10   Loader'!$I16,'9   Trucks'!$E19/Productivity!Q19)</f>
        <v>41.691990476190469</v>
      </c>
      <c r="R19" s="289">
        <f>IF('9   Trucks'!$E19/Productivity!R19&lt;'10   Loader'!$I16,'10   Loader'!$I16,'9   Trucks'!$E19/Productivity!R19)</f>
        <v>41.691990476190469</v>
      </c>
      <c r="S19" s="289">
        <f>IF('9   Trucks'!$E19/Productivity!S19&lt;'10   Loader'!$I16,'10   Loader'!$I16,'9   Trucks'!$E19/Productivity!S19)</f>
        <v>41.691990476190469</v>
      </c>
      <c r="T19" s="289">
        <f>IF('9   Trucks'!$E19/Productivity!T19&lt;'10   Loader'!$I16,'10   Loader'!$I16,'9   Trucks'!$E19/Productivity!T19)</f>
        <v>41.691990476190469</v>
      </c>
      <c r="U19" s="289">
        <f>IF('9   Trucks'!$E19/Productivity!U19&lt;'10   Loader'!$I16,'10   Loader'!$I16,'9   Trucks'!$E19/Productivity!U19)</f>
        <v>41.691990476190469</v>
      </c>
      <c r="V19" s="289">
        <f>IF('9   Trucks'!$E19/Productivity!V19&lt;'10   Loader'!$I16,'10   Loader'!$I16,'9   Trucks'!$E19/Productivity!V19)</f>
        <v>41.691990476190469</v>
      </c>
      <c r="W19" s="289">
        <f>IF('9   Trucks'!$E19/Productivity!W19&lt;'10   Loader'!$I16,'10   Loader'!$I16,'9   Trucks'!$E19/Productivity!W19)</f>
        <v>41.691990476190469</v>
      </c>
      <c r="X19" s="289">
        <f>IF('9   Trucks'!$E19/Productivity!X19&lt;'10   Loader'!$I16,'10   Loader'!$I16,'9   Trucks'!$E19/Productivity!X19)</f>
        <v>41.691990476190469</v>
      </c>
      <c r="Y19" s="289">
        <f>IF('9   Trucks'!$E19/Productivity!Y19&lt;'10   Loader'!$I16,'10   Loader'!$I16,'9   Trucks'!$E19/Productivity!Y19)</f>
        <v>41.691990476190469</v>
      </c>
      <c r="Z19" s="289">
        <f>IF('9   Trucks'!$E19/Productivity!Z19&lt;'10   Loader'!$I16,'10   Loader'!$I16,'9   Trucks'!$E19/Productivity!Z19)</f>
        <v>41.691990476190469</v>
      </c>
      <c r="AA19" s="289">
        <f>IF('9   Trucks'!$E19/Productivity!AA19&lt;'10   Loader'!$I16,'10   Loader'!$I16,'9   Trucks'!$E19/Productivity!AA19)</f>
        <v>41.691990476190469</v>
      </c>
      <c r="AB19" s="289">
        <f>IF('9   Trucks'!$E19/Productivity!AB19&lt;'10   Loader'!$I16,'10   Loader'!$I16,'9   Trucks'!$E19/Productivity!AB19)</f>
        <v>41.691990476190469</v>
      </c>
    </row>
    <row r="20" spans="1:28" ht="13.5" customHeight="1" x14ac:dyDescent="0.2">
      <c r="A20" s="279" t="str">
        <f>Productivity!A20</f>
        <v>Haul cover soil</v>
      </c>
      <c r="B20" s="279" t="str">
        <f>Productivity!B20</f>
        <v>NOBS</v>
      </c>
      <c r="C20" s="279" t="str">
        <f>Productivity!C20</f>
        <v>MTI Reclaim Pond</v>
      </c>
      <c r="D20" s="279" t="str">
        <f>Productivity!D20</f>
        <v>777F</v>
      </c>
      <c r="E20" s="289">
        <f>IF('9   Trucks'!$E20/Productivity!E20&lt;'10   Loader'!$I17,'10   Loader'!$I17,'9   Trucks'!$E20/Productivity!E20)</f>
        <v>277.36853677159917</v>
      </c>
      <c r="F20" s="289">
        <f>IF('9   Trucks'!$E20/Productivity!F20&lt;'10   Loader'!$I17,'10   Loader'!$I17,'9   Trucks'!$E20/Productivity!F20)</f>
        <v>184.91235784773281</v>
      </c>
      <c r="G20" s="289">
        <f>IF('9   Trucks'!$E20/Productivity!G20&lt;'10   Loader'!$I17,'10   Loader'!$I17,'9   Trucks'!$E20/Productivity!G20)</f>
        <v>148.31142857142856</v>
      </c>
      <c r="H20" s="289">
        <f>IF('9   Trucks'!$E20/Productivity!H20&lt;'10   Loader'!$I17,'10   Loader'!$I17,'9   Trucks'!$E20/Productivity!H20)</f>
        <v>148.31142857142856</v>
      </c>
      <c r="I20" s="289">
        <f>IF('9   Trucks'!$E20/Productivity!I20&lt;'10   Loader'!$I17,'10   Loader'!$I17,'9   Trucks'!$E20/Productivity!I20)</f>
        <v>148.31142857142856</v>
      </c>
      <c r="J20" s="289">
        <f>IF('9   Trucks'!$E20/Productivity!J20&lt;'10   Loader'!$I17,'10   Loader'!$I17,'9   Trucks'!$E20/Productivity!J20)</f>
        <v>148.31142857142856</v>
      </c>
      <c r="K20" s="289">
        <f>IF('9   Trucks'!$E20/Productivity!K20&lt;'10   Loader'!$I17,'10   Loader'!$I17,'9   Trucks'!$E20/Productivity!K20)</f>
        <v>148.31142857142856</v>
      </c>
      <c r="L20" s="289">
        <f>IF('9   Trucks'!$E20/Productivity!L20&lt;'10   Loader'!$I17,'10   Loader'!$I17,'9   Trucks'!$E20/Productivity!L20)</f>
        <v>148.31142857142856</v>
      </c>
      <c r="M20" s="289">
        <f>IF('9   Trucks'!$E20/Productivity!M20&lt;'10   Loader'!$I17,'10   Loader'!$I17,'9   Trucks'!$E20/Productivity!M20)</f>
        <v>148.31142857142856</v>
      </c>
      <c r="N20" s="289">
        <f>IF('9   Trucks'!$E20/Productivity!N20&lt;'10   Loader'!$I17,'10   Loader'!$I17,'9   Trucks'!$E20/Productivity!N20)</f>
        <v>148.31142857142856</v>
      </c>
      <c r="O20" s="289">
        <f>IF('9   Trucks'!$E20/Productivity!O20&lt;'10   Loader'!$I17,'10   Loader'!$I17,'9   Trucks'!$E20/Productivity!O20)</f>
        <v>148.31142857142856</v>
      </c>
      <c r="P20" s="289">
        <f>IF('9   Trucks'!$E20/Productivity!P20&lt;'10   Loader'!$I17,'10   Loader'!$I17,'9   Trucks'!$E20/Productivity!P20)</f>
        <v>148.31142857142856</v>
      </c>
      <c r="Q20" s="289">
        <f>IF('9   Trucks'!$E20/Productivity!Q20&lt;'10   Loader'!$I17,'10   Loader'!$I17,'9   Trucks'!$E20/Productivity!Q20)</f>
        <v>148.31142857142856</v>
      </c>
      <c r="R20" s="289">
        <f>IF('9   Trucks'!$E20/Productivity!R20&lt;'10   Loader'!$I17,'10   Loader'!$I17,'9   Trucks'!$E20/Productivity!R20)</f>
        <v>148.31142857142856</v>
      </c>
      <c r="S20" s="289">
        <f>IF('9   Trucks'!$E20/Productivity!S20&lt;'10   Loader'!$I17,'10   Loader'!$I17,'9   Trucks'!$E20/Productivity!S20)</f>
        <v>148.31142857142856</v>
      </c>
      <c r="T20" s="289">
        <f>IF('9   Trucks'!$E20/Productivity!T20&lt;'10   Loader'!$I17,'10   Loader'!$I17,'9   Trucks'!$E20/Productivity!T20)</f>
        <v>148.31142857142856</v>
      </c>
      <c r="U20" s="289">
        <f>IF('9   Trucks'!$E20/Productivity!U20&lt;'10   Loader'!$I17,'10   Loader'!$I17,'9   Trucks'!$E20/Productivity!U20)</f>
        <v>148.31142857142856</v>
      </c>
      <c r="V20" s="289">
        <f>IF('9   Trucks'!$E20/Productivity!V20&lt;'10   Loader'!$I17,'10   Loader'!$I17,'9   Trucks'!$E20/Productivity!V20)</f>
        <v>148.31142857142856</v>
      </c>
      <c r="W20" s="289">
        <f>IF('9   Trucks'!$E20/Productivity!W20&lt;'10   Loader'!$I17,'10   Loader'!$I17,'9   Trucks'!$E20/Productivity!W20)</f>
        <v>148.31142857142856</v>
      </c>
      <c r="X20" s="289">
        <f>IF('9   Trucks'!$E20/Productivity!X20&lt;'10   Loader'!$I17,'10   Loader'!$I17,'9   Trucks'!$E20/Productivity!X20)</f>
        <v>148.31142857142856</v>
      </c>
      <c r="Y20" s="289">
        <f>IF('9   Trucks'!$E20/Productivity!Y20&lt;'10   Loader'!$I17,'10   Loader'!$I17,'9   Trucks'!$E20/Productivity!Y20)</f>
        <v>148.31142857142856</v>
      </c>
      <c r="Z20" s="289">
        <f>IF('9   Trucks'!$E20/Productivity!Z20&lt;'10   Loader'!$I17,'10   Loader'!$I17,'9   Trucks'!$E20/Productivity!Z20)</f>
        <v>148.31142857142856</v>
      </c>
      <c r="AA20" s="289">
        <f>IF('9   Trucks'!$E20/Productivity!AA20&lt;'10   Loader'!$I17,'10   Loader'!$I17,'9   Trucks'!$E20/Productivity!AA20)</f>
        <v>148.31142857142856</v>
      </c>
      <c r="AB20" s="289">
        <f>IF('9   Trucks'!$E20/Productivity!AB20&lt;'10   Loader'!$I17,'10   Loader'!$I17,'9   Trucks'!$E20/Productivity!AB20)</f>
        <v>148.31142857142856</v>
      </c>
    </row>
    <row r="21" spans="1:28" ht="13.5" customHeight="1" x14ac:dyDescent="0.2">
      <c r="A21" s="279" t="str">
        <f>Productivity!A21</f>
        <v>Haul cover soil</v>
      </c>
      <c r="B21" s="279" t="str">
        <f>Productivity!B21</f>
        <v>NOBS</v>
      </c>
      <c r="C21" s="279" t="str">
        <f>Productivity!C21</f>
        <v>MTI  Top</v>
      </c>
      <c r="D21" s="279" t="str">
        <f>Productivity!D21</f>
        <v>777F</v>
      </c>
      <c r="E21" s="289">
        <f>IF('9   Trucks'!$E21/Productivity!E21&lt;'10   Loader'!$I18,'10   Loader'!$I18,'9   Trucks'!$E21/Productivity!E21)</f>
        <v>330.44592028487773</v>
      </c>
      <c r="F21" s="289">
        <f>IF('9   Trucks'!$E21/Productivity!F21&lt;'10   Loader'!$I18,'10   Loader'!$I18,'9   Trucks'!$E21/Productivity!F21)</f>
        <v>220.29728018991847</v>
      </c>
      <c r="G21" s="289">
        <f>IF('9   Trucks'!$E21/Productivity!G21&lt;'10   Loader'!$I18,'10   Loader'!$I18,'9   Trucks'!$E21/Productivity!G21)</f>
        <v>176.69237857142861</v>
      </c>
      <c r="H21" s="289">
        <f>IF('9   Trucks'!$E21/Productivity!H21&lt;'10   Loader'!$I18,'10   Loader'!$I18,'9   Trucks'!$E21/Productivity!H21)</f>
        <v>176.69237857142861</v>
      </c>
      <c r="I21" s="289">
        <f>IF('9   Trucks'!$E21/Productivity!I21&lt;'10   Loader'!$I18,'10   Loader'!$I18,'9   Trucks'!$E21/Productivity!I21)</f>
        <v>176.69237857142861</v>
      </c>
      <c r="J21" s="289">
        <f>IF('9   Trucks'!$E21/Productivity!J21&lt;'10   Loader'!$I18,'10   Loader'!$I18,'9   Trucks'!$E21/Productivity!J21)</f>
        <v>176.69237857142861</v>
      </c>
      <c r="K21" s="289">
        <f>IF('9   Trucks'!$E21/Productivity!K21&lt;'10   Loader'!$I18,'10   Loader'!$I18,'9   Trucks'!$E21/Productivity!K21)</f>
        <v>176.69237857142861</v>
      </c>
      <c r="L21" s="289">
        <f>IF('9   Trucks'!$E21/Productivity!L21&lt;'10   Loader'!$I18,'10   Loader'!$I18,'9   Trucks'!$E21/Productivity!L21)</f>
        <v>176.69237857142861</v>
      </c>
      <c r="M21" s="289">
        <f>IF('9   Trucks'!$E21/Productivity!M21&lt;'10   Loader'!$I18,'10   Loader'!$I18,'9   Trucks'!$E21/Productivity!M21)</f>
        <v>176.69237857142861</v>
      </c>
      <c r="N21" s="289">
        <f>IF('9   Trucks'!$E21/Productivity!N21&lt;'10   Loader'!$I18,'10   Loader'!$I18,'9   Trucks'!$E21/Productivity!N21)</f>
        <v>176.69237857142861</v>
      </c>
      <c r="O21" s="289">
        <f>IF('9   Trucks'!$E21/Productivity!O21&lt;'10   Loader'!$I18,'10   Loader'!$I18,'9   Trucks'!$E21/Productivity!O21)</f>
        <v>176.69237857142861</v>
      </c>
      <c r="P21" s="289">
        <f>IF('9   Trucks'!$E21/Productivity!P21&lt;'10   Loader'!$I18,'10   Loader'!$I18,'9   Trucks'!$E21/Productivity!P21)</f>
        <v>176.69237857142861</v>
      </c>
      <c r="Q21" s="289">
        <f>IF('9   Trucks'!$E21/Productivity!Q21&lt;'10   Loader'!$I18,'10   Loader'!$I18,'9   Trucks'!$E21/Productivity!Q21)</f>
        <v>176.69237857142861</v>
      </c>
      <c r="R21" s="289">
        <f>IF('9   Trucks'!$E21/Productivity!R21&lt;'10   Loader'!$I18,'10   Loader'!$I18,'9   Trucks'!$E21/Productivity!R21)</f>
        <v>176.69237857142861</v>
      </c>
      <c r="S21" s="289">
        <f>IF('9   Trucks'!$E21/Productivity!S21&lt;'10   Loader'!$I18,'10   Loader'!$I18,'9   Trucks'!$E21/Productivity!S21)</f>
        <v>176.69237857142861</v>
      </c>
      <c r="T21" s="289">
        <f>IF('9   Trucks'!$E21/Productivity!T21&lt;'10   Loader'!$I18,'10   Loader'!$I18,'9   Trucks'!$E21/Productivity!T21)</f>
        <v>176.69237857142861</v>
      </c>
      <c r="U21" s="289">
        <f>IF('9   Trucks'!$E21/Productivity!U21&lt;'10   Loader'!$I18,'10   Loader'!$I18,'9   Trucks'!$E21/Productivity!U21)</f>
        <v>176.69237857142861</v>
      </c>
      <c r="V21" s="289">
        <f>IF('9   Trucks'!$E21/Productivity!V21&lt;'10   Loader'!$I18,'10   Loader'!$I18,'9   Trucks'!$E21/Productivity!V21)</f>
        <v>176.69237857142861</v>
      </c>
      <c r="W21" s="289">
        <f>IF('9   Trucks'!$E21/Productivity!W21&lt;'10   Loader'!$I18,'10   Loader'!$I18,'9   Trucks'!$E21/Productivity!W21)</f>
        <v>176.69237857142861</v>
      </c>
      <c r="X21" s="289">
        <f>IF('9   Trucks'!$E21/Productivity!X21&lt;'10   Loader'!$I18,'10   Loader'!$I18,'9   Trucks'!$E21/Productivity!X21)</f>
        <v>176.69237857142861</v>
      </c>
      <c r="Y21" s="289">
        <f>IF('9   Trucks'!$E21/Productivity!Y21&lt;'10   Loader'!$I18,'10   Loader'!$I18,'9   Trucks'!$E21/Productivity!Y21)</f>
        <v>176.69237857142861</v>
      </c>
      <c r="Z21" s="289">
        <f>IF('9   Trucks'!$E21/Productivity!Z21&lt;'10   Loader'!$I18,'10   Loader'!$I18,'9   Trucks'!$E21/Productivity!Z21)</f>
        <v>176.69237857142861</v>
      </c>
      <c r="AA21" s="289">
        <f>IF('9   Trucks'!$E21/Productivity!AA21&lt;'10   Loader'!$I18,'10   Loader'!$I18,'9   Trucks'!$E21/Productivity!AA21)</f>
        <v>176.69237857142861</v>
      </c>
      <c r="AB21" s="289">
        <f>IF('9   Trucks'!$E21/Productivity!AB21&lt;'10   Loader'!$I18,'10   Loader'!$I18,'9   Trucks'!$E21/Productivity!AB21)</f>
        <v>176.69237857142861</v>
      </c>
    </row>
    <row r="22" spans="1:28" ht="13.5" customHeight="1" x14ac:dyDescent="0.2">
      <c r="A22" s="279" t="str">
        <f>Productivity!A22</f>
        <v>Haul cover soil</v>
      </c>
      <c r="B22" s="279" t="str">
        <f>Productivity!B22</f>
        <v>NOBS</v>
      </c>
      <c r="C22" s="279" t="str">
        <f>Productivity!C22</f>
        <v>MTI  Outslope</v>
      </c>
      <c r="D22" s="279" t="str">
        <f>Productivity!D22</f>
        <v>777F</v>
      </c>
      <c r="E22" s="289">
        <f>IF('9   Trucks'!$E22/Productivity!E22&lt;'10   Loader'!$I19,'10   Loader'!$I19,'9   Trucks'!$E22/Productivity!E22)</f>
        <v>305.35754366400602</v>
      </c>
      <c r="F22" s="289">
        <f>IF('9   Trucks'!$E22/Productivity!F22&lt;'10   Loader'!$I19,'10   Loader'!$I19,'9   Trucks'!$E22/Productivity!F22)</f>
        <v>203.57169577600399</v>
      </c>
      <c r="G22" s="289">
        <f>IF('9   Trucks'!$E22/Productivity!G22&lt;'10   Loader'!$I19,'10   Loader'!$I19,'9   Trucks'!$E22/Productivity!G22)</f>
        <v>163.2774</v>
      </c>
      <c r="H22" s="289">
        <f>IF('9   Trucks'!$E22/Productivity!H22&lt;'10   Loader'!$I19,'10   Loader'!$I19,'9   Trucks'!$E22/Productivity!H22)</f>
        <v>163.2774</v>
      </c>
      <c r="I22" s="289">
        <f>IF('9   Trucks'!$E22/Productivity!I22&lt;'10   Loader'!$I19,'10   Loader'!$I19,'9   Trucks'!$E22/Productivity!I22)</f>
        <v>163.2774</v>
      </c>
      <c r="J22" s="289">
        <f>IF('9   Trucks'!$E22/Productivity!J22&lt;'10   Loader'!$I19,'10   Loader'!$I19,'9   Trucks'!$E22/Productivity!J22)</f>
        <v>163.2774</v>
      </c>
      <c r="K22" s="289">
        <f>IF('9   Trucks'!$E22/Productivity!K22&lt;'10   Loader'!$I19,'10   Loader'!$I19,'9   Trucks'!$E22/Productivity!K22)</f>
        <v>163.2774</v>
      </c>
      <c r="L22" s="289">
        <f>IF('9   Trucks'!$E22/Productivity!L22&lt;'10   Loader'!$I19,'10   Loader'!$I19,'9   Trucks'!$E22/Productivity!L22)</f>
        <v>163.2774</v>
      </c>
      <c r="M22" s="289">
        <f>IF('9   Trucks'!$E22/Productivity!M22&lt;'10   Loader'!$I19,'10   Loader'!$I19,'9   Trucks'!$E22/Productivity!M22)</f>
        <v>163.2774</v>
      </c>
      <c r="N22" s="289">
        <f>IF('9   Trucks'!$E22/Productivity!N22&lt;'10   Loader'!$I19,'10   Loader'!$I19,'9   Trucks'!$E22/Productivity!N22)</f>
        <v>163.2774</v>
      </c>
      <c r="O22" s="289">
        <f>IF('9   Trucks'!$E22/Productivity!O22&lt;'10   Loader'!$I19,'10   Loader'!$I19,'9   Trucks'!$E22/Productivity!O22)</f>
        <v>163.2774</v>
      </c>
      <c r="P22" s="289">
        <f>IF('9   Trucks'!$E22/Productivity!P22&lt;'10   Loader'!$I19,'10   Loader'!$I19,'9   Trucks'!$E22/Productivity!P22)</f>
        <v>163.2774</v>
      </c>
      <c r="Q22" s="289">
        <f>IF('9   Trucks'!$E22/Productivity!Q22&lt;'10   Loader'!$I19,'10   Loader'!$I19,'9   Trucks'!$E22/Productivity!Q22)</f>
        <v>163.2774</v>
      </c>
      <c r="R22" s="289">
        <f>IF('9   Trucks'!$E22/Productivity!R22&lt;'10   Loader'!$I19,'10   Loader'!$I19,'9   Trucks'!$E22/Productivity!R22)</f>
        <v>163.2774</v>
      </c>
      <c r="S22" s="289">
        <f>IF('9   Trucks'!$E22/Productivity!S22&lt;'10   Loader'!$I19,'10   Loader'!$I19,'9   Trucks'!$E22/Productivity!S22)</f>
        <v>163.2774</v>
      </c>
      <c r="T22" s="289">
        <f>IF('9   Trucks'!$E22/Productivity!T22&lt;'10   Loader'!$I19,'10   Loader'!$I19,'9   Trucks'!$E22/Productivity!T22)</f>
        <v>163.2774</v>
      </c>
      <c r="U22" s="289">
        <f>IF('9   Trucks'!$E22/Productivity!U22&lt;'10   Loader'!$I19,'10   Loader'!$I19,'9   Trucks'!$E22/Productivity!U22)</f>
        <v>163.2774</v>
      </c>
      <c r="V22" s="289">
        <f>IF('9   Trucks'!$E22/Productivity!V22&lt;'10   Loader'!$I19,'10   Loader'!$I19,'9   Trucks'!$E22/Productivity!V22)</f>
        <v>163.2774</v>
      </c>
      <c r="W22" s="289">
        <f>IF('9   Trucks'!$E22/Productivity!W22&lt;'10   Loader'!$I19,'10   Loader'!$I19,'9   Trucks'!$E22/Productivity!W22)</f>
        <v>163.2774</v>
      </c>
      <c r="X22" s="289">
        <f>IF('9   Trucks'!$E22/Productivity!X22&lt;'10   Loader'!$I19,'10   Loader'!$I19,'9   Trucks'!$E22/Productivity!X22)</f>
        <v>163.2774</v>
      </c>
      <c r="Y22" s="289">
        <f>IF('9   Trucks'!$E22/Productivity!Y22&lt;'10   Loader'!$I19,'10   Loader'!$I19,'9   Trucks'!$E22/Productivity!Y22)</f>
        <v>163.2774</v>
      </c>
      <c r="Z22" s="289">
        <f>IF('9   Trucks'!$E22/Productivity!Z22&lt;'10   Loader'!$I19,'10   Loader'!$I19,'9   Trucks'!$E22/Productivity!Z22)</f>
        <v>163.2774</v>
      </c>
      <c r="AA22" s="289">
        <f>IF('9   Trucks'!$E22/Productivity!AA22&lt;'10   Loader'!$I19,'10   Loader'!$I19,'9   Trucks'!$E22/Productivity!AA22)</f>
        <v>163.2774</v>
      </c>
      <c r="AB22" s="289">
        <f>IF('9   Trucks'!$E22/Productivity!AB22&lt;'10   Loader'!$I19,'10   Loader'!$I19,'9   Trucks'!$E22/Productivity!AB22)</f>
        <v>163.2774</v>
      </c>
    </row>
    <row r="23" spans="1:28" ht="13.5" customHeight="1" x14ac:dyDescent="0.2">
      <c r="A23" s="279" t="str">
        <f>Productivity!A23</f>
        <v>Haul cover soil</v>
      </c>
      <c r="B23" s="279" t="str">
        <f>Productivity!B23</f>
        <v>Reclaim Pond Outlet Channel</v>
      </c>
      <c r="C23" s="279" t="str">
        <f>Productivity!C23</f>
        <v>MTI  Top</v>
      </c>
      <c r="D23" s="279" t="str">
        <f>Productivity!D23</f>
        <v>777F</v>
      </c>
      <c r="E23" s="289">
        <f>IF('9   Trucks'!$E23/Productivity!E23&lt;'10   Loader'!$I20,'10   Loader'!$I20,'9   Trucks'!$E23/Productivity!E23)</f>
        <v>66.448478571428566</v>
      </c>
      <c r="F23" s="289">
        <f>IF('9   Trucks'!$E23/Productivity!F23&lt;'10   Loader'!$I20,'10   Loader'!$I20,'9   Trucks'!$E23/Productivity!F23)</f>
        <v>66.448478571428566</v>
      </c>
      <c r="G23" s="289">
        <f>IF('9   Trucks'!$E23/Productivity!G23&lt;'10   Loader'!$I20,'10   Loader'!$I20,'9   Trucks'!$E23/Productivity!G23)</f>
        <v>66.448478571428566</v>
      </c>
      <c r="H23" s="289">
        <f>IF('9   Trucks'!$E23/Productivity!H23&lt;'10   Loader'!$I20,'10   Loader'!$I20,'9   Trucks'!$E23/Productivity!H23)</f>
        <v>66.448478571428566</v>
      </c>
      <c r="I23" s="289">
        <f>IF('9   Trucks'!$E23/Productivity!I23&lt;'10   Loader'!$I20,'10   Loader'!$I20,'9   Trucks'!$E23/Productivity!I23)</f>
        <v>66.448478571428566</v>
      </c>
      <c r="J23" s="289">
        <f>IF('9   Trucks'!$E23/Productivity!J23&lt;'10   Loader'!$I20,'10   Loader'!$I20,'9   Trucks'!$E23/Productivity!J23)</f>
        <v>66.448478571428566</v>
      </c>
      <c r="K23" s="289">
        <f>IF('9   Trucks'!$E23/Productivity!K23&lt;'10   Loader'!$I20,'10   Loader'!$I20,'9   Trucks'!$E23/Productivity!K23)</f>
        <v>66.448478571428566</v>
      </c>
      <c r="L23" s="289">
        <f>IF('9   Trucks'!$E23/Productivity!L23&lt;'10   Loader'!$I20,'10   Loader'!$I20,'9   Trucks'!$E23/Productivity!L23)</f>
        <v>66.448478571428566</v>
      </c>
      <c r="M23" s="289">
        <f>IF('9   Trucks'!$E23/Productivity!M23&lt;'10   Loader'!$I20,'10   Loader'!$I20,'9   Trucks'!$E23/Productivity!M23)</f>
        <v>66.448478571428566</v>
      </c>
      <c r="N23" s="289">
        <f>IF('9   Trucks'!$E23/Productivity!N23&lt;'10   Loader'!$I20,'10   Loader'!$I20,'9   Trucks'!$E23/Productivity!N23)</f>
        <v>66.448478571428566</v>
      </c>
      <c r="O23" s="289">
        <f>IF('9   Trucks'!$E23/Productivity!O23&lt;'10   Loader'!$I20,'10   Loader'!$I20,'9   Trucks'!$E23/Productivity!O23)</f>
        <v>66.448478571428566</v>
      </c>
      <c r="P23" s="289">
        <f>IF('9   Trucks'!$E23/Productivity!P23&lt;'10   Loader'!$I20,'10   Loader'!$I20,'9   Trucks'!$E23/Productivity!P23)</f>
        <v>66.448478571428566</v>
      </c>
      <c r="Q23" s="289">
        <f>IF('9   Trucks'!$E23/Productivity!Q23&lt;'10   Loader'!$I20,'10   Loader'!$I20,'9   Trucks'!$E23/Productivity!Q23)</f>
        <v>66.448478571428566</v>
      </c>
      <c r="R23" s="289">
        <f>IF('9   Trucks'!$E23/Productivity!R23&lt;'10   Loader'!$I20,'10   Loader'!$I20,'9   Trucks'!$E23/Productivity!R23)</f>
        <v>66.448478571428566</v>
      </c>
      <c r="S23" s="289">
        <f>IF('9   Trucks'!$E23/Productivity!S23&lt;'10   Loader'!$I20,'10   Loader'!$I20,'9   Trucks'!$E23/Productivity!S23)</f>
        <v>66.448478571428566</v>
      </c>
      <c r="T23" s="289">
        <f>IF('9   Trucks'!$E23/Productivity!T23&lt;'10   Loader'!$I20,'10   Loader'!$I20,'9   Trucks'!$E23/Productivity!T23)</f>
        <v>66.448478571428566</v>
      </c>
      <c r="U23" s="289">
        <f>IF('9   Trucks'!$E23/Productivity!U23&lt;'10   Loader'!$I20,'10   Loader'!$I20,'9   Trucks'!$E23/Productivity!U23)</f>
        <v>66.448478571428566</v>
      </c>
      <c r="V23" s="289">
        <f>IF('9   Trucks'!$E23/Productivity!V23&lt;'10   Loader'!$I20,'10   Loader'!$I20,'9   Trucks'!$E23/Productivity!V23)</f>
        <v>66.448478571428566</v>
      </c>
      <c r="W23" s="289">
        <f>IF('9   Trucks'!$E23/Productivity!W23&lt;'10   Loader'!$I20,'10   Loader'!$I20,'9   Trucks'!$E23/Productivity!W23)</f>
        <v>66.448478571428566</v>
      </c>
      <c r="X23" s="289">
        <f>IF('9   Trucks'!$E23/Productivity!X23&lt;'10   Loader'!$I20,'10   Loader'!$I20,'9   Trucks'!$E23/Productivity!X23)</f>
        <v>66.448478571428566</v>
      </c>
      <c r="Y23" s="289">
        <f>IF('9   Trucks'!$E23/Productivity!Y23&lt;'10   Loader'!$I20,'10   Loader'!$I20,'9   Trucks'!$E23/Productivity!Y23)</f>
        <v>66.448478571428566</v>
      </c>
      <c r="Z23" s="289">
        <f>IF('9   Trucks'!$E23/Productivity!Z23&lt;'10   Loader'!$I20,'10   Loader'!$I20,'9   Trucks'!$E23/Productivity!Z23)</f>
        <v>66.448478571428566</v>
      </c>
      <c r="AA23" s="289">
        <f>IF('9   Trucks'!$E23/Productivity!AA23&lt;'10   Loader'!$I20,'10   Loader'!$I20,'9   Trucks'!$E23/Productivity!AA23)</f>
        <v>66.448478571428566</v>
      </c>
      <c r="AB23" s="289">
        <f>IF('9   Trucks'!$E23/Productivity!AB23&lt;'10   Loader'!$I20,'10   Loader'!$I20,'9   Trucks'!$E23/Productivity!AB23)</f>
        <v>66.448478571428566</v>
      </c>
    </row>
    <row r="24" spans="1:28" ht="13.5" customHeight="1" x14ac:dyDescent="0.2">
      <c r="A24" s="279" t="str">
        <f>Productivity!A24</f>
        <v>Haul cover soil</v>
      </c>
      <c r="B24" s="279" t="str">
        <f>Productivity!B24</f>
        <v>NOBS</v>
      </c>
      <c r="C24" s="279" t="str">
        <f>Productivity!C24</f>
        <v>Tailing Pipeline Corridor</v>
      </c>
      <c r="D24" s="279" t="str">
        <f>Productivity!D24</f>
        <v>777F</v>
      </c>
      <c r="E24" s="289">
        <f>IF('9   Trucks'!$E24/Productivity!E24&lt;'10   Loader'!$I21,'10   Loader'!$I21,'9   Trucks'!$E24/Productivity!E24)</f>
        <v>12.153784974900983</v>
      </c>
      <c r="F24" s="289">
        <f>IF('9   Trucks'!$E24/Productivity!F24&lt;'10   Loader'!$I21,'10   Loader'!$I21,'9   Trucks'!$E24/Productivity!F24)</f>
        <v>8.1025233166006547</v>
      </c>
      <c r="G24" s="289">
        <f>IF('9   Trucks'!$E24/Productivity!G24&lt;'10   Loader'!$I21,'10   Loader'!$I21,'9   Trucks'!$E24/Productivity!G24)</f>
        <v>6.4987371428571432</v>
      </c>
      <c r="H24" s="289">
        <f>IF('9   Trucks'!$E24/Productivity!H24&lt;'10   Loader'!$I21,'10   Loader'!$I21,'9   Trucks'!$E24/Productivity!H24)</f>
        <v>6.4987371428571432</v>
      </c>
      <c r="I24" s="289">
        <f>IF('9   Trucks'!$E24/Productivity!I24&lt;'10   Loader'!$I21,'10   Loader'!$I21,'9   Trucks'!$E24/Productivity!I24)</f>
        <v>6.4987371428571432</v>
      </c>
      <c r="J24" s="289">
        <f>IF('9   Trucks'!$E24/Productivity!J24&lt;'10   Loader'!$I21,'10   Loader'!$I21,'9   Trucks'!$E24/Productivity!J24)</f>
        <v>6.4987371428571432</v>
      </c>
      <c r="K24" s="289">
        <f>IF('9   Trucks'!$E24/Productivity!K24&lt;'10   Loader'!$I21,'10   Loader'!$I21,'9   Trucks'!$E24/Productivity!K24)</f>
        <v>6.4987371428571432</v>
      </c>
      <c r="L24" s="289">
        <f>IF('9   Trucks'!$E24/Productivity!L24&lt;'10   Loader'!$I21,'10   Loader'!$I21,'9   Trucks'!$E24/Productivity!L24)</f>
        <v>6.4987371428571432</v>
      </c>
      <c r="M24" s="289">
        <f>IF('9   Trucks'!$E24/Productivity!M24&lt;'10   Loader'!$I21,'10   Loader'!$I21,'9   Trucks'!$E24/Productivity!M24)</f>
        <v>6.4987371428571432</v>
      </c>
      <c r="N24" s="289">
        <f>IF('9   Trucks'!$E24/Productivity!N24&lt;'10   Loader'!$I21,'10   Loader'!$I21,'9   Trucks'!$E24/Productivity!N24)</f>
        <v>6.4987371428571432</v>
      </c>
      <c r="O24" s="289">
        <f>IF('9   Trucks'!$E24/Productivity!O24&lt;'10   Loader'!$I21,'10   Loader'!$I21,'9   Trucks'!$E24/Productivity!O24)</f>
        <v>6.4987371428571432</v>
      </c>
      <c r="P24" s="289">
        <f>IF('9   Trucks'!$E24/Productivity!P24&lt;'10   Loader'!$I21,'10   Loader'!$I21,'9   Trucks'!$E24/Productivity!P24)</f>
        <v>6.4987371428571432</v>
      </c>
      <c r="Q24" s="289">
        <f>IF('9   Trucks'!$E24/Productivity!Q24&lt;'10   Loader'!$I21,'10   Loader'!$I21,'9   Trucks'!$E24/Productivity!Q24)</f>
        <v>6.4987371428571432</v>
      </c>
      <c r="R24" s="289">
        <f>IF('9   Trucks'!$E24/Productivity!R24&lt;'10   Loader'!$I21,'10   Loader'!$I21,'9   Trucks'!$E24/Productivity!R24)</f>
        <v>6.4987371428571432</v>
      </c>
      <c r="S24" s="289">
        <f>IF('9   Trucks'!$E24/Productivity!S24&lt;'10   Loader'!$I21,'10   Loader'!$I21,'9   Trucks'!$E24/Productivity!S24)</f>
        <v>6.4987371428571432</v>
      </c>
      <c r="T24" s="289">
        <f>IF('9   Trucks'!$E24/Productivity!T24&lt;'10   Loader'!$I21,'10   Loader'!$I21,'9   Trucks'!$E24/Productivity!T24)</f>
        <v>6.4987371428571432</v>
      </c>
      <c r="U24" s="289">
        <f>IF('9   Trucks'!$E24/Productivity!U24&lt;'10   Loader'!$I21,'10   Loader'!$I21,'9   Trucks'!$E24/Productivity!U24)</f>
        <v>6.4987371428571432</v>
      </c>
      <c r="V24" s="289">
        <f>IF('9   Trucks'!$E24/Productivity!V24&lt;'10   Loader'!$I21,'10   Loader'!$I21,'9   Trucks'!$E24/Productivity!V24)</f>
        <v>6.4987371428571432</v>
      </c>
      <c r="W24" s="289">
        <f>IF('9   Trucks'!$E24/Productivity!W24&lt;'10   Loader'!$I21,'10   Loader'!$I21,'9   Trucks'!$E24/Productivity!W24)</f>
        <v>6.4987371428571432</v>
      </c>
      <c r="X24" s="289">
        <f>IF('9   Trucks'!$E24/Productivity!X24&lt;'10   Loader'!$I21,'10   Loader'!$I21,'9   Trucks'!$E24/Productivity!X24)</f>
        <v>6.4987371428571432</v>
      </c>
      <c r="Y24" s="289">
        <f>IF('9   Trucks'!$E24/Productivity!Y24&lt;'10   Loader'!$I21,'10   Loader'!$I21,'9   Trucks'!$E24/Productivity!Y24)</f>
        <v>6.4987371428571432</v>
      </c>
      <c r="Z24" s="289">
        <f>IF('9   Trucks'!$E24/Productivity!Z24&lt;'10   Loader'!$I21,'10   Loader'!$I21,'9   Trucks'!$E24/Productivity!Z24)</f>
        <v>6.4987371428571432</v>
      </c>
      <c r="AA24" s="289">
        <f>IF('9   Trucks'!$E24/Productivity!AA24&lt;'10   Loader'!$I21,'10   Loader'!$I21,'9   Trucks'!$E24/Productivity!AA24)</f>
        <v>6.4987371428571432</v>
      </c>
      <c r="AB24" s="289">
        <f>IF('9   Trucks'!$E24/Productivity!AB24&lt;'10   Loader'!$I21,'10   Loader'!$I21,'9   Trucks'!$E24/Productivity!AB24)</f>
        <v>6.4987371428571432</v>
      </c>
    </row>
    <row r="25" spans="1:28" x14ac:dyDescent="0.2">
      <c r="A25" s="279" t="str">
        <f>Productivity!A25</f>
        <v>Haul cover soil</v>
      </c>
      <c r="B25" s="279" t="str">
        <f>Productivity!B25</f>
        <v>NOBS</v>
      </c>
      <c r="C25" s="279" t="str">
        <f>Productivity!C25</f>
        <v>Grape Gulch Pond #3</v>
      </c>
      <c r="D25" s="279" t="str">
        <f>Productivity!D25</f>
        <v>777F</v>
      </c>
      <c r="E25" s="289">
        <f>IF('9   Trucks'!$E25/Productivity!E25&lt;'10   Loader'!$I22,'10   Loader'!$I22,'9   Trucks'!$E25/Productivity!E25)</f>
        <v>2.2864787555903594</v>
      </c>
      <c r="F25" s="289">
        <f>IF('9   Trucks'!$E25/Productivity!F25&lt;'10   Loader'!$I22,'10   Loader'!$I22,'9   Trucks'!$E25/Productivity!F25)</f>
        <v>1.7078285714285713</v>
      </c>
      <c r="G25" s="289">
        <f>IF('9   Trucks'!$E25/Productivity!G25&lt;'10   Loader'!$I22,'10   Loader'!$I22,'9   Trucks'!$E25/Productivity!G25)</f>
        <v>1.7078285714285713</v>
      </c>
      <c r="H25" s="289">
        <f>IF('9   Trucks'!$E25/Productivity!H25&lt;'10   Loader'!$I22,'10   Loader'!$I22,'9   Trucks'!$E25/Productivity!H25)</f>
        <v>1.7078285714285713</v>
      </c>
      <c r="I25" s="289">
        <f>IF('9   Trucks'!$E25/Productivity!I25&lt;'10   Loader'!$I22,'10   Loader'!$I22,'9   Trucks'!$E25/Productivity!I25)</f>
        <v>1.7078285714285713</v>
      </c>
      <c r="J25" s="289">
        <f>IF('9   Trucks'!$E25/Productivity!J25&lt;'10   Loader'!$I22,'10   Loader'!$I22,'9   Trucks'!$E25/Productivity!J25)</f>
        <v>1.7078285714285713</v>
      </c>
      <c r="K25" s="289">
        <f>IF('9   Trucks'!$E25/Productivity!K25&lt;'10   Loader'!$I22,'10   Loader'!$I22,'9   Trucks'!$E25/Productivity!K25)</f>
        <v>1.7078285714285713</v>
      </c>
      <c r="L25" s="289">
        <f>IF('9   Trucks'!$E25/Productivity!L25&lt;'10   Loader'!$I22,'10   Loader'!$I22,'9   Trucks'!$E25/Productivity!L25)</f>
        <v>1.7078285714285713</v>
      </c>
      <c r="M25" s="289">
        <f>IF('9   Trucks'!$E25/Productivity!M25&lt;'10   Loader'!$I22,'10   Loader'!$I22,'9   Trucks'!$E25/Productivity!M25)</f>
        <v>1.7078285714285713</v>
      </c>
      <c r="N25" s="289">
        <f>IF('9   Trucks'!$E25/Productivity!N25&lt;'10   Loader'!$I22,'10   Loader'!$I22,'9   Trucks'!$E25/Productivity!N25)</f>
        <v>1.7078285714285713</v>
      </c>
      <c r="O25" s="289">
        <f>IF('9   Trucks'!$E25/Productivity!O25&lt;'10   Loader'!$I22,'10   Loader'!$I22,'9   Trucks'!$E25/Productivity!O25)</f>
        <v>1.7078285714285713</v>
      </c>
      <c r="P25" s="289">
        <f>IF('9   Trucks'!$E25/Productivity!P25&lt;'10   Loader'!$I22,'10   Loader'!$I22,'9   Trucks'!$E25/Productivity!P25)</f>
        <v>1.7078285714285713</v>
      </c>
      <c r="Q25" s="289">
        <f>IF('9   Trucks'!$E25/Productivity!Q25&lt;'10   Loader'!$I22,'10   Loader'!$I22,'9   Trucks'!$E25/Productivity!Q25)</f>
        <v>1.7078285714285713</v>
      </c>
      <c r="R25" s="289">
        <f>IF('9   Trucks'!$E25/Productivity!R25&lt;'10   Loader'!$I22,'10   Loader'!$I22,'9   Trucks'!$E25/Productivity!R25)</f>
        <v>1.7078285714285713</v>
      </c>
      <c r="S25" s="289">
        <f>IF('9   Trucks'!$E25/Productivity!S25&lt;'10   Loader'!$I22,'10   Loader'!$I22,'9   Trucks'!$E25/Productivity!S25)</f>
        <v>1.7078285714285713</v>
      </c>
      <c r="T25" s="289">
        <f>IF('9   Trucks'!$E25/Productivity!T25&lt;'10   Loader'!$I22,'10   Loader'!$I22,'9   Trucks'!$E25/Productivity!T25)</f>
        <v>1.7078285714285713</v>
      </c>
      <c r="U25" s="289">
        <f>IF('9   Trucks'!$E25/Productivity!U25&lt;'10   Loader'!$I22,'10   Loader'!$I22,'9   Trucks'!$E25/Productivity!U25)</f>
        <v>1.7078285714285713</v>
      </c>
      <c r="V25" s="289">
        <f>IF('9   Trucks'!$E25/Productivity!V25&lt;'10   Loader'!$I22,'10   Loader'!$I22,'9   Trucks'!$E25/Productivity!V25)</f>
        <v>1.7078285714285713</v>
      </c>
      <c r="W25" s="289">
        <f>IF('9   Trucks'!$E25/Productivity!W25&lt;'10   Loader'!$I22,'10   Loader'!$I22,'9   Trucks'!$E25/Productivity!W25)</f>
        <v>1.7078285714285713</v>
      </c>
      <c r="X25" s="289">
        <f>IF('9   Trucks'!$E25/Productivity!X25&lt;'10   Loader'!$I22,'10   Loader'!$I22,'9   Trucks'!$E25/Productivity!X25)</f>
        <v>1.7078285714285713</v>
      </c>
      <c r="Y25" s="289">
        <f>IF('9   Trucks'!$E25/Productivity!Y25&lt;'10   Loader'!$I22,'10   Loader'!$I22,'9   Trucks'!$E25/Productivity!Y25)</f>
        <v>1.7078285714285713</v>
      </c>
      <c r="Z25" s="289">
        <f>IF('9   Trucks'!$E25/Productivity!Z25&lt;'10   Loader'!$I22,'10   Loader'!$I22,'9   Trucks'!$E25/Productivity!Z25)</f>
        <v>1.7078285714285713</v>
      </c>
      <c r="AA25" s="289">
        <f>IF('9   Trucks'!$E25/Productivity!AA25&lt;'10   Loader'!$I22,'10   Loader'!$I22,'9   Trucks'!$E25/Productivity!AA25)</f>
        <v>1.7078285714285713</v>
      </c>
      <c r="AB25" s="289">
        <f>IF('9   Trucks'!$E25/Productivity!AB25&lt;'10   Loader'!$I22,'10   Loader'!$I22,'9   Trucks'!$E25/Productivity!AB25)</f>
        <v>1.7078285714285713</v>
      </c>
    </row>
    <row r="26" spans="1:28" x14ac:dyDescent="0.2">
      <c r="A26" s="279" t="str">
        <f>Productivity!A26</f>
        <v>Haul cover soil</v>
      </c>
      <c r="B26" s="279" t="str">
        <f>Productivity!B26</f>
        <v>NOBS</v>
      </c>
      <c r="C26" s="279" t="str">
        <f>Productivity!C26</f>
        <v>Magnetite Seepage Pond</v>
      </c>
      <c r="D26" s="279" t="str">
        <f>Productivity!D26</f>
        <v>777F</v>
      </c>
      <c r="E26" s="289">
        <f>IF('9   Trucks'!$E26/Productivity!E26&lt;'10   Loader'!$I23,'10   Loader'!$I23,'9   Trucks'!$E26/Productivity!E26)</f>
        <v>1.4403612606551763</v>
      </c>
      <c r="F26" s="289">
        <f>IF('9   Trucks'!$E26/Productivity!F26&lt;'10   Loader'!$I23,'10   Loader'!$I23,'9   Trucks'!$E26/Productivity!F26)</f>
        <v>0.96024084043678426</v>
      </c>
      <c r="G26" s="289">
        <f>IF('9   Trucks'!$E26/Productivity!G26&lt;'10   Loader'!$I23,'10   Loader'!$I23,'9   Trucks'!$E26/Productivity!G26)</f>
        <v>0.89885714285714291</v>
      </c>
      <c r="H26" s="289">
        <f>IF('9   Trucks'!$E26/Productivity!H26&lt;'10   Loader'!$I23,'10   Loader'!$I23,'9   Trucks'!$E26/Productivity!H26)</f>
        <v>0.89885714285714291</v>
      </c>
      <c r="I26" s="289">
        <f>IF('9   Trucks'!$E26/Productivity!I26&lt;'10   Loader'!$I23,'10   Loader'!$I23,'9   Trucks'!$E26/Productivity!I26)</f>
        <v>0.89885714285714291</v>
      </c>
      <c r="J26" s="289">
        <f>IF('9   Trucks'!$E26/Productivity!J26&lt;'10   Loader'!$I23,'10   Loader'!$I23,'9   Trucks'!$E26/Productivity!J26)</f>
        <v>0.89885714285714291</v>
      </c>
      <c r="K26" s="289">
        <f>IF('9   Trucks'!$E26/Productivity!K26&lt;'10   Loader'!$I23,'10   Loader'!$I23,'9   Trucks'!$E26/Productivity!K26)</f>
        <v>0.89885714285714291</v>
      </c>
      <c r="L26" s="289">
        <f>IF('9   Trucks'!$E26/Productivity!L26&lt;'10   Loader'!$I23,'10   Loader'!$I23,'9   Trucks'!$E26/Productivity!L26)</f>
        <v>0.89885714285714291</v>
      </c>
      <c r="M26" s="289">
        <f>IF('9   Trucks'!$E26/Productivity!M26&lt;'10   Loader'!$I23,'10   Loader'!$I23,'9   Trucks'!$E26/Productivity!M26)</f>
        <v>0.89885714285714291</v>
      </c>
      <c r="N26" s="289">
        <f>IF('9   Trucks'!$E26/Productivity!N26&lt;'10   Loader'!$I23,'10   Loader'!$I23,'9   Trucks'!$E26/Productivity!N26)</f>
        <v>0.89885714285714291</v>
      </c>
      <c r="O26" s="289">
        <f>IF('9   Trucks'!$E26/Productivity!O26&lt;'10   Loader'!$I23,'10   Loader'!$I23,'9   Trucks'!$E26/Productivity!O26)</f>
        <v>0.89885714285714291</v>
      </c>
      <c r="P26" s="289">
        <f>IF('9   Trucks'!$E26/Productivity!P26&lt;'10   Loader'!$I23,'10   Loader'!$I23,'9   Trucks'!$E26/Productivity!P26)</f>
        <v>0.89885714285714291</v>
      </c>
      <c r="Q26" s="289">
        <f>IF('9   Trucks'!$E26/Productivity!Q26&lt;'10   Loader'!$I23,'10   Loader'!$I23,'9   Trucks'!$E26/Productivity!Q26)</f>
        <v>0.89885714285714291</v>
      </c>
      <c r="R26" s="289">
        <f>IF('9   Trucks'!$E26/Productivity!R26&lt;'10   Loader'!$I23,'10   Loader'!$I23,'9   Trucks'!$E26/Productivity!R26)</f>
        <v>0.89885714285714291</v>
      </c>
      <c r="S26" s="289">
        <f>IF('9   Trucks'!$E26/Productivity!S26&lt;'10   Loader'!$I23,'10   Loader'!$I23,'9   Trucks'!$E26/Productivity!S26)</f>
        <v>0.89885714285714291</v>
      </c>
      <c r="T26" s="289">
        <f>IF('9   Trucks'!$E26/Productivity!T26&lt;'10   Loader'!$I23,'10   Loader'!$I23,'9   Trucks'!$E26/Productivity!T26)</f>
        <v>0.89885714285714291</v>
      </c>
      <c r="U26" s="289">
        <f>IF('9   Trucks'!$E26/Productivity!U26&lt;'10   Loader'!$I23,'10   Loader'!$I23,'9   Trucks'!$E26/Productivity!U26)</f>
        <v>0.89885714285714291</v>
      </c>
      <c r="V26" s="289">
        <f>IF('9   Trucks'!$E26/Productivity!V26&lt;'10   Loader'!$I23,'10   Loader'!$I23,'9   Trucks'!$E26/Productivity!V26)</f>
        <v>0.89885714285714291</v>
      </c>
      <c r="W26" s="289">
        <f>IF('9   Trucks'!$E26/Productivity!W26&lt;'10   Loader'!$I23,'10   Loader'!$I23,'9   Trucks'!$E26/Productivity!W26)</f>
        <v>0.89885714285714291</v>
      </c>
      <c r="X26" s="289">
        <f>IF('9   Trucks'!$E26/Productivity!X26&lt;'10   Loader'!$I23,'10   Loader'!$I23,'9   Trucks'!$E26/Productivity!X26)</f>
        <v>0.89885714285714291</v>
      </c>
      <c r="Y26" s="289">
        <f>IF('9   Trucks'!$E26/Productivity!Y26&lt;'10   Loader'!$I23,'10   Loader'!$I23,'9   Trucks'!$E26/Productivity!Y26)</f>
        <v>0.89885714285714291</v>
      </c>
      <c r="Z26" s="289">
        <f>IF('9   Trucks'!$E26/Productivity!Z26&lt;'10   Loader'!$I23,'10   Loader'!$I23,'9   Trucks'!$E26/Productivity!Z26)</f>
        <v>0.89885714285714291</v>
      </c>
      <c r="AA26" s="289">
        <f>IF('9   Trucks'!$E26/Productivity!AA26&lt;'10   Loader'!$I23,'10   Loader'!$I23,'9   Trucks'!$E26/Productivity!AA26)</f>
        <v>0.89885714285714291</v>
      </c>
      <c r="AB26" s="289">
        <f>IF('9   Trucks'!$E26/Productivity!AB26&lt;'10   Loader'!$I23,'10   Loader'!$I23,'9   Trucks'!$E26/Productivity!AB26)</f>
        <v>0.89885714285714291</v>
      </c>
    </row>
    <row r="27" spans="1:28" x14ac:dyDescent="0.2">
      <c r="A27" s="279" t="str">
        <f>Productivity!A27</f>
        <v>Haul cover soil</v>
      </c>
      <c r="B27" s="279" t="str">
        <f>Productivity!B27</f>
        <v>OB Stockpile 1 through 3, Topsoil Stockpile, South OB Stockpile</v>
      </c>
      <c r="C27" s="279" t="str">
        <f>Productivity!C27</f>
        <v>SWRF Dam 1</v>
      </c>
      <c r="D27" s="279" t="str">
        <f>Productivity!D27</f>
        <v>777F</v>
      </c>
      <c r="E27" s="289">
        <f>IF('9   Trucks'!$E27/Productivity!E27&lt;'10   Loader'!$I24,'10   Loader'!$I24,'9   Trucks'!$E27/Productivity!E27)</f>
        <v>2.6841994968158751</v>
      </c>
      <c r="F27" s="289">
        <f>IF('9   Trucks'!$E27/Productivity!F27&lt;'10   Loader'!$I24,'10   Loader'!$I24,'9   Trucks'!$E27/Productivity!F27)</f>
        <v>2.3370285714285712</v>
      </c>
      <c r="G27" s="289">
        <f>IF('9   Trucks'!$E27/Productivity!G27&lt;'10   Loader'!$I24,'10   Loader'!$I24,'9   Trucks'!$E27/Productivity!G27)</f>
        <v>2.3370285714285712</v>
      </c>
      <c r="H27" s="289">
        <f>IF('9   Trucks'!$E27/Productivity!H27&lt;'10   Loader'!$I24,'10   Loader'!$I24,'9   Trucks'!$E27/Productivity!H27)</f>
        <v>2.3370285714285712</v>
      </c>
      <c r="I27" s="289">
        <f>IF('9   Trucks'!$E27/Productivity!I27&lt;'10   Loader'!$I24,'10   Loader'!$I24,'9   Trucks'!$E27/Productivity!I27)</f>
        <v>2.3370285714285712</v>
      </c>
      <c r="J27" s="289">
        <f>IF('9   Trucks'!$E27/Productivity!J27&lt;'10   Loader'!$I24,'10   Loader'!$I24,'9   Trucks'!$E27/Productivity!J27)</f>
        <v>2.3370285714285712</v>
      </c>
      <c r="K27" s="289">
        <f>IF('9   Trucks'!$E27/Productivity!K27&lt;'10   Loader'!$I24,'10   Loader'!$I24,'9   Trucks'!$E27/Productivity!K27)</f>
        <v>2.3370285714285712</v>
      </c>
      <c r="L27" s="289">
        <f>IF('9   Trucks'!$E27/Productivity!L27&lt;'10   Loader'!$I24,'10   Loader'!$I24,'9   Trucks'!$E27/Productivity!L27)</f>
        <v>2.3370285714285712</v>
      </c>
      <c r="M27" s="289">
        <f>IF('9   Trucks'!$E27/Productivity!M27&lt;'10   Loader'!$I24,'10   Loader'!$I24,'9   Trucks'!$E27/Productivity!M27)</f>
        <v>2.3370285714285712</v>
      </c>
      <c r="N27" s="289">
        <f>IF('9   Trucks'!$E27/Productivity!N27&lt;'10   Loader'!$I24,'10   Loader'!$I24,'9   Trucks'!$E27/Productivity!N27)</f>
        <v>2.3370285714285712</v>
      </c>
      <c r="O27" s="289">
        <f>IF('9   Trucks'!$E27/Productivity!O27&lt;'10   Loader'!$I24,'10   Loader'!$I24,'9   Trucks'!$E27/Productivity!O27)</f>
        <v>2.3370285714285712</v>
      </c>
      <c r="P27" s="289">
        <f>IF('9   Trucks'!$E27/Productivity!P27&lt;'10   Loader'!$I24,'10   Loader'!$I24,'9   Trucks'!$E27/Productivity!P27)</f>
        <v>2.3370285714285712</v>
      </c>
      <c r="Q27" s="289">
        <f>IF('9   Trucks'!$E27/Productivity!Q27&lt;'10   Loader'!$I24,'10   Loader'!$I24,'9   Trucks'!$E27/Productivity!Q27)</f>
        <v>2.3370285714285712</v>
      </c>
      <c r="R27" s="289">
        <f>IF('9   Trucks'!$E27/Productivity!R27&lt;'10   Loader'!$I24,'10   Loader'!$I24,'9   Trucks'!$E27/Productivity!R27)</f>
        <v>2.3370285714285712</v>
      </c>
      <c r="S27" s="289">
        <f>IF('9   Trucks'!$E27/Productivity!S27&lt;'10   Loader'!$I24,'10   Loader'!$I24,'9   Trucks'!$E27/Productivity!S27)</f>
        <v>2.3370285714285712</v>
      </c>
      <c r="T27" s="289">
        <f>IF('9   Trucks'!$E27/Productivity!T27&lt;'10   Loader'!$I24,'10   Loader'!$I24,'9   Trucks'!$E27/Productivity!T27)</f>
        <v>2.3370285714285712</v>
      </c>
      <c r="U27" s="289">
        <f>IF('9   Trucks'!$E27/Productivity!U27&lt;'10   Loader'!$I24,'10   Loader'!$I24,'9   Trucks'!$E27/Productivity!U27)</f>
        <v>2.3370285714285712</v>
      </c>
      <c r="V27" s="289">
        <f>IF('9   Trucks'!$E27/Productivity!V27&lt;'10   Loader'!$I24,'10   Loader'!$I24,'9   Trucks'!$E27/Productivity!V27)</f>
        <v>2.3370285714285712</v>
      </c>
      <c r="W27" s="289">
        <f>IF('9   Trucks'!$E27/Productivity!W27&lt;'10   Loader'!$I24,'10   Loader'!$I24,'9   Trucks'!$E27/Productivity!W27)</f>
        <v>2.3370285714285712</v>
      </c>
      <c r="X27" s="289">
        <f>IF('9   Trucks'!$E27/Productivity!X27&lt;'10   Loader'!$I24,'10   Loader'!$I24,'9   Trucks'!$E27/Productivity!X27)</f>
        <v>2.3370285714285712</v>
      </c>
      <c r="Y27" s="289">
        <f>IF('9   Trucks'!$E27/Productivity!Y27&lt;'10   Loader'!$I24,'10   Loader'!$I24,'9   Trucks'!$E27/Productivity!Y27)</f>
        <v>2.3370285714285712</v>
      </c>
      <c r="Z27" s="289">
        <f>IF('9   Trucks'!$E27/Productivity!Z27&lt;'10   Loader'!$I24,'10   Loader'!$I24,'9   Trucks'!$E27/Productivity!Z27)</f>
        <v>2.3370285714285712</v>
      </c>
      <c r="AA27" s="289">
        <f>IF('9   Trucks'!$E27/Productivity!AA27&lt;'10   Loader'!$I24,'10   Loader'!$I24,'9   Trucks'!$E27/Productivity!AA27)</f>
        <v>2.3370285714285712</v>
      </c>
      <c r="AB27" s="289">
        <f>IF('9   Trucks'!$E27/Productivity!AB27&lt;'10   Loader'!$I24,'10   Loader'!$I24,'9   Trucks'!$E27/Productivity!AB27)</f>
        <v>2.3370285714285712</v>
      </c>
    </row>
    <row r="28" spans="1:28" x14ac:dyDescent="0.2">
      <c r="A28" s="279" t="str">
        <f>Productivity!A28</f>
        <v>Haul cover soil</v>
      </c>
      <c r="B28" s="279" t="str">
        <f>Productivity!B28</f>
        <v>OB Stockpile 1 through 3, Topsoil Stockpile, South OB Stockpile</v>
      </c>
      <c r="C28" s="279" t="str">
        <f>Productivity!C28</f>
        <v>SWRF Dam 2</v>
      </c>
      <c r="D28" s="279" t="str">
        <f>Productivity!D28</f>
        <v>777F</v>
      </c>
      <c r="E28" s="289">
        <f>IF('9   Trucks'!$E28/Productivity!E28&lt;'10   Loader'!$I25,'10   Loader'!$I25,'9   Trucks'!$E28/Productivity!E28)</f>
        <v>1.7550535171488417</v>
      </c>
      <c r="F28" s="289">
        <f>IF('9   Trucks'!$E28/Productivity!F28&lt;'10   Loader'!$I25,'10   Loader'!$I25,'9   Trucks'!$E28/Productivity!F28)</f>
        <v>1.528057142857143</v>
      </c>
      <c r="G28" s="289">
        <f>IF('9   Trucks'!$E28/Productivity!G28&lt;'10   Loader'!$I25,'10   Loader'!$I25,'9   Trucks'!$E28/Productivity!G28)</f>
        <v>1.528057142857143</v>
      </c>
      <c r="H28" s="289">
        <f>IF('9   Trucks'!$E28/Productivity!H28&lt;'10   Loader'!$I25,'10   Loader'!$I25,'9   Trucks'!$E28/Productivity!H28)</f>
        <v>1.528057142857143</v>
      </c>
      <c r="I28" s="289">
        <f>IF('9   Trucks'!$E28/Productivity!I28&lt;'10   Loader'!$I25,'10   Loader'!$I25,'9   Trucks'!$E28/Productivity!I28)</f>
        <v>1.528057142857143</v>
      </c>
      <c r="J28" s="289">
        <f>IF('9   Trucks'!$E28/Productivity!J28&lt;'10   Loader'!$I25,'10   Loader'!$I25,'9   Trucks'!$E28/Productivity!J28)</f>
        <v>1.528057142857143</v>
      </c>
      <c r="K28" s="289">
        <f>IF('9   Trucks'!$E28/Productivity!K28&lt;'10   Loader'!$I25,'10   Loader'!$I25,'9   Trucks'!$E28/Productivity!K28)</f>
        <v>1.528057142857143</v>
      </c>
      <c r="L28" s="289">
        <f>IF('9   Trucks'!$E28/Productivity!L28&lt;'10   Loader'!$I25,'10   Loader'!$I25,'9   Trucks'!$E28/Productivity!L28)</f>
        <v>1.528057142857143</v>
      </c>
      <c r="M28" s="289">
        <f>IF('9   Trucks'!$E28/Productivity!M28&lt;'10   Loader'!$I25,'10   Loader'!$I25,'9   Trucks'!$E28/Productivity!M28)</f>
        <v>1.528057142857143</v>
      </c>
      <c r="N28" s="289">
        <f>IF('9   Trucks'!$E28/Productivity!N28&lt;'10   Loader'!$I25,'10   Loader'!$I25,'9   Trucks'!$E28/Productivity!N28)</f>
        <v>1.528057142857143</v>
      </c>
      <c r="O28" s="289">
        <f>IF('9   Trucks'!$E28/Productivity!O28&lt;'10   Loader'!$I25,'10   Loader'!$I25,'9   Trucks'!$E28/Productivity!O28)</f>
        <v>1.528057142857143</v>
      </c>
      <c r="P28" s="289">
        <f>IF('9   Trucks'!$E28/Productivity!P28&lt;'10   Loader'!$I25,'10   Loader'!$I25,'9   Trucks'!$E28/Productivity!P28)</f>
        <v>1.528057142857143</v>
      </c>
      <c r="Q28" s="289">
        <f>IF('9   Trucks'!$E28/Productivity!Q28&lt;'10   Loader'!$I25,'10   Loader'!$I25,'9   Trucks'!$E28/Productivity!Q28)</f>
        <v>1.528057142857143</v>
      </c>
      <c r="R28" s="289">
        <f>IF('9   Trucks'!$E28/Productivity!R28&lt;'10   Loader'!$I25,'10   Loader'!$I25,'9   Trucks'!$E28/Productivity!R28)</f>
        <v>1.528057142857143</v>
      </c>
      <c r="S28" s="289">
        <f>IF('9   Trucks'!$E28/Productivity!S28&lt;'10   Loader'!$I25,'10   Loader'!$I25,'9   Trucks'!$E28/Productivity!S28)</f>
        <v>1.528057142857143</v>
      </c>
      <c r="T28" s="289">
        <f>IF('9   Trucks'!$E28/Productivity!T28&lt;'10   Loader'!$I25,'10   Loader'!$I25,'9   Trucks'!$E28/Productivity!T28)</f>
        <v>1.528057142857143</v>
      </c>
      <c r="U28" s="289">
        <f>IF('9   Trucks'!$E28/Productivity!U28&lt;'10   Loader'!$I25,'10   Loader'!$I25,'9   Trucks'!$E28/Productivity!U28)</f>
        <v>1.528057142857143</v>
      </c>
      <c r="V28" s="289">
        <f>IF('9   Trucks'!$E28/Productivity!V28&lt;'10   Loader'!$I25,'10   Loader'!$I25,'9   Trucks'!$E28/Productivity!V28)</f>
        <v>1.528057142857143</v>
      </c>
      <c r="W28" s="289">
        <f>IF('9   Trucks'!$E28/Productivity!W28&lt;'10   Loader'!$I25,'10   Loader'!$I25,'9   Trucks'!$E28/Productivity!W28)</f>
        <v>1.528057142857143</v>
      </c>
      <c r="X28" s="289">
        <f>IF('9   Trucks'!$E28/Productivity!X28&lt;'10   Loader'!$I25,'10   Loader'!$I25,'9   Trucks'!$E28/Productivity!X28)</f>
        <v>1.528057142857143</v>
      </c>
      <c r="Y28" s="289">
        <f>IF('9   Trucks'!$E28/Productivity!Y28&lt;'10   Loader'!$I25,'10   Loader'!$I25,'9   Trucks'!$E28/Productivity!Y28)</f>
        <v>1.528057142857143</v>
      </c>
      <c r="Z28" s="289">
        <f>IF('9   Trucks'!$E28/Productivity!Z28&lt;'10   Loader'!$I25,'10   Loader'!$I25,'9   Trucks'!$E28/Productivity!Z28)</f>
        <v>1.528057142857143</v>
      </c>
      <c r="AA28" s="289">
        <f>IF('9   Trucks'!$E28/Productivity!AA28&lt;'10   Loader'!$I25,'10   Loader'!$I25,'9   Trucks'!$E28/Productivity!AA28)</f>
        <v>1.528057142857143</v>
      </c>
      <c r="AB28" s="289">
        <f>IF('9   Trucks'!$E28/Productivity!AB28&lt;'10   Loader'!$I25,'10   Loader'!$I25,'9   Trucks'!$E28/Productivity!AB28)</f>
        <v>1.528057142857143</v>
      </c>
    </row>
    <row r="29" spans="1:28" x14ac:dyDescent="0.2">
      <c r="A29" s="279" t="str">
        <f>Productivity!A29</f>
        <v>Haul cover soil</v>
      </c>
      <c r="B29" s="279" t="str">
        <f>Productivity!B29</f>
        <v>OB Stockpile 1 through 3, Topsoil Stockpile, South OB Stockpile</v>
      </c>
      <c r="C29" s="279" t="str">
        <f>Productivity!C29</f>
        <v>SWRF Dam 3</v>
      </c>
      <c r="D29" s="279" t="str">
        <f>Productivity!D29</f>
        <v>777F</v>
      </c>
      <c r="E29" s="289">
        <f>IF('9   Trucks'!$E29/Productivity!E29&lt;'10   Loader'!$I26,'10   Loader'!$I26,'9   Trucks'!$E29/Productivity!E29)</f>
        <v>4.3360145717794909</v>
      </c>
      <c r="F29" s="289">
        <f>IF('9   Trucks'!$E29/Productivity!F29&lt;'10   Loader'!$I26,'10   Loader'!$I26,'9   Trucks'!$E29/Productivity!F29)</f>
        <v>3.7751999999999999</v>
      </c>
      <c r="G29" s="289">
        <f>IF('9   Trucks'!$E29/Productivity!G29&lt;'10   Loader'!$I26,'10   Loader'!$I26,'9   Trucks'!$E29/Productivity!G29)</f>
        <v>3.7751999999999999</v>
      </c>
      <c r="H29" s="289">
        <f>IF('9   Trucks'!$E29/Productivity!H29&lt;'10   Loader'!$I26,'10   Loader'!$I26,'9   Trucks'!$E29/Productivity!H29)</f>
        <v>3.7751999999999999</v>
      </c>
      <c r="I29" s="289">
        <f>IF('9   Trucks'!$E29/Productivity!I29&lt;'10   Loader'!$I26,'10   Loader'!$I26,'9   Trucks'!$E29/Productivity!I29)</f>
        <v>3.7751999999999999</v>
      </c>
      <c r="J29" s="289">
        <f>IF('9   Trucks'!$E29/Productivity!J29&lt;'10   Loader'!$I26,'10   Loader'!$I26,'9   Trucks'!$E29/Productivity!J29)</f>
        <v>3.7751999999999999</v>
      </c>
      <c r="K29" s="289">
        <f>IF('9   Trucks'!$E29/Productivity!K29&lt;'10   Loader'!$I26,'10   Loader'!$I26,'9   Trucks'!$E29/Productivity!K29)</f>
        <v>3.7751999999999999</v>
      </c>
      <c r="L29" s="289">
        <f>IF('9   Trucks'!$E29/Productivity!L29&lt;'10   Loader'!$I26,'10   Loader'!$I26,'9   Trucks'!$E29/Productivity!L29)</f>
        <v>3.7751999999999999</v>
      </c>
      <c r="M29" s="289">
        <f>IF('9   Trucks'!$E29/Productivity!M29&lt;'10   Loader'!$I26,'10   Loader'!$I26,'9   Trucks'!$E29/Productivity!M29)</f>
        <v>3.7751999999999999</v>
      </c>
      <c r="N29" s="289">
        <f>IF('9   Trucks'!$E29/Productivity!N29&lt;'10   Loader'!$I26,'10   Loader'!$I26,'9   Trucks'!$E29/Productivity!N29)</f>
        <v>3.7751999999999999</v>
      </c>
      <c r="O29" s="289">
        <f>IF('9   Trucks'!$E29/Productivity!O29&lt;'10   Loader'!$I26,'10   Loader'!$I26,'9   Trucks'!$E29/Productivity!O29)</f>
        <v>3.7751999999999999</v>
      </c>
      <c r="P29" s="289">
        <f>IF('9   Trucks'!$E29/Productivity!P29&lt;'10   Loader'!$I26,'10   Loader'!$I26,'9   Trucks'!$E29/Productivity!P29)</f>
        <v>3.7751999999999999</v>
      </c>
      <c r="Q29" s="289">
        <f>IF('9   Trucks'!$E29/Productivity!Q29&lt;'10   Loader'!$I26,'10   Loader'!$I26,'9   Trucks'!$E29/Productivity!Q29)</f>
        <v>3.7751999999999999</v>
      </c>
      <c r="R29" s="289">
        <f>IF('9   Trucks'!$E29/Productivity!R29&lt;'10   Loader'!$I26,'10   Loader'!$I26,'9   Trucks'!$E29/Productivity!R29)</f>
        <v>3.7751999999999999</v>
      </c>
      <c r="S29" s="289">
        <f>IF('9   Trucks'!$E29/Productivity!S29&lt;'10   Loader'!$I26,'10   Loader'!$I26,'9   Trucks'!$E29/Productivity!S29)</f>
        <v>3.7751999999999999</v>
      </c>
      <c r="T29" s="289">
        <f>IF('9   Trucks'!$E29/Productivity!T29&lt;'10   Loader'!$I26,'10   Loader'!$I26,'9   Trucks'!$E29/Productivity!T29)</f>
        <v>3.7751999999999999</v>
      </c>
      <c r="U29" s="289">
        <f>IF('9   Trucks'!$E29/Productivity!U29&lt;'10   Loader'!$I26,'10   Loader'!$I26,'9   Trucks'!$E29/Productivity!U29)</f>
        <v>3.7751999999999999</v>
      </c>
      <c r="V29" s="289">
        <f>IF('9   Trucks'!$E29/Productivity!V29&lt;'10   Loader'!$I26,'10   Loader'!$I26,'9   Trucks'!$E29/Productivity!V29)</f>
        <v>3.7751999999999999</v>
      </c>
      <c r="W29" s="289">
        <f>IF('9   Trucks'!$E29/Productivity!W29&lt;'10   Loader'!$I26,'10   Loader'!$I26,'9   Trucks'!$E29/Productivity!W29)</f>
        <v>3.7751999999999999</v>
      </c>
      <c r="X29" s="289">
        <f>IF('9   Trucks'!$E29/Productivity!X29&lt;'10   Loader'!$I26,'10   Loader'!$I26,'9   Trucks'!$E29/Productivity!X29)</f>
        <v>3.7751999999999999</v>
      </c>
      <c r="Y29" s="289">
        <f>IF('9   Trucks'!$E29/Productivity!Y29&lt;'10   Loader'!$I26,'10   Loader'!$I26,'9   Trucks'!$E29/Productivity!Y29)</f>
        <v>3.7751999999999999</v>
      </c>
      <c r="Z29" s="289">
        <f>IF('9   Trucks'!$E29/Productivity!Z29&lt;'10   Loader'!$I26,'10   Loader'!$I26,'9   Trucks'!$E29/Productivity!Z29)</f>
        <v>3.7751999999999999</v>
      </c>
      <c r="AA29" s="289">
        <f>IF('9   Trucks'!$E29/Productivity!AA29&lt;'10   Loader'!$I26,'10   Loader'!$I26,'9   Trucks'!$E29/Productivity!AA29)</f>
        <v>3.7751999999999999</v>
      </c>
      <c r="AB29" s="289">
        <f>IF('9   Trucks'!$E29/Productivity!AB29&lt;'10   Loader'!$I26,'10   Loader'!$I26,'9   Trucks'!$E29/Productivity!AB29)</f>
        <v>3.7751999999999999</v>
      </c>
    </row>
    <row r="30" spans="1:28" x14ac:dyDescent="0.2">
      <c r="A30" s="279" t="str">
        <f>Productivity!A30</f>
        <v>Haul cover soil</v>
      </c>
      <c r="B30" s="279" t="str">
        <f>Productivity!B30</f>
        <v>OB-4 Stockpile</v>
      </c>
      <c r="C30" s="279" t="str">
        <f>Productivity!C30</f>
        <v>North Tailings Decant Pond</v>
      </c>
      <c r="D30" s="279" t="str">
        <f>Productivity!D30</f>
        <v>777F</v>
      </c>
      <c r="E30" s="289">
        <f>IF('9   Trucks'!$E30/Productivity!E30&lt;'10   Loader'!$I27,'10   Loader'!$I27,'9   Trucks'!$E30/Productivity!E30)</f>
        <v>2.0673714285714286</v>
      </c>
      <c r="F30" s="289">
        <f>IF('9   Trucks'!$E30/Productivity!F30&lt;'10   Loader'!$I27,'10   Loader'!$I27,'9   Trucks'!$E30/Productivity!F30)</f>
        <v>2.0673714285714286</v>
      </c>
      <c r="G30" s="289">
        <f>IF('9   Trucks'!$E30/Productivity!G30&lt;'10   Loader'!$I27,'10   Loader'!$I27,'9   Trucks'!$E30/Productivity!G30)</f>
        <v>2.0673714285714286</v>
      </c>
      <c r="H30" s="289">
        <f>IF('9   Trucks'!$E30/Productivity!H30&lt;'10   Loader'!$I27,'10   Loader'!$I27,'9   Trucks'!$E30/Productivity!H30)</f>
        <v>2.0673714285714286</v>
      </c>
      <c r="I30" s="289">
        <f>IF('9   Trucks'!$E30/Productivity!I30&lt;'10   Loader'!$I27,'10   Loader'!$I27,'9   Trucks'!$E30/Productivity!I30)</f>
        <v>2.0673714285714286</v>
      </c>
      <c r="J30" s="289">
        <f>IF('9   Trucks'!$E30/Productivity!J30&lt;'10   Loader'!$I27,'10   Loader'!$I27,'9   Trucks'!$E30/Productivity!J30)</f>
        <v>2.0673714285714286</v>
      </c>
      <c r="K30" s="289">
        <f>IF('9   Trucks'!$E30/Productivity!K30&lt;'10   Loader'!$I27,'10   Loader'!$I27,'9   Trucks'!$E30/Productivity!K30)</f>
        <v>2.0673714285714286</v>
      </c>
      <c r="L30" s="289">
        <f>IF('9   Trucks'!$E30/Productivity!L30&lt;'10   Loader'!$I27,'10   Loader'!$I27,'9   Trucks'!$E30/Productivity!L30)</f>
        <v>2.0673714285714286</v>
      </c>
      <c r="M30" s="289">
        <f>IF('9   Trucks'!$E30/Productivity!M30&lt;'10   Loader'!$I27,'10   Loader'!$I27,'9   Trucks'!$E30/Productivity!M30)</f>
        <v>2.0673714285714286</v>
      </c>
      <c r="N30" s="289">
        <f>IF('9   Trucks'!$E30/Productivity!N30&lt;'10   Loader'!$I27,'10   Loader'!$I27,'9   Trucks'!$E30/Productivity!N30)</f>
        <v>2.0673714285714286</v>
      </c>
      <c r="O30" s="289">
        <f>IF('9   Trucks'!$E30/Productivity!O30&lt;'10   Loader'!$I27,'10   Loader'!$I27,'9   Trucks'!$E30/Productivity!O30)</f>
        <v>2.0673714285714286</v>
      </c>
      <c r="P30" s="289">
        <f>IF('9   Trucks'!$E30/Productivity!P30&lt;'10   Loader'!$I27,'10   Loader'!$I27,'9   Trucks'!$E30/Productivity!P30)</f>
        <v>2.0673714285714286</v>
      </c>
      <c r="Q30" s="289">
        <f>IF('9   Trucks'!$E30/Productivity!Q30&lt;'10   Loader'!$I27,'10   Loader'!$I27,'9   Trucks'!$E30/Productivity!Q30)</f>
        <v>2.0673714285714286</v>
      </c>
      <c r="R30" s="289">
        <f>IF('9   Trucks'!$E30/Productivity!R30&lt;'10   Loader'!$I27,'10   Loader'!$I27,'9   Trucks'!$E30/Productivity!R30)</f>
        <v>2.0673714285714286</v>
      </c>
      <c r="S30" s="289">
        <f>IF('9   Trucks'!$E30/Productivity!S30&lt;'10   Loader'!$I27,'10   Loader'!$I27,'9   Trucks'!$E30/Productivity!S30)</f>
        <v>2.0673714285714286</v>
      </c>
      <c r="T30" s="289">
        <f>IF('9   Trucks'!$E30/Productivity!T30&lt;'10   Loader'!$I27,'10   Loader'!$I27,'9   Trucks'!$E30/Productivity!T30)</f>
        <v>2.0673714285714286</v>
      </c>
      <c r="U30" s="289">
        <f>IF('9   Trucks'!$E30/Productivity!U30&lt;'10   Loader'!$I27,'10   Loader'!$I27,'9   Trucks'!$E30/Productivity!U30)</f>
        <v>2.0673714285714286</v>
      </c>
      <c r="V30" s="289">
        <f>IF('9   Trucks'!$E30/Productivity!V30&lt;'10   Loader'!$I27,'10   Loader'!$I27,'9   Trucks'!$E30/Productivity!V30)</f>
        <v>2.0673714285714286</v>
      </c>
      <c r="W30" s="289">
        <f>IF('9   Trucks'!$E30/Productivity!W30&lt;'10   Loader'!$I27,'10   Loader'!$I27,'9   Trucks'!$E30/Productivity!W30)</f>
        <v>2.0673714285714286</v>
      </c>
      <c r="X30" s="289">
        <f>IF('9   Trucks'!$E30/Productivity!X30&lt;'10   Loader'!$I27,'10   Loader'!$I27,'9   Trucks'!$E30/Productivity!X30)</f>
        <v>2.0673714285714286</v>
      </c>
      <c r="Y30" s="289">
        <f>IF('9   Trucks'!$E30/Productivity!Y30&lt;'10   Loader'!$I27,'10   Loader'!$I27,'9   Trucks'!$E30/Productivity!Y30)</f>
        <v>2.0673714285714286</v>
      </c>
      <c r="Z30" s="289">
        <f>IF('9   Trucks'!$E30/Productivity!Z30&lt;'10   Loader'!$I27,'10   Loader'!$I27,'9   Trucks'!$E30/Productivity!Z30)</f>
        <v>2.0673714285714286</v>
      </c>
      <c r="AA30" s="289">
        <f>IF('9   Trucks'!$E30/Productivity!AA30&lt;'10   Loader'!$I27,'10   Loader'!$I27,'9   Trucks'!$E30/Productivity!AA30)</f>
        <v>2.0673714285714286</v>
      </c>
      <c r="AB30" s="289">
        <f>IF('9   Trucks'!$E30/Productivity!AB30&lt;'10   Loader'!$I27,'10   Loader'!$I27,'9   Trucks'!$E30/Productivity!AB30)</f>
        <v>2.0673714285714286</v>
      </c>
    </row>
    <row r="31" spans="1:28" x14ac:dyDescent="0.2">
      <c r="A31" s="279" t="str">
        <f>Productivity!A31</f>
        <v>Haul cover soil</v>
      </c>
      <c r="B31" s="279" t="str">
        <f>Productivity!B31</f>
        <v>OB-4 Stockpile</v>
      </c>
      <c r="C31" s="279" t="str">
        <f>Productivity!C31</f>
        <v>East WRF Containment</v>
      </c>
      <c r="D31" s="279" t="str">
        <f>Productivity!D31</f>
        <v>777F</v>
      </c>
      <c r="E31" s="289">
        <f>IF('9   Trucks'!$E31/Productivity!E31&lt;'10   Loader'!$I28,'10   Loader'!$I28,'9   Trucks'!$E31/Productivity!E31)</f>
        <v>2.2471428571428573</v>
      </c>
      <c r="F31" s="289">
        <f>IF('9   Trucks'!$E31/Productivity!F31&lt;'10   Loader'!$I28,'10   Loader'!$I28,'9   Trucks'!$E31/Productivity!F31)</f>
        <v>2.2471428571428573</v>
      </c>
      <c r="G31" s="289">
        <f>IF('9   Trucks'!$E31/Productivity!G31&lt;'10   Loader'!$I28,'10   Loader'!$I28,'9   Trucks'!$E31/Productivity!G31)</f>
        <v>2.2471428571428573</v>
      </c>
      <c r="H31" s="289">
        <f>IF('9   Trucks'!$E31/Productivity!H31&lt;'10   Loader'!$I28,'10   Loader'!$I28,'9   Trucks'!$E31/Productivity!H31)</f>
        <v>2.2471428571428573</v>
      </c>
      <c r="I31" s="289">
        <f>IF('9   Trucks'!$E31/Productivity!I31&lt;'10   Loader'!$I28,'10   Loader'!$I28,'9   Trucks'!$E31/Productivity!I31)</f>
        <v>2.2471428571428573</v>
      </c>
      <c r="J31" s="289">
        <f>IF('9   Trucks'!$E31/Productivity!J31&lt;'10   Loader'!$I28,'10   Loader'!$I28,'9   Trucks'!$E31/Productivity!J31)</f>
        <v>2.2471428571428573</v>
      </c>
      <c r="K31" s="289">
        <f>IF('9   Trucks'!$E31/Productivity!K31&lt;'10   Loader'!$I28,'10   Loader'!$I28,'9   Trucks'!$E31/Productivity!K31)</f>
        <v>2.2471428571428573</v>
      </c>
      <c r="L31" s="289">
        <f>IF('9   Trucks'!$E31/Productivity!L31&lt;'10   Loader'!$I28,'10   Loader'!$I28,'9   Trucks'!$E31/Productivity!L31)</f>
        <v>2.2471428571428573</v>
      </c>
      <c r="M31" s="289">
        <f>IF('9   Trucks'!$E31/Productivity!M31&lt;'10   Loader'!$I28,'10   Loader'!$I28,'9   Trucks'!$E31/Productivity!M31)</f>
        <v>2.2471428571428573</v>
      </c>
      <c r="N31" s="289">
        <f>IF('9   Trucks'!$E31/Productivity!N31&lt;'10   Loader'!$I28,'10   Loader'!$I28,'9   Trucks'!$E31/Productivity!N31)</f>
        <v>2.2471428571428573</v>
      </c>
      <c r="O31" s="289">
        <f>IF('9   Trucks'!$E31/Productivity!O31&lt;'10   Loader'!$I28,'10   Loader'!$I28,'9   Trucks'!$E31/Productivity!O31)</f>
        <v>2.2471428571428573</v>
      </c>
      <c r="P31" s="289">
        <f>IF('9   Trucks'!$E31/Productivity!P31&lt;'10   Loader'!$I28,'10   Loader'!$I28,'9   Trucks'!$E31/Productivity!P31)</f>
        <v>2.2471428571428573</v>
      </c>
      <c r="Q31" s="289">
        <f>IF('9   Trucks'!$E31/Productivity!Q31&lt;'10   Loader'!$I28,'10   Loader'!$I28,'9   Trucks'!$E31/Productivity!Q31)</f>
        <v>2.2471428571428573</v>
      </c>
      <c r="R31" s="289">
        <f>IF('9   Trucks'!$E31/Productivity!R31&lt;'10   Loader'!$I28,'10   Loader'!$I28,'9   Trucks'!$E31/Productivity!R31)</f>
        <v>2.2471428571428573</v>
      </c>
      <c r="S31" s="289">
        <f>IF('9   Trucks'!$E31/Productivity!S31&lt;'10   Loader'!$I28,'10   Loader'!$I28,'9   Trucks'!$E31/Productivity!S31)</f>
        <v>2.2471428571428573</v>
      </c>
      <c r="T31" s="289">
        <f>IF('9   Trucks'!$E31/Productivity!T31&lt;'10   Loader'!$I28,'10   Loader'!$I28,'9   Trucks'!$E31/Productivity!T31)</f>
        <v>2.2471428571428573</v>
      </c>
      <c r="U31" s="289">
        <f>IF('9   Trucks'!$E31/Productivity!U31&lt;'10   Loader'!$I28,'10   Loader'!$I28,'9   Trucks'!$E31/Productivity!U31)</f>
        <v>2.2471428571428573</v>
      </c>
      <c r="V31" s="289">
        <f>IF('9   Trucks'!$E31/Productivity!V31&lt;'10   Loader'!$I28,'10   Loader'!$I28,'9   Trucks'!$E31/Productivity!V31)</f>
        <v>2.2471428571428573</v>
      </c>
      <c r="W31" s="289">
        <f>IF('9   Trucks'!$E31/Productivity!W31&lt;'10   Loader'!$I28,'10   Loader'!$I28,'9   Trucks'!$E31/Productivity!W31)</f>
        <v>2.2471428571428573</v>
      </c>
      <c r="X31" s="289">
        <f>IF('9   Trucks'!$E31/Productivity!X31&lt;'10   Loader'!$I28,'10   Loader'!$I28,'9   Trucks'!$E31/Productivity!X31)</f>
        <v>2.2471428571428573</v>
      </c>
      <c r="Y31" s="289">
        <f>IF('9   Trucks'!$E31/Productivity!Y31&lt;'10   Loader'!$I28,'10   Loader'!$I28,'9   Trucks'!$E31/Productivity!Y31)</f>
        <v>2.2471428571428573</v>
      </c>
      <c r="Z31" s="289">
        <f>IF('9   Trucks'!$E31/Productivity!Z31&lt;'10   Loader'!$I28,'10   Loader'!$I28,'9   Trucks'!$E31/Productivity!Z31)</f>
        <v>2.2471428571428573</v>
      </c>
      <c r="AA31" s="289">
        <f>IF('9   Trucks'!$E31/Productivity!AA31&lt;'10   Loader'!$I28,'10   Loader'!$I28,'9   Trucks'!$E31/Productivity!AA31)</f>
        <v>2.2471428571428573</v>
      </c>
      <c r="AB31" s="289">
        <f>IF('9   Trucks'!$E31/Productivity!AB31&lt;'10   Loader'!$I28,'10   Loader'!$I28,'9   Trucks'!$E31/Productivity!AB31)</f>
        <v>2.2471428571428573</v>
      </c>
    </row>
    <row r="32" spans="1:28" x14ac:dyDescent="0.2">
      <c r="A32" s="279" t="str">
        <f>Productivity!A32</f>
        <v>Haul cover soil</v>
      </c>
      <c r="B32" s="279" t="str">
        <f>Productivity!B32</f>
        <v>NOBS</v>
      </c>
      <c r="C32" s="279" t="str">
        <f>Productivity!C32</f>
        <v xml:space="preserve">Blackman's Seep (Pond #2) </v>
      </c>
      <c r="D32" s="279" t="str">
        <f>Productivity!D32</f>
        <v>777F</v>
      </c>
      <c r="E32" s="289">
        <f>IF('9   Trucks'!$E32/Productivity!E32&lt;'10   Loader'!$I29,'10   Loader'!$I29,'9   Trucks'!$E32/Productivity!E32)</f>
        <v>6.0170493568167359E-2</v>
      </c>
      <c r="F32" s="289">
        <f>IF('9   Trucks'!$E32/Productivity!F32&lt;'10   Loader'!$I29,'10   Loader'!$I29,'9   Trucks'!$E32/Productivity!F32)</f>
        <v>4.4942857142857146E-2</v>
      </c>
      <c r="G32" s="289">
        <f>IF('9   Trucks'!$E32/Productivity!G32&lt;'10   Loader'!$I29,'10   Loader'!$I29,'9   Trucks'!$E32/Productivity!G32)</f>
        <v>4.4942857142857146E-2</v>
      </c>
      <c r="H32" s="289">
        <f>IF('9   Trucks'!$E32/Productivity!H32&lt;'10   Loader'!$I29,'10   Loader'!$I29,'9   Trucks'!$E32/Productivity!H32)</f>
        <v>4.4942857142857146E-2</v>
      </c>
      <c r="I32" s="289">
        <f>IF('9   Trucks'!$E32/Productivity!I32&lt;'10   Loader'!$I29,'10   Loader'!$I29,'9   Trucks'!$E32/Productivity!I32)</f>
        <v>4.4942857142857146E-2</v>
      </c>
      <c r="J32" s="289">
        <f>IF('9   Trucks'!$E32/Productivity!J32&lt;'10   Loader'!$I29,'10   Loader'!$I29,'9   Trucks'!$E32/Productivity!J32)</f>
        <v>4.4942857142857146E-2</v>
      </c>
      <c r="K32" s="289">
        <f>IF('9   Trucks'!$E32/Productivity!K32&lt;'10   Loader'!$I29,'10   Loader'!$I29,'9   Trucks'!$E32/Productivity!K32)</f>
        <v>4.4942857142857146E-2</v>
      </c>
      <c r="L32" s="289">
        <f>IF('9   Trucks'!$E32/Productivity!L32&lt;'10   Loader'!$I29,'10   Loader'!$I29,'9   Trucks'!$E32/Productivity!L32)</f>
        <v>4.4942857142857146E-2</v>
      </c>
      <c r="M32" s="289">
        <f>IF('9   Trucks'!$E32/Productivity!M32&lt;'10   Loader'!$I29,'10   Loader'!$I29,'9   Trucks'!$E32/Productivity!M32)</f>
        <v>4.4942857142857146E-2</v>
      </c>
      <c r="N32" s="289">
        <f>IF('9   Trucks'!$E32/Productivity!N32&lt;'10   Loader'!$I29,'10   Loader'!$I29,'9   Trucks'!$E32/Productivity!N32)</f>
        <v>4.4942857142857146E-2</v>
      </c>
      <c r="O32" s="289">
        <f>IF('9   Trucks'!$E32/Productivity!O32&lt;'10   Loader'!$I29,'10   Loader'!$I29,'9   Trucks'!$E32/Productivity!O32)</f>
        <v>4.4942857142857146E-2</v>
      </c>
      <c r="P32" s="289">
        <f>IF('9   Trucks'!$E32/Productivity!P32&lt;'10   Loader'!$I29,'10   Loader'!$I29,'9   Trucks'!$E32/Productivity!P32)</f>
        <v>4.4942857142857146E-2</v>
      </c>
      <c r="Q32" s="289">
        <f>IF('9   Trucks'!$E32/Productivity!Q32&lt;'10   Loader'!$I29,'10   Loader'!$I29,'9   Trucks'!$E32/Productivity!Q32)</f>
        <v>4.4942857142857146E-2</v>
      </c>
      <c r="R32" s="289">
        <f>IF('9   Trucks'!$E32/Productivity!R32&lt;'10   Loader'!$I29,'10   Loader'!$I29,'9   Trucks'!$E32/Productivity!R32)</f>
        <v>4.4942857142857146E-2</v>
      </c>
      <c r="S32" s="289">
        <f>IF('9   Trucks'!$E32/Productivity!S32&lt;'10   Loader'!$I29,'10   Loader'!$I29,'9   Trucks'!$E32/Productivity!S32)</f>
        <v>4.4942857142857146E-2</v>
      </c>
      <c r="T32" s="289">
        <f>IF('9   Trucks'!$E32/Productivity!T32&lt;'10   Loader'!$I29,'10   Loader'!$I29,'9   Trucks'!$E32/Productivity!T32)</f>
        <v>4.4942857142857146E-2</v>
      </c>
      <c r="U32" s="289">
        <f>IF('9   Trucks'!$E32/Productivity!U32&lt;'10   Loader'!$I29,'10   Loader'!$I29,'9   Trucks'!$E32/Productivity!U32)</f>
        <v>4.4942857142857146E-2</v>
      </c>
      <c r="V32" s="289">
        <f>IF('9   Trucks'!$E32/Productivity!V32&lt;'10   Loader'!$I29,'10   Loader'!$I29,'9   Trucks'!$E32/Productivity!V32)</f>
        <v>4.4942857142857146E-2</v>
      </c>
      <c r="W32" s="289">
        <f>IF('9   Trucks'!$E32/Productivity!W32&lt;'10   Loader'!$I29,'10   Loader'!$I29,'9   Trucks'!$E32/Productivity!W32)</f>
        <v>4.4942857142857146E-2</v>
      </c>
      <c r="X32" s="289">
        <f>IF('9   Trucks'!$E32/Productivity!X32&lt;'10   Loader'!$I29,'10   Loader'!$I29,'9   Trucks'!$E32/Productivity!X32)</f>
        <v>4.4942857142857146E-2</v>
      </c>
      <c r="Y32" s="289">
        <f>IF('9   Trucks'!$E32/Productivity!Y32&lt;'10   Loader'!$I29,'10   Loader'!$I29,'9   Trucks'!$E32/Productivity!Y32)</f>
        <v>4.4942857142857146E-2</v>
      </c>
      <c r="Z32" s="289">
        <f>IF('9   Trucks'!$E32/Productivity!Z32&lt;'10   Loader'!$I29,'10   Loader'!$I29,'9   Trucks'!$E32/Productivity!Z32)</f>
        <v>4.4942857142857146E-2</v>
      </c>
      <c r="AA32" s="289">
        <f>IF('9   Trucks'!$E32/Productivity!AA32&lt;'10   Loader'!$I29,'10   Loader'!$I29,'9   Trucks'!$E32/Productivity!AA32)</f>
        <v>4.4942857142857146E-2</v>
      </c>
      <c r="AB32" s="289">
        <f>IF('9   Trucks'!$E32/Productivity!AB32&lt;'10   Loader'!$I29,'10   Loader'!$I29,'9   Trucks'!$E32/Productivity!AB32)</f>
        <v>4.4942857142857146E-2</v>
      </c>
    </row>
    <row r="33" spans="1:28" x14ac:dyDescent="0.2">
      <c r="A33" s="279" t="str">
        <f>Productivity!A33</f>
        <v>Haul cover soil</v>
      </c>
      <c r="B33" s="279" t="str">
        <f>Productivity!B33</f>
        <v>OB-4 Stockpile</v>
      </c>
      <c r="C33" s="279" t="str">
        <f>Productivity!C33</f>
        <v>Decant Pond #4</v>
      </c>
      <c r="D33" s="279" t="str">
        <f>Productivity!D33</f>
        <v>777F</v>
      </c>
      <c r="E33" s="289">
        <f>IF('9   Trucks'!$E33/Productivity!E33&lt;'10   Loader'!$I30,'10   Loader'!$I30,'9   Trucks'!$E33/Productivity!E33)</f>
        <v>2.786457142857143</v>
      </c>
      <c r="F33" s="289">
        <f>IF('9   Trucks'!$E33/Productivity!F33&lt;'10   Loader'!$I30,'10   Loader'!$I30,'9   Trucks'!$E33/Productivity!F33)</f>
        <v>2.786457142857143</v>
      </c>
      <c r="G33" s="289">
        <f>IF('9   Trucks'!$E33/Productivity!G33&lt;'10   Loader'!$I30,'10   Loader'!$I30,'9   Trucks'!$E33/Productivity!G33)</f>
        <v>2.786457142857143</v>
      </c>
      <c r="H33" s="289">
        <f>IF('9   Trucks'!$E33/Productivity!H33&lt;'10   Loader'!$I30,'10   Loader'!$I30,'9   Trucks'!$E33/Productivity!H33)</f>
        <v>2.786457142857143</v>
      </c>
      <c r="I33" s="289">
        <f>IF('9   Trucks'!$E33/Productivity!I33&lt;'10   Loader'!$I30,'10   Loader'!$I30,'9   Trucks'!$E33/Productivity!I33)</f>
        <v>2.786457142857143</v>
      </c>
      <c r="J33" s="289">
        <f>IF('9   Trucks'!$E33/Productivity!J33&lt;'10   Loader'!$I30,'10   Loader'!$I30,'9   Trucks'!$E33/Productivity!J33)</f>
        <v>2.786457142857143</v>
      </c>
      <c r="K33" s="289">
        <f>IF('9   Trucks'!$E33/Productivity!K33&lt;'10   Loader'!$I30,'10   Loader'!$I30,'9   Trucks'!$E33/Productivity!K33)</f>
        <v>2.786457142857143</v>
      </c>
      <c r="L33" s="289">
        <f>IF('9   Trucks'!$E33/Productivity!L33&lt;'10   Loader'!$I30,'10   Loader'!$I30,'9   Trucks'!$E33/Productivity!L33)</f>
        <v>2.786457142857143</v>
      </c>
      <c r="M33" s="289">
        <f>IF('9   Trucks'!$E33/Productivity!M33&lt;'10   Loader'!$I30,'10   Loader'!$I30,'9   Trucks'!$E33/Productivity!M33)</f>
        <v>2.786457142857143</v>
      </c>
      <c r="N33" s="289">
        <f>IF('9   Trucks'!$E33/Productivity!N33&lt;'10   Loader'!$I30,'10   Loader'!$I30,'9   Trucks'!$E33/Productivity!N33)</f>
        <v>2.786457142857143</v>
      </c>
      <c r="O33" s="289">
        <f>IF('9   Trucks'!$E33/Productivity!O33&lt;'10   Loader'!$I30,'10   Loader'!$I30,'9   Trucks'!$E33/Productivity!O33)</f>
        <v>2.786457142857143</v>
      </c>
      <c r="P33" s="289">
        <f>IF('9   Trucks'!$E33/Productivity!P33&lt;'10   Loader'!$I30,'10   Loader'!$I30,'9   Trucks'!$E33/Productivity!P33)</f>
        <v>2.786457142857143</v>
      </c>
      <c r="Q33" s="289">
        <f>IF('9   Trucks'!$E33/Productivity!Q33&lt;'10   Loader'!$I30,'10   Loader'!$I30,'9   Trucks'!$E33/Productivity!Q33)</f>
        <v>2.786457142857143</v>
      </c>
      <c r="R33" s="289">
        <f>IF('9   Trucks'!$E33/Productivity!R33&lt;'10   Loader'!$I30,'10   Loader'!$I30,'9   Trucks'!$E33/Productivity!R33)</f>
        <v>2.786457142857143</v>
      </c>
      <c r="S33" s="289">
        <f>IF('9   Trucks'!$E33/Productivity!S33&lt;'10   Loader'!$I30,'10   Loader'!$I30,'9   Trucks'!$E33/Productivity!S33)</f>
        <v>2.786457142857143</v>
      </c>
      <c r="T33" s="289">
        <f>IF('9   Trucks'!$E33/Productivity!T33&lt;'10   Loader'!$I30,'10   Loader'!$I30,'9   Trucks'!$E33/Productivity!T33)</f>
        <v>2.786457142857143</v>
      </c>
      <c r="U33" s="289">
        <f>IF('9   Trucks'!$E33/Productivity!U33&lt;'10   Loader'!$I30,'10   Loader'!$I30,'9   Trucks'!$E33/Productivity!U33)</f>
        <v>2.786457142857143</v>
      </c>
      <c r="V33" s="289">
        <f>IF('9   Trucks'!$E33/Productivity!V33&lt;'10   Loader'!$I30,'10   Loader'!$I30,'9   Trucks'!$E33/Productivity!V33)</f>
        <v>2.786457142857143</v>
      </c>
      <c r="W33" s="289">
        <f>IF('9   Trucks'!$E33/Productivity!W33&lt;'10   Loader'!$I30,'10   Loader'!$I30,'9   Trucks'!$E33/Productivity!W33)</f>
        <v>2.786457142857143</v>
      </c>
      <c r="X33" s="289">
        <f>IF('9   Trucks'!$E33/Productivity!X33&lt;'10   Loader'!$I30,'10   Loader'!$I30,'9   Trucks'!$E33/Productivity!X33)</f>
        <v>2.786457142857143</v>
      </c>
      <c r="Y33" s="289">
        <f>IF('9   Trucks'!$E33/Productivity!Y33&lt;'10   Loader'!$I30,'10   Loader'!$I30,'9   Trucks'!$E33/Productivity!Y33)</f>
        <v>2.786457142857143</v>
      </c>
      <c r="Z33" s="289">
        <f>IF('9   Trucks'!$E33/Productivity!Z33&lt;'10   Loader'!$I30,'10   Loader'!$I30,'9   Trucks'!$E33/Productivity!Z33)</f>
        <v>2.786457142857143</v>
      </c>
      <c r="AA33" s="289">
        <f>IF('9   Trucks'!$E33/Productivity!AA33&lt;'10   Loader'!$I30,'10   Loader'!$I30,'9   Trucks'!$E33/Productivity!AA33)</f>
        <v>2.786457142857143</v>
      </c>
      <c r="AB33" s="289">
        <f>IF('9   Trucks'!$E33/Productivity!AB33&lt;'10   Loader'!$I30,'10   Loader'!$I30,'9   Trucks'!$E33/Productivity!AB33)</f>
        <v>2.786457142857143</v>
      </c>
    </row>
    <row r="34" spans="1:28" x14ac:dyDescent="0.2">
      <c r="A34" s="279" t="str">
        <f>Productivity!A34</f>
        <v>Haul cover soil</v>
      </c>
      <c r="B34" s="279" t="str">
        <f>Productivity!B34</f>
        <v>NOBS</v>
      </c>
      <c r="C34" s="279" t="str">
        <f>Productivity!C34</f>
        <v xml:space="preserve">Upper Creek Containment Pond 1 </v>
      </c>
      <c r="D34" s="279" t="str">
        <f>Productivity!D34</f>
        <v>777F</v>
      </c>
      <c r="E34" s="289">
        <f>IF('9   Trucks'!$E34/Productivity!E34&lt;'10   Loader'!$I31,'10   Loader'!$I31,'9   Trucks'!$E34/Productivity!E34)</f>
        <v>6.7992657732029107</v>
      </c>
      <c r="F34" s="289">
        <f>IF('9   Trucks'!$E34/Productivity!F34&lt;'10   Loader'!$I31,'10   Loader'!$I31,'9   Trucks'!$E34/Productivity!F34)</f>
        <v>5.0785428571428559</v>
      </c>
      <c r="G34" s="289">
        <f>IF('9   Trucks'!$E34/Productivity!G34&lt;'10   Loader'!$I31,'10   Loader'!$I31,'9   Trucks'!$E34/Productivity!G34)</f>
        <v>5.0785428571428559</v>
      </c>
      <c r="H34" s="289">
        <f>IF('9   Trucks'!$E34/Productivity!H34&lt;'10   Loader'!$I31,'10   Loader'!$I31,'9   Trucks'!$E34/Productivity!H34)</f>
        <v>5.0785428571428559</v>
      </c>
      <c r="I34" s="289">
        <f>IF('9   Trucks'!$E34/Productivity!I34&lt;'10   Loader'!$I31,'10   Loader'!$I31,'9   Trucks'!$E34/Productivity!I34)</f>
        <v>5.0785428571428559</v>
      </c>
      <c r="J34" s="289">
        <f>IF('9   Trucks'!$E34/Productivity!J34&lt;'10   Loader'!$I31,'10   Loader'!$I31,'9   Trucks'!$E34/Productivity!J34)</f>
        <v>5.0785428571428559</v>
      </c>
      <c r="K34" s="289">
        <f>IF('9   Trucks'!$E34/Productivity!K34&lt;'10   Loader'!$I31,'10   Loader'!$I31,'9   Trucks'!$E34/Productivity!K34)</f>
        <v>5.0785428571428559</v>
      </c>
      <c r="L34" s="289">
        <f>IF('9   Trucks'!$E34/Productivity!L34&lt;'10   Loader'!$I31,'10   Loader'!$I31,'9   Trucks'!$E34/Productivity!L34)</f>
        <v>5.0785428571428559</v>
      </c>
      <c r="M34" s="289">
        <f>IF('9   Trucks'!$E34/Productivity!M34&lt;'10   Loader'!$I31,'10   Loader'!$I31,'9   Trucks'!$E34/Productivity!M34)</f>
        <v>5.0785428571428559</v>
      </c>
      <c r="N34" s="289">
        <f>IF('9   Trucks'!$E34/Productivity!N34&lt;'10   Loader'!$I31,'10   Loader'!$I31,'9   Trucks'!$E34/Productivity!N34)</f>
        <v>5.0785428571428559</v>
      </c>
      <c r="O34" s="289">
        <f>IF('9   Trucks'!$E34/Productivity!O34&lt;'10   Loader'!$I31,'10   Loader'!$I31,'9   Trucks'!$E34/Productivity!O34)</f>
        <v>5.0785428571428559</v>
      </c>
      <c r="P34" s="289">
        <f>IF('9   Trucks'!$E34/Productivity!P34&lt;'10   Loader'!$I31,'10   Loader'!$I31,'9   Trucks'!$E34/Productivity!P34)</f>
        <v>5.0785428571428559</v>
      </c>
      <c r="Q34" s="289">
        <f>IF('9   Trucks'!$E34/Productivity!Q34&lt;'10   Loader'!$I31,'10   Loader'!$I31,'9   Trucks'!$E34/Productivity!Q34)</f>
        <v>5.0785428571428559</v>
      </c>
      <c r="R34" s="289">
        <f>IF('9   Trucks'!$E34/Productivity!R34&lt;'10   Loader'!$I31,'10   Loader'!$I31,'9   Trucks'!$E34/Productivity!R34)</f>
        <v>5.0785428571428559</v>
      </c>
      <c r="S34" s="289">
        <f>IF('9   Trucks'!$E34/Productivity!S34&lt;'10   Loader'!$I31,'10   Loader'!$I31,'9   Trucks'!$E34/Productivity!S34)</f>
        <v>5.0785428571428559</v>
      </c>
      <c r="T34" s="289">
        <f>IF('9   Trucks'!$E34/Productivity!T34&lt;'10   Loader'!$I31,'10   Loader'!$I31,'9   Trucks'!$E34/Productivity!T34)</f>
        <v>5.0785428571428559</v>
      </c>
      <c r="U34" s="289">
        <f>IF('9   Trucks'!$E34/Productivity!U34&lt;'10   Loader'!$I31,'10   Loader'!$I31,'9   Trucks'!$E34/Productivity!U34)</f>
        <v>5.0785428571428559</v>
      </c>
      <c r="V34" s="289">
        <f>IF('9   Trucks'!$E34/Productivity!V34&lt;'10   Loader'!$I31,'10   Loader'!$I31,'9   Trucks'!$E34/Productivity!V34)</f>
        <v>5.0785428571428559</v>
      </c>
      <c r="W34" s="289">
        <f>IF('9   Trucks'!$E34/Productivity!W34&lt;'10   Loader'!$I31,'10   Loader'!$I31,'9   Trucks'!$E34/Productivity!W34)</f>
        <v>5.0785428571428559</v>
      </c>
      <c r="X34" s="289">
        <f>IF('9   Trucks'!$E34/Productivity!X34&lt;'10   Loader'!$I31,'10   Loader'!$I31,'9   Trucks'!$E34/Productivity!X34)</f>
        <v>5.0785428571428559</v>
      </c>
      <c r="Y34" s="289">
        <f>IF('9   Trucks'!$E34/Productivity!Y34&lt;'10   Loader'!$I31,'10   Loader'!$I31,'9   Trucks'!$E34/Productivity!Y34)</f>
        <v>5.0785428571428559</v>
      </c>
      <c r="Z34" s="289">
        <f>IF('9   Trucks'!$E34/Productivity!Z34&lt;'10   Loader'!$I31,'10   Loader'!$I31,'9   Trucks'!$E34/Productivity!Z34)</f>
        <v>5.0785428571428559</v>
      </c>
      <c r="AA34" s="289">
        <f>IF('9   Trucks'!$E34/Productivity!AA34&lt;'10   Loader'!$I31,'10   Loader'!$I31,'9   Trucks'!$E34/Productivity!AA34)</f>
        <v>5.0785428571428559</v>
      </c>
      <c r="AB34" s="289">
        <f>IF('9   Trucks'!$E34/Productivity!AB34&lt;'10   Loader'!$I31,'10   Loader'!$I31,'9   Trucks'!$E34/Productivity!AB34)</f>
        <v>5.0785428571428559</v>
      </c>
    </row>
  </sheetData>
  <printOptions horizontalCentered="1"/>
  <pageMargins left="0.75" right="0.75" top="1" bottom="1" header="0.5" footer="0.5"/>
  <pageSetup paperSize="17" scale="58" orientation="landscape" r:id="rId1"/>
  <headerFooter alignWithMargins="0">
    <oddFooter>&amp;C&amp;F
&amp;   Stockpile Sheet 9b
&amp;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zoomScaleNormal="75" zoomScaleSheetLayoutView="75" workbookViewId="0">
      <selection activeCell="A19" sqref="A19:AB20"/>
    </sheetView>
  </sheetViews>
  <sheetFormatPr defaultColWidth="7.21875" defaultRowHeight="12.75" x14ac:dyDescent="0.2"/>
  <cols>
    <col min="1" max="1" width="12.77734375" style="275" customWidth="1"/>
    <col min="2" max="2" width="15.88671875" style="275" customWidth="1"/>
    <col min="3" max="3" width="22.77734375" style="275" customWidth="1"/>
    <col min="4" max="4" width="8.44140625" style="275" customWidth="1"/>
    <col min="5" max="28" width="11.21875" style="275" customWidth="1"/>
    <col min="29" max="16384" width="7.21875" style="275"/>
  </cols>
  <sheetData>
    <row r="1" spans="1:28" ht="15" x14ac:dyDescent="0.2">
      <c r="A1" s="1"/>
      <c r="B1" s="290"/>
      <c r="C1" s="290"/>
      <c r="D1" s="290"/>
      <c r="E1" s="290"/>
      <c r="F1" s="290"/>
      <c r="G1" s="290"/>
      <c r="H1" s="290"/>
      <c r="J1" s="286"/>
      <c r="L1" s="291" t="str">
        <f>Productivity!J1</f>
        <v>Cobre</v>
      </c>
      <c r="M1" s="286"/>
      <c r="N1" s="286"/>
      <c r="O1" s="286"/>
      <c r="P1" s="286"/>
      <c r="Q1" s="286"/>
      <c r="R1" s="286"/>
      <c r="S1" s="286"/>
      <c r="T1" s="286"/>
      <c r="U1" s="286"/>
      <c r="V1" s="286"/>
      <c r="W1" s="286"/>
      <c r="X1" s="286"/>
      <c r="Y1" s="286"/>
      <c r="Z1" s="286"/>
      <c r="AA1" s="286"/>
      <c r="AB1" s="286"/>
    </row>
    <row r="2" spans="1:28" ht="15" x14ac:dyDescent="0.2">
      <c r="A2" s="1"/>
      <c r="B2" s="290"/>
      <c r="C2" s="290"/>
      <c r="D2" s="290"/>
      <c r="E2" s="290"/>
      <c r="F2" s="290"/>
      <c r="G2" s="290"/>
      <c r="H2" s="290"/>
      <c r="J2" s="286"/>
      <c r="L2" s="280" t="s">
        <v>368</v>
      </c>
      <c r="M2" s="286"/>
      <c r="N2" s="286"/>
      <c r="O2" s="286"/>
      <c r="P2" s="286"/>
      <c r="Q2" s="286"/>
      <c r="R2" s="286"/>
      <c r="S2" s="286"/>
      <c r="T2" s="286"/>
      <c r="U2" s="286"/>
      <c r="V2" s="286"/>
      <c r="W2" s="286"/>
      <c r="X2" s="286"/>
      <c r="Y2" s="286"/>
      <c r="Z2" s="286"/>
      <c r="AA2" s="286"/>
      <c r="AB2" s="286"/>
    </row>
    <row r="3" spans="1:28" ht="15" x14ac:dyDescent="0.2">
      <c r="A3" s="292" t="s">
        <v>369</v>
      </c>
      <c r="B3" s="292"/>
      <c r="C3" s="292"/>
      <c r="D3" s="292"/>
      <c r="E3" s="290"/>
      <c r="F3" s="290"/>
      <c r="G3" s="290"/>
      <c r="H3" s="290"/>
      <c r="J3" s="286"/>
      <c r="L3" s="293">
        <f>Productivity!J3</f>
        <v>41978</v>
      </c>
      <c r="M3" s="286"/>
      <c r="N3" s="286"/>
      <c r="O3" s="286"/>
      <c r="P3" s="286"/>
      <c r="Q3" s="286"/>
      <c r="R3" s="286"/>
      <c r="S3" s="286"/>
      <c r="T3" s="286"/>
      <c r="U3" s="286"/>
      <c r="V3" s="286"/>
      <c r="W3" s="286"/>
      <c r="X3" s="286"/>
      <c r="Y3" s="286"/>
      <c r="Z3" s="286"/>
      <c r="AA3" s="286"/>
      <c r="AB3" s="286"/>
    </row>
    <row r="4" spans="1:28" x14ac:dyDescent="0.2">
      <c r="A4" s="290"/>
      <c r="B4" s="290"/>
      <c r="C4" s="290"/>
      <c r="D4" s="290"/>
      <c r="E4" s="290"/>
      <c r="F4" s="290"/>
      <c r="G4" s="290"/>
      <c r="H4" s="290"/>
      <c r="I4" s="291"/>
      <c r="J4" s="286"/>
      <c r="K4" s="286"/>
      <c r="L4" s="286"/>
      <c r="M4" s="286"/>
      <c r="N4" s="286"/>
      <c r="O4" s="286"/>
      <c r="P4" s="286"/>
      <c r="Q4" s="286"/>
      <c r="R4" s="286"/>
      <c r="S4" s="286"/>
      <c r="T4" s="286"/>
      <c r="U4" s="286"/>
      <c r="V4" s="286"/>
      <c r="W4" s="286"/>
      <c r="X4" s="286"/>
      <c r="Y4" s="286"/>
      <c r="Z4" s="286"/>
      <c r="AA4" s="286"/>
      <c r="AB4" s="286"/>
    </row>
    <row r="5" spans="1:28" ht="15" x14ac:dyDescent="0.2">
      <c r="A5" s="291" t="s">
        <v>370</v>
      </c>
      <c r="B5" s="290" t="s">
        <v>371</v>
      </c>
      <c r="C5" s="125"/>
      <c r="D5" s="290"/>
      <c r="E5" s="290"/>
      <c r="F5" s="290"/>
      <c r="G5" s="290"/>
      <c r="H5" s="290"/>
      <c r="I5" s="291"/>
      <c r="J5" s="286"/>
      <c r="K5" s="286"/>
      <c r="L5" s="286"/>
      <c r="M5" s="286"/>
      <c r="N5" s="286"/>
      <c r="O5" s="286"/>
      <c r="P5" s="286"/>
      <c r="Q5" s="286"/>
      <c r="R5" s="286"/>
      <c r="S5" s="286"/>
      <c r="T5" s="286"/>
      <c r="U5" s="286"/>
      <c r="V5" s="286"/>
      <c r="W5" s="286"/>
      <c r="X5" s="286"/>
      <c r="Y5" s="286"/>
      <c r="Z5" s="286"/>
      <c r="AA5" s="286"/>
      <c r="AB5" s="286"/>
    </row>
    <row r="6" spans="1:28" ht="15" x14ac:dyDescent="0.2">
      <c r="A6" s="291"/>
      <c r="B6" s="290"/>
      <c r="C6" s="125"/>
      <c r="D6" s="290"/>
      <c r="E6" s="290"/>
      <c r="F6" s="290"/>
      <c r="G6" s="290"/>
      <c r="H6" s="290"/>
      <c r="I6" s="291"/>
      <c r="J6" s="286"/>
      <c r="K6" s="286"/>
      <c r="L6" s="286"/>
      <c r="M6" s="286"/>
      <c r="N6" s="286"/>
      <c r="O6" s="286"/>
      <c r="P6" s="286"/>
      <c r="Q6" s="286"/>
      <c r="R6" s="286"/>
      <c r="S6" s="286"/>
      <c r="T6" s="286"/>
      <c r="U6" s="286"/>
      <c r="V6" s="286"/>
      <c r="W6" s="286"/>
      <c r="X6" s="286"/>
      <c r="Y6" s="286"/>
      <c r="Z6" s="286"/>
      <c r="AA6" s="286"/>
      <c r="AB6" s="286"/>
    </row>
    <row r="7" spans="1:28" ht="15" x14ac:dyDescent="0.2">
      <c r="A7" s="291" t="s">
        <v>360</v>
      </c>
      <c r="B7" s="290" t="s">
        <v>372</v>
      </c>
      <c r="C7" s="125"/>
      <c r="D7" s="290"/>
      <c r="E7" s="290"/>
      <c r="F7" s="290"/>
      <c r="G7" s="290"/>
      <c r="H7" s="290"/>
      <c r="I7" s="291"/>
      <c r="J7" s="286"/>
      <c r="K7" s="286"/>
      <c r="L7" s="286"/>
      <c r="M7" s="286"/>
      <c r="N7" s="286"/>
      <c r="O7" s="286"/>
      <c r="P7" s="286"/>
      <c r="Q7" s="286"/>
      <c r="R7" s="286"/>
      <c r="S7" s="286"/>
      <c r="T7" s="286"/>
      <c r="U7" s="286"/>
      <c r="V7" s="286"/>
      <c r="W7" s="286"/>
      <c r="X7" s="286"/>
      <c r="Y7" s="286"/>
      <c r="Z7" s="286"/>
      <c r="AA7" s="286"/>
      <c r="AB7" s="286"/>
    </row>
    <row r="8" spans="1:28" ht="15" x14ac:dyDescent="0.2">
      <c r="A8" s="125"/>
      <c r="B8" s="290"/>
      <c r="C8" s="290"/>
      <c r="D8" s="290"/>
      <c r="E8" s="290"/>
      <c r="F8" s="290"/>
      <c r="G8" s="290"/>
      <c r="H8" s="290"/>
      <c r="I8" s="291"/>
      <c r="J8" s="286"/>
      <c r="K8" s="286"/>
      <c r="L8" s="286"/>
      <c r="M8" s="286"/>
      <c r="N8" s="286"/>
      <c r="O8" s="286"/>
      <c r="P8" s="286"/>
      <c r="Q8" s="286"/>
      <c r="R8" s="286"/>
      <c r="S8" s="286"/>
      <c r="T8" s="286"/>
      <c r="U8" s="286"/>
      <c r="V8" s="286"/>
      <c r="W8" s="286"/>
      <c r="X8" s="286"/>
      <c r="Y8" s="286"/>
      <c r="Z8" s="286"/>
      <c r="AA8" s="286"/>
      <c r="AB8" s="286"/>
    </row>
    <row r="9" spans="1:28" ht="15" x14ac:dyDescent="0.2">
      <c r="A9" s="125"/>
      <c r="B9" s="286"/>
      <c r="C9" s="286"/>
      <c r="D9" s="286"/>
      <c r="E9" s="286" t="s">
        <v>362</v>
      </c>
      <c r="F9" s="286"/>
      <c r="G9" s="286"/>
      <c r="H9" s="286"/>
      <c r="I9" s="286"/>
      <c r="J9" s="286"/>
      <c r="K9" s="286"/>
      <c r="L9" s="286"/>
      <c r="M9" s="286"/>
      <c r="N9" s="286"/>
      <c r="O9" s="286"/>
      <c r="P9" s="286"/>
      <c r="Q9" s="286"/>
      <c r="R9" s="286"/>
      <c r="S9" s="286"/>
      <c r="T9" s="286"/>
      <c r="U9" s="286"/>
      <c r="V9" s="286"/>
      <c r="W9" s="286"/>
      <c r="X9" s="286"/>
      <c r="Y9" s="286"/>
      <c r="Z9" s="286"/>
      <c r="AA9" s="286"/>
      <c r="AB9" s="286"/>
    </row>
    <row r="10" spans="1:28" x14ac:dyDescent="0.2">
      <c r="A10" s="279" t="s">
        <v>75</v>
      </c>
      <c r="B10" s="286" t="s">
        <v>20</v>
      </c>
      <c r="C10" s="286" t="s">
        <v>21</v>
      </c>
      <c r="D10" s="286" t="s">
        <v>23</v>
      </c>
      <c r="E10" s="286">
        <v>2</v>
      </c>
      <c r="F10" s="286">
        <f>E10+1</f>
        <v>3</v>
      </c>
      <c r="G10" s="286">
        <f t="shared" ref="G10:AB10" si="0">F10+1</f>
        <v>4</v>
      </c>
      <c r="H10" s="286">
        <f t="shared" si="0"/>
        <v>5</v>
      </c>
      <c r="I10" s="286">
        <f t="shared" si="0"/>
        <v>6</v>
      </c>
      <c r="J10" s="286">
        <f t="shared" si="0"/>
        <v>7</v>
      </c>
      <c r="K10" s="286">
        <f t="shared" si="0"/>
        <v>8</v>
      </c>
      <c r="L10" s="286">
        <f t="shared" si="0"/>
        <v>9</v>
      </c>
      <c r="M10" s="286">
        <f t="shared" si="0"/>
        <v>10</v>
      </c>
      <c r="N10" s="286">
        <f t="shared" si="0"/>
        <v>11</v>
      </c>
      <c r="O10" s="286">
        <f t="shared" si="0"/>
        <v>12</v>
      </c>
      <c r="P10" s="286">
        <f t="shared" si="0"/>
        <v>13</v>
      </c>
      <c r="Q10" s="286">
        <f t="shared" si="0"/>
        <v>14</v>
      </c>
      <c r="R10" s="286">
        <f t="shared" si="0"/>
        <v>15</v>
      </c>
      <c r="S10" s="286">
        <f t="shared" si="0"/>
        <v>16</v>
      </c>
      <c r="T10" s="286">
        <f t="shared" si="0"/>
        <v>17</v>
      </c>
      <c r="U10" s="286">
        <f t="shared" si="0"/>
        <v>18</v>
      </c>
      <c r="V10" s="286">
        <f t="shared" si="0"/>
        <v>19</v>
      </c>
      <c r="W10" s="286">
        <f t="shared" si="0"/>
        <v>20</v>
      </c>
      <c r="X10" s="286">
        <f t="shared" si="0"/>
        <v>21</v>
      </c>
      <c r="Y10" s="286">
        <f t="shared" si="0"/>
        <v>22</v>
      </c>
      <c r="Z10" s="286">
        <f t="shared" si="0"/>
        <v>23</v>
      </c>
      <c r="AA10" s="286">
        <f t="shared" si="0"/>
        <v>24</v>
      </c>
      <c r="AB10" s="286">
        <f t="shared" si="0"/>
        <v>25</v>
      </c>
    </row>
    <row r="11" spans="1:28" ht="15" x14ac:dyDescent="0.2">
      <c r="A11" s="283"/>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row>
    <row r="12" spans="1:28" x14ac:dyDescent="0.2">
      <c r="A12" s="286" t="str">
        <f>Productivity!A14</f>
        <v>Haul cover soil</v>
      </c>
      <c r="B12" s="286" t="str">
        <f>Productivity!B14</f>
        <v>OB Stockpile 1 through 4, Topsoil Stockpile, South OB Stockpile</v>
      </c>
      <c r="C12" s="286" t="str">
        <f>Productivity!C14</f>
        <v xml:space="preserve">SWRDF Top </v>
      </c>
      <c r="D12" s="286" t="str">
        <f>'13   EarthSum'!C95</f>
        <v>777F</v>
      </c>
      <c r="E12" s="294">
        <f>(Time!E14*('13   EarthSum'!$G95+'13   EarthSum'!$H95)*E$10)</f>
        <v>296615.85487594025</v>
      </c>
      <c r="F12" s="294">
        <f>(Time!F14*('13   EarthSum'!$G95+'13   EarthSum'!$H95)*F$10)</f>
        <v>387377.91010285716</v>
      </c>
      <c r="G12" s="294">
        <f>(Time!G14*('13   EarthSum'!$G95+'13   EarthSum'!$H95)*G$10)</f>
        <v>516503.8801371429</v>
      </c>
      <c r="H12" s="294">
        <f>(Time!H14*('13   EarthSum'!$G95+'13   EarthSum'!$H95)*H$10)</f>
        <v>645629.85017142864</v>
      </c>
      <c r="I12" s="294">
        <f>(Time!I14*('13   EarthSum'!$G95+'13   EarthSum'!$H95)*I$10)</f>
        <v>774755.82020571432</v>
      </c>
      <c r="J12" s="294">
        <f>(Time!J14*('13   EarthSum'!$G95+'13   EarthSum'!$H95)*J$10)</f>
        <v>903881.79024000012</v>
      </c>
      <c r="K12" s="294">
        <f>(Time!K14*('13   EarthSum'!$G95+'13   EarthSum'!$H95)*K$10)</f>
        <v>1033007.7602742858</v>
      </c>
      <c r="L12" s="294">
        <f>(Time!L14*('13   EarthSum'!$G95+'13   EarthSum'!$H95)*L$10)</f>
        <v>1162133.7303085716</v>
      </c>
      <c r="M12" s="294">
        <f>(Time!M14*('13   EarthSum'!$G95+'13   EarthSum'!$H95)*M$10)</f>
        <v>1291259.7003428573</v>
      </c>
      <c r="N12" s="294">
        <f>(Time!N14*('13   EarthSum'!$G95+'13   EarthSum'!$H95)*N$10)</f>
        <v>1420385.670377143</v>
      </c>
      <c r="O12" s="294">
        <f>(Time!O14*('13   EarthSum'!$G95+'13   EarthSum'!$H95)*O$10)</f>
        <v>1549511.6404114286</v>
      </c>
      <c r="P12" s="294">
        <f>(Time!P14*('13   EarthSum'!$G95+'13   EarthSum'!$H95)*P$10)</f>
        <v>1678637.6104457143</v>
      </c>
      <c r="Q12" s="294">
        <f>(Time!Q14*('13   EarthSum'!$G95+'13   EarthSum'!$H95)*Q$10)</f>
        <v>1807763.5804800002</v>
      </c>
      <c r="R12" s="294">
        <f>(Time!R14*('13   EarthSum'!$G95+'13   EarthSum'!$H95)*R$10)</f>
        <v>1936889.5505142859</v>
      </c>
      <c r="S12" s="294">
        <f>(Time!S14*('13   EarthSum'!$G95+'13   EarthSum'!$H95)*S$10)</f>
        <v>2066015.5205485716</v>
      </c>
      <c r="T12" s="294">
        <f>(Time!T14*('13   EarthSum'!$G95+'13   EarthSum'!$H95)*T$10)</f>
        <v>2195141.4905828573</v>
      </c>
      <c r="U12" s="294">
        <f>(Time!U14*('13   EarthSum'!$G95+'13   EarthSum'!$H95)*U$10)</f>
        <v>2324267.4606171432</v>
      </c>
      <c r="V12" s="294">
        <f>(Time!V14*('13   EarthSum'!$G95+'13   EarthSum'!$H95)*V$10)</f>
        <v>2453393.4306514286</v>
      </c>
      <c r="W12" s="294">
        <f>(Time!W14*('13   EarthSum'!$G95+'13   EarthSum'!$H95)*W$10)</f>
        <v>2582519.4006857146</v>
      </c>
      <c r="X12" s="294">
        <f>(Time!X14*('13   EarthSum'!$G95+'13   EarthSum'!$H95)*X$10)</f>
        <v>2711645.37072</v>
      </c>
      <c r="Y12" s="294">
        <f>(Time!Y14*('13   EarthSum'!$G95+'13   EarthSum'!$H95)*Y$10)</f>
        <v>2840771.3407542859</v>
      </c>
      <c r="Z12" s="294">
        <f>(Time!Z14*('13   EarthSum'!$G95+'13   EarthSum'!$H95)*Z$10)</f>
        <v>2969897.3107885718</v>
      </c>
      <c r="AA12" s="294">
        <f>(Time!AA14*('13   EarthSum'!$G95+'13   EarthSum'!$H95)*AA$10)</f>
        <v>3099023.2808228573</v>
      </c>
      <c r="AB12" s="294">
        <f>(Time!AB14*('13   EarthSum'!$G95+'13   EarthSum'!$H95)*AB$10)</f>
        <v>3228149.2508571432</v>
      </c>
    </row>
    <row r="13" spans="1:28" x14ac:dyDescent="0.2">
      <c r="A13" s="286" t="str">
        <f>Productivity!A15</f>
        <v>Haul cover soil</v>
      </c>
      <c r="B13" s="286" t="str">
        <f>Productivity!B15</f>
        <v>OB Stockpile 1 through 4, Topsoil Stockpile, South OB Stockpile</v>
      </c>
      <c r="C13" s="286" t="str">
        <f>Productivity!C15</f>
        <v>SWRDF Outslopes</v>
      </c>
      <c r="D13" s="286" t="str">
        <f>'13   EarthSum'!C96</f>
        <v>777F</v>
      </c>
      <c r="E13" s="294">
        <f>(Time!E15*('13   EarthSum'!$G96+'13   EarthSum'!$H96)*E$10)</f>
        <v>889847.56462782074</v>
      </c>
      <c r="F13" s="294">
        <f>(Time!F15*('13   EarthSum'!$G96+'13   EarthSum'!$H96)*F$10)</f>
        <v>1162133.7303085714</v>
      </c>
      <c r="G13" s="294">
        <f>(Time!G15*('13   EarthSum'!$G96+'13   EarthSum'!$H96)*G$10)</f>
        <v>1549511.6404114286</v>
      </c>
      <c r="H13" s="294">
        <f>(Time!H15*('13   EarthSum'!$G96+'13   EarthSum'!$H96)*H$10)</f>
        <v>1936889.5505142859</v>
      </c>
      <c r="I13" s="294">
        <f>(Time!I15*('13   EarthSum'!$G96+'13   EarthSum'!$H96)*I$10)</f>
        <v>2324267.4606171427</v>
      </c>
      <c r="J13" s="294">
        <f>(Time!J15*('13   EarthSum'!$G96+'13   EarthSum'!$H96)*J$10)</f>
        <v>2711645.37072</v>
      </c>
      <c r="K13" s="294">
        <f>(Time!K15*('13   EarthSum'!$G96+'13   EarthSum'!$H96)*K$10)</f>
        <v>3099023.2808228573</v>
      </c>
      <c r="L13" s="294">
        <f>(Time!L15*('13   EarthSum'!$G96+'13   EarthSum'!$H96)*L$10)</f>
        <v>3486401.1909257146</v>
      </c>
      <c r="M13" s="294">
        <f>(Time!M15*('13   EarthSum'!$G96+'13   EarthSum'!$H96)*M$10)</f>
        <v>3873779.1010285718</v>
      </c>
      <c r="N13" s="294">
        <f>(Time!N15*('13   EarthSum'!$G96+'13   EarthSum'!$H96)*N$10)</f>
        <v>4261157.0111314291</v>
      </c>
      <c r="O13" s="294">
        <f>(Time!O15*('13   EarthSum'!$G96+'13   EarthSum'!$H96)*O$10)</f>
        <v>4648534.9212342855</v>
      </c>
      <c r="P13" s="294">
        <f>(Time!P15*('13   EarthSum'!$G96+'13   EarthSum'!$H96)*P$10)</f>
        <v>5035912.8313371427</v>
      </c>
      <c r="Q13" s="294">
        <f>(Time!Q15*('13   EarthSum'!$G96+'13   EarthSum'!$H96)*Q$10)</f>
        <v>5423290.74144</v>
      </c>
      <c r="R13" s="294">
        <f>(Time!R15*('13   EarthSum'!$G96+'13   EarthSum'!$H96)*R$10)</f>
        <v>5810668.6515428573</v>
      </c>
      <c r="S13" s="294">
        <f>(Time!S15*('13   EarthSum'!$G96+'13   EarthSum'!$H96)*S$10)</f>
        <v>6198046.5616457146</v>
      </c>
      <c r="T13" s="294">
        <f>(Time!T15*('13   EarthSum'!$G96+'13   EarthSum'!$H96)*T$10)</f>
        <v>6585424.4717485718</v>
      </c>
      <c r="U13" s="294">
        <f>(Time!U15*('13   EarthSum'!$G96+'13   EarthSum'!$H96)*U$10)</f>
        <v>6972802.3818514291</v>
      </c>
      <c r="V13" s="294">
        <f>(Time!V15*('13   EarthSum'!$G96+'13   EarthSum'!$H96)*V$10)</f>
        <v>7360180.2919542864</v>
      </c>
      <c r="W13" s="294">
        <f>(Time!W15*('13   EarthSum'!$G96+'13   EarthSum'!$H96)*W$10)</f>
        <v>7747558.2020571437</v>
      </c>
      <c r="X13" s="294">
        <f>(Time!X15*('13   EarthSum'!$G96+'13   EarthSum'!$H96)*X$10)</f>
        <v>8134936.11216</v>
      </c>
      <c r="Y13" s="294">
        <f>(Time!Y15*('13   EarthSum'!$G96+'13   EarthSum'!$H96)*Y$10)</f>
        <v>8522314.0222628582</v>
      </c>
      <c r="Z13" s="294">
        <f>(Time!Z15*('13   EarthSum'!$G96+'13   EarthSum'!$H96)*Z$10)</f>
        <v>8909691.9323657155</v>
      </c>
      <c r="AA13" s="294">
        <f>(Time!AA15*('13   EarthSum'!$G96+'13   EarthSum'!$H96)*AA$10)</f>
        <v>9297069.8424685709</v>
      </c>
      <c r="AB13" s="294">
        <f>(Time!AB15*('13   EarthSum'!$G96+'13   EarthSum'!$H96)*AB$10)</f>
        <v>9684447.7525714282</v>
      </c>
    </row>
    <row r="14" spans="1:28" x14ac:dyDescent="0.2">
      <c r="A14" s="286" t="str">
        <f>Productivity!A16</f>
        <v>Haul cover soil</v>
      </c>
      <c r="B14" s="286" t="str">
        <f>Productivity!B16</f>
        <v>NOBS</v>
      </c>
      <c r="C14" s="286" t="str">
        <f>Productivity!C16</f>
        <v xml:space="preserve">SWRDF Top </v>
      </c>
      <c r="D14" s="286" t="str">
        <f>'13   EarthSum'!C97</f>
        <v>777F</v>
      </c>
      <c r="E14" s="294">
        <f>(Time!E16*('13   EarthSum'!$G97+'13   EarthSum'!$H97)*E$10)</f>
        <v>176612.91503707314</v>
      </c>
      <c r="F14" s="294">
        <f>(Time!F16*('13   EarthSum'!$G97+'13   EarthSum'!$H97)*F$10)</f>
        <v>176612.91503707314</v>
      </c>
      <c r="G14" s="294">
        <f>(Time!G16*('13   EarthSum'!$G97+'13   EarthSum'!$H97)*G$10)</f>
        <v>176612.91503707314</v>
      </c>
      <c r="H14" s="294">
        <f>(Time!H16*('13   EarthSum'!$G97+'13   EarthSum'!$H97)*H$10)</f>
        <v>187172.03402857139</v>
      </c>
      <c r="I14" s="294">
        <f>(Time!I16*('13   EarthSum'!$G97+'13   EarthSum'!$H97)*I$10)</f>
        <v>224606.44083428569</v>
      </c>
      <c r="J14" s="294">
        <f>(Time!J16*('13   EarthSum'!$G97+'13   EarthSum'!$H97)*J$10)</f>
        <v>262040.84763999996</v>
      </c>
      <c r="K14" s="294">
        <f>(Time!K16*('13   EarthSum'!$G97+'13   EarthSum'!$H97)*K$10)</f>
        <v>299475.25444571424</v>
      </c>
      <c r="L14" s="294">
        <f>(Time!L16*('13   EarthSum'!$G97+'13   EarthSum'!$H97)*L$10)</f>
        <v>336909.66125142854</v>
      </c>
      <c r="M14" s="294">
        <f>(Time!M16*('13   EarthSum'!$G97+'13   EarthSum'!$H97)*M$10)</f>
        <v>374344.06805714278</v>
      </c>
      <c r="N14" s="294">
        <f>(Time!N16*('13   EarthSum'!$G97+'13   EarthSum'!$H97)*N$10)</f>
        <v>411778.47486285708</v>
      </c>
      <c r="O14" s="294">
        <f>(Time!O16*('13   EarthSum'!$G97+'13   EarthSum'!$H97)*O$10)</f>
        <v>449212.88166857138</v>
      </c>
      <c r="P14" s="294">
        <f>(Time!P16*('13   EarthSum'!$G97+'13   EarthSum'!$H97)*P$10)</f>
        <v>486647.28847428563</v>
      </c>
      <c r="Q14" s="294">
        <f>(Time!Q16*('13   EarthSum'!$G97+'13   EarthSum'!$H97)*Q$10)</f>
        <v>524081.69527999993</v>
      </c>
      <c r="R14" s="294">
        <f>(Time!R16*('13   EarthSum'!$G97+'13   EarthSum'!$H97)*R$10)</f>
        <v>561516.10208571423</v>
      </c>
      <c r="S14" s="294">
        <f>(Time!S16*('13   EarthSum'!$G97+'13   EarthSum'!$H97)*S$10)</f>
        <v>598950.50889142847</v>
      </c>
      <c r="T14" s="294">
        <f>(Time!T16*('13   EarthSum'!$G97+'13   EarthSum'!$H97)*T$10)</f>
        <v>636384.91569714271</v>
      </c>
      <c r="U14" s="294">
        <f>(Time!U16*('13   EarthSum'!$G97+'13   EarthSum'!$H97)*U$10)</f>
        <v>673819.32250285707</v>
      </c>
      <c r="V14" s="294">
        <f>(Time!V16*('13   EarthSum'!$G97+'13   EarthSum'!$H97)*V$10)</f>
        <v>711253.72930857132</v>
      </c>
      <c r="W14" s="294">
        <f>(Time!W16*('13   EarthSum'!$G97+'13   EarthSum'!$H97)*W$10)</f>
        <v>748688.13611428556</v>
      </c>
      <c r="X14" s="294">
        <f>(Time!X16*('13   EarthSum'!$G97+'13   EarthSum'!$H97)*X$10)</f>
        <v>786122.54291999992</v>
      </c>
      <c r="Y14" s="294">
        <f>(Time!Y16*('13   EarthSum'!$G97+'13   EarthSum'!$H97)*Y$10)</f>
        <v>823556.94972571416</v>
      </c>
      <c r="Z14" s="294">
        <f>(Time!Z16*('13   EarthSum'!$G97+'13   EarthSum'!$H97)*Z$10)</f>
        <v>860991.35653142841</v>
      </c>
      <c r="AA14" s="294">
        <f>(Time!AA16*('13   EarthSum'!$G97+'13   EarthSum'!$H97)*AA$10)</f>
        <v>898425.76333714277</v>
      </c>
      <c r="AB14" s="294">
        <f>(Time!AB16*('13   EarthSum'!$G97+'13   EarthSum'!$H97)*AB$10)</f>
        <v>935860.17014285701</v>
      </c>
    </row>
    <row r="15" spans="1:28" x14ac:dyDescent="0.2">
      <c r="A15" s="286" t="str">
        <f>Productivity!A17</f>
        <v>Haul cover soil</v>
      </c>
      <c r="B15" s="286" t="str">
        <f>Productivity!B17</f>
        <v>NOBS</v>
      </c>
      <c r="C15" s="286" t="str">
        <f>Productivity!C17</f>
        <v>Hanover Mountain Deposit</v>
      </c>
      <c r="D15" s="286" t="str">
        <f>'13   EarthSum'!C98</f>
        <v>777F</v>
      </c>
      <c r="E15" s="294">
        <f>(Time!E17*('13   EarthSum'!$G98+'13   EarthSum'!$H98)*E$10)</f>
        <v>500452.71107907483</v>
      </c>
      <c r="F15" s="294">
        <f>(Time!F17*('13   EarthSum'!$G98+'13   EarthSum'!$H98)*F$10)</f>
        <v>500452.71107907477</v>
      </c>
      <c r="G15" s="294">
        <f>(Time!G17*('13   EarthSum'!$G98+'13   EarthSum'!$H98)*G$10)</f>
        <v>565608.12226285704</v>
      </c>
      <c r="H15" s="294">
        <f>(Time!H17*('13   EarthSum'!$G98+'13   EarthSum'!$H98)*H$10)</f>
        <v>707010.15282857127</v>
      </c>
      <c r="I15" s="294">
        <f>(Time!I17*('13   EarthSum'!$G98+'13   EarthSum'!$H98)*I$10)</f>
        <v>848412.18339428562</v>
      </c>
      <c r="J15" s="294">
        <f>(Time!J17*('13   EarthSum'!$G98+'13   EarthSum'!$H98)*J$10)</f>
        <v>989814.21395999985</v>
      </c>
      <c r="K15" s="294">
        <f>(Time!K17*('13   EarthSum'!$G98+'13   EarthSum'!$H98)*K$10)</f>
        <v>1131216.2445257141</v>
      </c>
      <c r="L15" s="294">
        <f>(Time!L17*('13   EarthSum'!$G98+'13   EarthSum'!$H98)*L$10)</f>
        <v>1272618.2750914283</v>
      </c>
      <c r="M15" s="294">
        <f>(Time!M17*('13   EarthSum'!$G98+'13   EarthSum'!$H98)*M$10)</f>
        <v>1414020.3056571425</v>
      </c>
      <c r="N15" s="294">
        <f>(Time!N17*('13   EarthSum'!$G98+'13   EarthSum'!$H98)*N$10)</f>
        <v>1555422.3362228568</v>
      </c>
      <c r="O15" s="294">
        <f>(Time!O17*('13   EarthSum'!$G98+'13   EarthSum'!$H98)*O$10)</f>
        <v>1696824.3667885712</v>
      </c>
      <c r="P15" s="294">
        <f>(Time!P17*('13   EarthSum'!$G98+'13   EarthSum'!$H98)*P$10)</f>
        <v>1838226.3973542855</v>
      </c>
      <c r="Q15" s="294">
        <f>(Time!Q17*('13   EarthSum'!$G98+'13   EarthSum'!$H98)*Q$10)</f>
        <v>1979628.4279199997</v>
      </c>
      <c r="R15" s="294">
        <f>(Time!R17*('13   EarthSum'!$G98+'13   EarthSum'!$H98)*R$10)</f>
        <v>2121030.4584857137</v>
      </c>
      <c r="S15" s="294">
        <f>(Time!S17*('13   EarthSum'!$G98+'13   EarthSum'!$H98)*S$10)</f>
        <v>2262432.4890514282</v>
      </c>
      <c r="T15" s="294">
        <f>(Time!T17*('13   EarthSum'!$G98+'13   EarthSum'!$H98)*T$10)</f>
        <v>2403834.5196171426</v>
      </c>
      <c r="U15" s="294">
        <f>(Time!U17*('13   EarthSum'!$G98+'13   EarthSum'!$H98)*U$10)</f>
        <v>2545236.5501828566</v>
      </c>
      <c r="V15" s="294">
        <f>(Time!V17*('13   EarthSum'!$G98+'13   EarthSum'!$H98)*V$10)</f>
        <v>2686638.5807485711</v>
      </c>
      <c r="W15" s="294">
        <f>(Time!W17*('13   EarthSum'!$G98+'13   EarthSum'!$H98)*W$10)</f>
        <v>2828040.6113142851</v>
      </c>
      <c r="X15" s="294">
        <f>(Time!X17*('13   EarthSum'!$G98+'13   EarthSum'!$H98)*X$10)</f>
        <v>2969442.6418799995</v>
      </c>
      <c r="Y15" s="294">
        <f>(Time!Y17*('13   EarthSum'!$G98+'13   EarthSum'!$H98)*Y$10)</f>
        <v>3110844.6724457135</v>
      </c>
      <c r="Z15" s="294">
        <f>(Time!Z17*('13   EarthSum'!$G98+'13   EarthSum'!$H98)*Z$10)</f>
        <v>3252246.703011428</v>
      </c>
      <c r="AA15" s="294">
        <f>(Time!AA17*('13   EarthSum'!$G98+'13   EarthSum'!$H98)*AA$10)</f>
        <v>3393648.7335771425</v>
      </c>
      <c r="AB15" s="294">
        <f>(Time!AB17*('13   EarthSum'!$G98+'13   EarthSum'!$H98)*AB$10)</f>
        <v>3535050.7641428565</v>
      </c>
    </row>
    <row r="16" spans="1:28" x14ac:dyDescent="0.2">
      <c r="A16" s="286" t="str">
        <f>Productivity!A18</f>
        <v>Haul cover soil</v>
      </c>
      <c r="B16" s="286" t="str">
        <f>Productivity!B18</f>
        <v>OB Stockpile 1 through 3, Topsoil Stockpile, South OB Stockpile</v>
      </c>
      <c r="C16" s="286" t="str">
        <f>Productivity!C18</f>
        <v>Pearson-Barnes Mine Area</v>
      </c>
      <c r="D16" s="286" t="str">
        <f>'13   EarthSum'!C99</f>
        <v>777F</v>
      </c>
      <c r="E16" s="294">
        <f>(Time!E18*('13   EarthSum'!$G99+'13   EarthSum'!$H99)*E$10)</f>
        <v>36070.400079999999</v>
      </c>
      <c r="F16" s="294">
        <f>(Time!F18*('13   EarthSum'!$G99+'13   EarthSum'!$H99)*F$10)</f>
        <v>54105.600120000003</v>
      </c>
      <c r="G16" s="294">
        <f>(Time!G18*('13   EarthSum'!$G99+'13   EarthSum'!$H99)*G$10)</f>
        <v>72140.800159999999</v>
      </c>
      <c r="H16" s="294">
        <f>(Time!H18*('13   EarthSum'!$G99+'13   EarthSum'!$H99)*H$10)</f>
        <v>90176.000199999995</v>
      </c>
      <c r="I16" s="294">
        <f>(Time!I18*('13   EarthSum'!$G99+'13   EarthSum'!$H99)*I$10)</f>
        <v>108211.20024000001</v>
      </c>
      <c r="J16" s="294">
        <f>(Time!J18*('13   EarthSum'!$G99+'13   EarthSum'!$H99)*J$10)</f>
        <v>126246.40028</v>
      </c>
      <c r="K16" s="294">
        <f>(Time!K18*('13   EarthSum'!$G99+'13   EarthSum'!$H99)*K$10)</f>
        <v>144281.60032</v>
      </c>
      <c r="L16" s="294">
        <f>(Time!L18*('13   EarthSum'!$G99+'13   EarthSum'!$H99)*L$10)</f>
        <v>162316.80035999999</v>
      </c>
      <c r="M16" s="294">
        <f>(Time!M18*('13   EarthSum'!$G99+'13   EarthSum'!$H99)*M$10)</f>
        <v>180352.00039999999</v>
      </c>
      <c r="N16" s="294">
        <f>(Time!N18*('13   EarthSum'!$G99+'13   EarthSum'!$H99)*N$10)</f>
        <v>198387.20043999999</v>
      </c>
      <c r="O16" s="294">
        <f>(Time!O18*('13   EarthSum'!$G99+'13   EarthSum'!$H99)*O$10)</f>
        <v>216422.40048000001</v>
      </c>
      <c r="P16" s="294">
        <f>(Time!P18*('13   EarthSum'!$G99+'13   EarthSum'!$H99)*P$10)</f>
        <v>234457.60052000001</v>
      </c>
      <c r="Q16" s="294">
        <f>(Time!Q18*('13   EarthSum'!$G99+'13   EarthSum'!$H99)*Q$10)</f>
        <v>252492.80056</v>
      </c>
      <c r="R16" s="294">
        <f>(Time!R18*('13   EarthSum'!$G99+'13   EarthSum'!$H99)*R$10)</f>
        <v>270528.00059999997</v>
      </c>
      <c r="S16" s="294">
        <f>(Time!S18*('13   EarthSum'!$G99+'13   EarthSum'!$H99)*S$10)</f>
        <v>288563.20064</v>
      </c>
      <c r="T16" s="294">
        <f>(Time!T18*('13   EarthSum'!$G99+'13   EarthSum'!$H99)*T$10)</f>
        <v>306598.40068000002</v>
      </c>
      <c r="U16" s="294">
        <f>(Time!U18*('13   EarthSum'!$G99+'13   EarthSum'!$H99)*U$10)</f>
        <v>324633.60071999999</v>
      </c>
      <c r="V16" s="294">
        <f>(Time!V18*('13   EarthSum'!$G99+'13   EarthSum'!$H99)*V$10)</f>
        <v>342668.80076000001</v>
      </c>
      <c r="W16" s="294">
        <f>(Time!W18*('13   EarthSum'!$G99+'13   EarthSum'!$H99)*W$10)</f>
        <v>360704.00079999998</v>
      </c>
      <c r="X16" s="294">
        <f>(Time!X18*('13   EarthSum'!$G99+'13   EarthSum'!$H99)*X$10)</f>
        <v>378739.20084</v>
      </c>
      <c r="Y16" s="294">
        <f>(Time!Y18*('13   EarthSum'!$G99+'13   EarthSum'!$H99)*Y$10)</f>
        <v>396774.40087999997</v>
      </c>
      <c r="Z16" s="294">
        <f>(Time!Z18*('13   EarthSum'!$G99+'13   EarthSum'!$H99)*Z$10)</f>
        <v>414809.60092</v>
      </c>
      <c r="AA16" s="294">
        <f>(Time!AA18*('13   EarthSum'!$G99+'13   EarthSum'!$H99)*AA$10)</f>
        <v>432844.80096000002</v>
      </c>
      <c r="AB16" s="294">
        <f>(Time!AB18*('13   EarthSum'!$G99+'13   EarthSum'!$H99)*AB$10)</f>
        <v>450880.00099999999</v>
      </c>
    </row>
    <row r="17" spans="1:28" x14ac:dyDescent="0.2">
      <c r="A17" s="286" t="str">
        <f>Productivity!A19</f>
        <v>Haul cover soil</v>
      </c>
      <c r="B17" s="286" t="str">
        <f>Productivity!B19</f>
        <v>OB-4 Stockpile</v>
      </c>
      <c r="C17" s="286" t="str">
        <f>Productivity!C19</f>
        <v>Low Grade WRF</v>
      </c>
      <c r="D17" s="286" t="str">
        <f>'13   EarthSum'!C100</f>
        <v>777F</v>
      </c>
      <c r="E17" s="294">
        <f>(Time!E19*('13   EarthSum'!$G100+'13   EarthSum'!$H100)*E$10)</f>
        <v>28118.746056761898</v>
      </c>
      <c r="F17" s="294">
        <f>(Time!F19*('13   EarthSum'!$G100+'13   EarthSum'!$H100)*F$10)</f>
        <v>42178.119085142847</v>
      </c>
      <c r="G17" s="294">
        <f>(Time!G19*('13   EarthSum'!$G100+'13   EarthSum'!$H100)*G$10)</f>
        <v>56237.492113523796</v>
      </c>
      <c r="H17" s="294">
        <f>(Time!H19*('13   EarthSum'!$G100+'13   EarthSum'!$H100)*H$10)</f>
        <v>70296.865141904738</v>
      </c>
      <c r="I17" s="294">
        <f>(Time!I19*('13   EarthSum'!$G100+'13   EarthSum'!$H100)*I$10)</f>
        <v>84356.238170285695</v>
      </c>
      <c r="J17" s="294">
        <f>(Time!J19*('13   EarthSum'!$G100+'13   EarthSum'!$H100)*J$10)</f>
        <v>98415.611198666651</v>
      </c>
      <c r="K17" s="294">
        <f>(Time!K19*('13   EarthSum'!$G100+'13   EarthSum'!$H100)*K$10)</f>
        <v>112474.98422704759</v>
      </c>
      <c r="L17" s="294">
        <f>(Time!L19*('13   EarthSum'!$G100+'13   EarthSum'!$H100)*L$10)</f>
        <v>126534.35725542853</v>
      </c>
      <c r="M17" s="294">
        <f>(Time!M19*('13   EarthSum'!$G100+'13   EarthSum'!$H100)*M$10)</f>
        <v>140593.73028380948</v>
      </c>
      <c r="N17" s="294">
        <f>(Time!N19*('13   EarthSum'!$G100+'13   EarthSum'!$H100)*N$10)</f>
        <v>154653.10331219045</v>
      </c>
      <c r="O17" s="294">
        <f>(Time!O19*('13   EarthSum'!$G100+'13   EarthSum'!$H100)*O$10)</f>
        <v>168712.47634057139</v>
      </c>
      <c r="P17" s="294">
        <f>(Time!P19*('13   EarthSum'!$G100+'13   EarthSum'!$H100)*P$10)</f>
        <v>182771.84936895233</v>
      </c>
      <c r="Q17" s="294">
        <f>(Time!Q19*('13   EarthSum'!$G100+'13   EarthSum'!$H100)*Q$10)</f>
        <v>196831.2223973333</v>
      </c>
      <c r="R17" s="294">
        <f>(Time!R19*('13   EarthSum'!$G100+'13   EarthSum'!$H100)*R$10)</f>
        <v>210890.59542571424</v>
      </c>
      <c r="S17" s="294">
        <f>(Time!S19*('13   EarthSum'!$G100+'13   EarthSum'!$H100)*S$10)</f>
        <v>224949.96845409519</v>
      </c>
      <c r="T17" s="294">
        <f>(Time!T19*('13   EarthSum'!$G100+'13   EarthSum'!$H100)*T$10)</f>
        <v>239009.34148247613</v>
      </c>
      <c r="U17" s="294">
        <f>(Time!U19*('13   EarthSum'!$G100+'13   EarthSum'!$H100)*U$10)</f>
        <v>253068.71451085707</v>
      </c>
      <c r="V17" s="294">
        <f>(Time!V19*('13   EarthSum'!$G100+'13   EarthSum'!$H100)*V$10)</f>
        <v>267128.08753923804</v>
      </c>
      <c r="W17" s="294">
        <f>(Time!W19*('13   EarthSum'!$G100+'13   EarthSum'!$H100)*W$10)</f>
        <v>281187.46056761895</v>
      </c>
      <c r="X17" s="294">
        <f>(Time!X19*('13   EarthSum'!$G100+'13   EarthSum'!$H100)*X$10)</f>
        <v>295246.83359599992</v>
      </c>
      <c r="Y17" s="294">
        <f>(Time!Y19*('13   EarthSum'!$G100+'13   EarthSum'!$H100)*Y$10)</f>
        <v>309306.20662438089</v>
      </c>
      <c r="Z17" s="294">
        <f>(Time!Z19*('13   EarthSum'!$G100+'13   EarthSum'!$H100)*Z$10)</f>
        <v>323365.57965276181</v>
      </c>
      <c r="AA17" s="294">
        <f>(Time!AA19*('13   EarthSum'!$G100+'13   EarthSum'!$H100)*AA$10)</f>
        <v>337424.95268114278</v>
      </c>
      <c r="AB17" s="294">
        <f>(Time!AB19*('13   EarthSum'!$G100+'13   EarthSum'!$H100)*AB$10)</f>
        <v>351484.32570952375</v>
      </c>
    </row>
    <row r="18" spans="1:28" x14ac:dyDescent="0.2">
      <c r="A18" s="286" t="str">
        <f>Productivity!A20</f>
        <v>Haul cover soil</v>
      </c>
      <c r="B18" s="286" t="str">
        <f>Productivity!B20</f>
        <v>NOBS</v>
      </c>
      <c r="C18" s="286" t="str">
        <f>Productivity!C20</f>
        <v>MTI Reclaim Pond</v>
      </c>
      <c r="D18" s="286" t="str">
        <f>'13   EarthSum'!C101</f>
        <v>777F</v>
      </c>
      <c r="E18" s="294">
        <f>(Time!E20*('13   EarthSum'!$G101+'13   EarthSum'!$H101)*E$10)</f>
        <v>187068.43594023734</v>
      </c>
      <c r="F18" s="294">
        <f>(Time!F20*('13   EarthSum'!$G101+'13   EarthSum'!$H101)*F$10)</f>
        <v>187068.43594023737</v>
      </c>
      <c r="G18" s="294">
        <f>(Time!G20*('13   EarthSum'!$G101+'13   EarthSum'!$H101)*G$10)</f>
        <v>200054.31977142853</v>
      </c>
      <c r="H18" s="294">
        <f>(Time!H20*('13   EarthSum'!$G101+'13   EarthSum'!$H101)*H$10)</f>
        <v>250067.89971428568</v>
      </c>
      <c r="I18" s="294">
        <f>(Time!I20*('13   EarthSum'!$G101+'13   EarthSum'!$H101)*I$10)</f>
        <v>300081.47965714277</v>
      </c>
      <c r="J18" s="294">
        <f>(Time!J20*('13   EarthSum'!$G101+'13   EarthSum'!$H101)*J$10)</f>
        <v>350095.05959999992</v>
      </c>
      <c r="K18" s="294">
        <f>(Time!K20*('13   EarthSum'!$G101+'13   EarthSum'!$H101)*K$10)</f>
        <v>400108.63954285707</v>
      </c>
      <c r="L18" s="294">
        <f>(Time!L20*('13   EarthSum'!$G101+'13   EarthSum'!$H101)*L$10)</f>
        <v>450122.21948571422</v>
      </c>
      <c r="M18" s="294">
        <f>(Time!M20*('13   EarthSum'!$G101+'13   EarthSum'!$H101)*M$10)</f>
        <v>500135.79942857136</v>
      </c>
      <c r="N18" s="294">
        <f>(Time!N20*('13   EarthSum'!$G101+'13   EarthSum'!$H101)*N$10)</f>
        <v>550149.37937142851</v>
      </c>
      <c r="O18" s="294">
        <f>(Time!O20*('13   EarthSum'!$G101+'13   EarthSum'!$H101)*O$10)</f>
        <v>600162.95931428554</v>
      </c>
      <c r="P18" s="294">
        <f>(Time!P20*('13   EarthSum'!$G101+'13   EarthSum'!$H101)*P$10)</f>
        <v>650176.53925714269</v>
      </c>
      <c r="Q18" s="294">
        <f>(Time!Q20*('13   EarthSum'!$G101+'13   EarthSum'!$H101)*Q$10)</f>
        <v>700190.11919999984</v>
      </c>
      <c r="R18" s="294">
        <f>(Time!R20*('13   EarthSum'!$G101+'13   EarthSum'!$H101)*R$10)</f>
        <v>750203.69914285699</v>
      </c>
      <c r="S18" s="294">
        <f>(Time!S20*('13   EarthSum'!$G101+'13   EarthSum'!$H101)*S$10)</f>
        <v>800217.27908571414</v>
      </c>
      <c r="T18" s="294">
        <f>(Time!T20*('13   EarthSum'!$G101+'13   EarthSum'!$H101)*T$10)</f>
        <v>850230.85902857129</v>
      </c>
      <c r="U18" s="294">
        <f>(Time!U20*('13   EarthSum'!$G101+'13   EarthSum'!$H101)*U$10)</f>
        <v>900244.43897142843</v>
      </c>
      <c r="V18" s="294">
        <f>(Time!V20*('13   EarthSum'!$G101+'13   EarthSum'!$H101)*V$10)</f>
        <v>950258.01891428558</v>
      </c>
      <c r="W18" s="294">
        <f>(Time!W20*('13   EarthSum'!$G101+'13   EarthSum'!$H101)*W$10)</f>
        <v>1000271.5988571427</v>
      </c>
      <c r="X18" s="294">
        <f>(Time!X20*('13   EarthSum'!$G101+'13   EarthSum'!$H101)*X$10)</f>
        <v>1050285.1787999999</v>
      </c>
      <c r="Y18" s="294">
        <f>(Time!Y20*('13   EarthSum'!$G101+'13   EarthSum'!$H101)*Y$10)</f>
        <v>1100298.758742857</v>
      </c>
      <c r="Z18" s="294">
        <f>(Time!Z20*('13   EarthSum'!$G101+'13   EarthSum'!$H101)*Z$10)</f>
        <v>1150312.3386857142</v>
      </c>
      <c r="AA18" s="294">
        <f>(Time!AA20*('13   EarthSum'!$G101+'13   EarthSum'!$H101)*AA$10)</f>
        <v>1200325.9186285711</v>
      </c>
      <c r="AB18" s="294">
        <f>(Time!AB20*('13   EarthSum'!$G101+'13   EarthSum'!$H101)*AB$10)</f>
        <v>1250339.4985714282</v>
      </c>
    </row>
    <row r="19" spans="1:28" x14ac:dyDescent="0.2">
      <c r="A19" s="286" t="str">
        <f>Productivity!A21</f>
        <v>Haul cover soil</v>
      </c>
      <c r="B19" s="286" t="str">
        <f>Productivity!B21</f>
        <v>NOBS</v>
      </c>
      <c r="C19" s="286" t="str">
        <f>Productivity!C21</f>
        <v>MTI  Top</v>
      </c>
      <c r="D19" s="286" t="str">
        <f>'13   EarthSum'!C102</f>
        <v>777F</v>
      </c>
      <c r="E19" s="294">
        <f>(Time!E21*('13   EarthSum'!$G102+'13   EarthSum'!$H102)*E$10)</f>
        <v>222865.94647693291</v>
      </c>
      <c r="F19" s="294">
        <f>(Time!F21*('13   EarthSum'!$G102+'13   EarthSum'!$H102)*F$10)</f>
        <v>222865.94647693291</v>
      </c>
      <c r="G19" s="294">
        <f>(Time!G21*('13   EarthSum'!$G102+'13   EarthSum'!$H102)*G$10)</f>
        <v>238336.81560742861</v>
      </c>
      <c r="H19" s="294">
        <f>(Time!H21*('13   EarthSum'!$G102+'13   EarthSum'!$H102)*H$10)</f>
        <v>297921.01950928575</v>
      </c>
      <c r="I19" s="294">
        <f>(Time!I21*('13   EarthSum'!$G102+'13   EarthSum'!$H102)*I$10)</f>
        <v>357505.22341114294</v>
      </c>
      <c r="J19" s="294">
        <f>(Time!J21*('13   EarthSum'!$G102+'13   EarthSum'!$H102)*J$10)</f>
        <v>417089.42731300008</v>
      </c>
      <c r="K19" s="294">
        <f>(Time!K21*('13   EarthSum'!$G102+'13   EarthSum'!$H102)*K$10)</f>
        <v>476673.63121485722</v>
      </c>
      <c r="L19" s="294">
        <f>(Time!L21*('13   EarthSum'!$G102+'13   EarthSum'!$H102)*L$10)</f>
        <v>536257.83511671436</v>
      </c>
      <c r="M19" s="294">
        <f>(Time!M21*('13   EarthSum'!$G102+'13   EarthSum'!$H102)*M$10)</f>
        <v>595842.03901857149</v>
      </c>
      <c r="N19" s="294">
        <f>(Time!N21*('13   EarthSum'!$G102+'13   EarthSum'!$H102)*N$10)</f>
        <v>655426.24292042863</v>
      </c>
      <c r="O19" s="294">
        <f>(Time!O21*('13   EarthSum'!$G102+'13   EarthSum'!$H102)*O$10)</f>
        <v>715010.44682228588</v>
      </c>
      <c r="P19" s="294">
        <f>(Time!P21*('13   EarthSum'!$G102+'13   EarthSum'!$H102)*P$10)</f>
        <v>774594.65072414302</v>
      </c>
      <c r="Q19" s="294">
        <f>(Time!Q21*('13   EarthSum'!$G102+'13   EarthSum'!$H102)*Q$10)</f>
        <v>834178.85462600016</v>
      </c>
      <c r="R19" s="294">
        <f>(Time!R21*('13   EarthSum'!$G102+'13   EarthSum'!$H102)*R$10)</f>
        <v>893763.0585278573</v>
      </c>
      <c r="S19" s="294">
        <f>(Time!S21*('13   EarthSum'!$G102+'13   EarthSum'!$H102)*S$10)</f>
        <v>953347.26242971444</v>
      </c>
      <c r="T19" s="294">
        <f>(Time!T21*('13   EarthSum'!$G102+'13   EarthSum'!$H102)*T$10)</f>
        <v>1012931.4663315716</v>
      </c>
      <c r="U19" s="294">
        <f>(Time!U21*('13   EarthSum'!$G102+'13   EarthSum'!$H102)*U$10)</f>
        <v>1072515.6702334287</v>
      </c>
      <c r="V19" s="294">
        <f>(Time!V21*('13   EarthSum'!$G102+'13   EarthSum'!$H102)*V$10)</f>
        <v>1132099.8741352858</v>
      </c>
      <c r="W19" s="294">
        <f>(Time!W21*('13   EarthSum'!$G102+'13   EarthSum'!$H102)*W$10)</f>
        <v>1191684.078037143</v>
      </c>
      <c r="X19" s="294">
        <f>(Time!X21*('13   EarthSum'!$G102+'13   EarthSum'!$H102)*X$10)</f>
        <v>1251268.2819390001</v>
      </c>
      <c r="Y19" s="294">
        <f>(Time!Y21*('13   EarthSum'!$G102+'13   EarthSum'!$H102)*Y$10)</f>
        <v>1310852.4858408573</v>
      </c>
      <c r="Z19" s="294">
        <f>(Time!Z21*('13   EarthSum'!$G102+'13   EarthSum'!$H102)*Z$10)</f>
        <v>1370436.6897427144</v>
      </c>
      <c r="AA19" s="294">
        <f>(Time!AA21*('13   EarthSum'!$G102+'13   EarthSum'!$H102)*AA$10)</f>
        <v>1430020.8936445718</v>
      </c>
      <c r="AB19" s="294">
        <f>(Time!AB21*('13   EarthSum'!$G102+'13   EarthSum'!$H102)*AB$10)</f>
        <v>1489605.0975464289</v>
      </c>
    </row>
    <row r="20" spans="1:28" x14ac:dyDescent="0.2">
      <c r="A20" s="286" t="str">
        <f>Productivity!A22</f>
        <v>Haul cover soil</v>
      </c>
      <c r="B20" s="286" t="str">
        <f>Productivity!B22</f>
        <v>NOBS</v>
      </c>
      <c r="C20" s="286" t="str">
        <f>Productivity!C22</f>
        <v>MTI  Outslope</v>
      </c>
      <c r="D20" s="286" t="str">
        <f>'13   EarthSum'!C103</f>
        <v>777F</v>
      </c>
      <c r="E20" s="294">
        <f>(Time!E22*('13   EarthSum'!$G103+'13   EarthSum'!$H103)*E$10)</f>
        <v>205945.34174875219</v>
      </c>
      <c r="F20" s="294">
        <f>(Time!F22*('13   EarthSum'!$G103+'13   EarthSum'!$H103)*F$10)</f>
        <v>205945.34174875217</v>
      </c>
      <c r="G20" s="294">
        <f>(Time!G22*('13   EarthSum'!$G103+'13   EarthSum'!$H103)*G$10)</f>
        <v>220241.619312</v>
      </c>
      <c r="H20" s="294">
        <f>(Time!H22*('13   EarthSum'!$G103+'13   EarthSum'!$H103)*H$10)</f>
        <v>275302.02413999999</v>
      </c>
      <c r="I20" s="294">
        <f>(Time!I22*('13   EarthSum'!$G103+'13   EarthSum'!$H103)*I$10)</f>
        <v>330362.42896799999</v>
      </c>
      <c r="J20" s="294">
        <f>(Time!J22*('13   EarthSum'!$G103+'13   EarthSum'!$H103)*J$10)</f>
        <v>385422.83379599999</v>
      </c>
      <c r="K20" s="294">
        <f>(Time!K22*('13   EarthSum'!$G103+'13   EarthSum'!$H103)*K$10)</f>
        <v>440483.23862399999</v>
      </c>
      <c r="L20" s="294">
        <f>(Time!L22*('13   EarthSum'!$G103+'13   EarthSum'!$H103)*L$10)</f>
        <v>495543.64345199999</v>
      </c>
      <c r="M20" s="294">
        <f>(Time!M22*('13   EarthSum'!$G103+'13   EarthSum'!$H103)*M$10)</f>
        <v>550604.04827999999</v>
      </c>
      <c r="N20" s="294">
        <f>(Time!N22*('13   EarthSum'!$G103+'13   EarthSum'!$H103)*N$10)</f>
        <v>605664.45310799999</v>
      </c>
      <c r="O20" s="294">
        <f>(Time!O22*('13   EarthSum'!$G103+'13   EarthSum'!$H103)*O$10)</f>
        <v>660724.85793599999</v>
      </c>
      <c r="P20" s="294">
        <f>(Time!P22*('13   EarthSum'!$G103+'13   EarthSum'!$H103)*P$10)</f>
        <v>715785.26276399998</v>
      </c>
      <c r="Q20" s="294">
        <f>(Time!Q22*('13   EarthSum'!$G103+'13   EarthSum'!$H103)*Q$10)</f>
        <v>770845.66759199998</v>
      </c>
      <c r="R20" s="294">
        <f>(Time!R22*('13   EarthSum'!$G103+'13   EarthSum'!$H103)*R$10)</f>
        <v>825906.07241999998</v>
      </c>
      <c r="S20" s="294">
        <f>(Time!S22*('13   EarthSum'!$G103+'13   EarthSum'!$H103)*S$10)</f>
        <v>880966.47724799998</v>
      </c>
      <c r="T20" s="294">
        <f>(Time!T22*('13   EarthSum'!$G103+'13   EarthSum'!$H103)*T$10)</f>
        <v>936026.88207599998</v>
      </c>
      <c r="U20" s="294">
        <f>(Time!U22*('13   EarthSum'!$G103+'13   EarthSum'!$H103)*U$10)</f>
        <v>991087.28690399998</v>
      </c>
      <c r="V20" s="294">
        <f>(Time!V22*('13   EarthSum'!$G103+'13   EarthSum'!$H103)*V$10)</f>
        <v>1046147.691732</v>
      </c>
      <c r="W20" s="294">
        <f>(Time!W22*('13   EarthSum'!$G103+'13   EarthSum'!$H103)*W$10)</f>
        <v>1101208.09656</v>
      </c>
      <c r="X20" s="294">
        <f>(Time!X22*('13   EarthSum'!$G103+'13   EarthSum'!$H103)*X$10)</f>
        <v>1156268.5013879999</v>
      </c>
      <c r="Y20" s="294">
        <f>(Time!Y22*('13   EarthSum'!$G103+'13   EarthSum'!$H103)*Y$10)</f>
        <v>1211328.906216</v>
      </c>
      <c r="Z20" s="294">
        <f>(Time!Z22*('13   EarthSum'!$G103+'13   EarthSum'!$H103)*Z$10)</f>
        <v>1266389.3110440001</v>
      </c>
      <c r="AA20" s="294">
        <f>(Time!AA22*('13   EarthSum'!$G103+'13   EarthSum'!$H103)*AA$10)</f>
        <v>1321449.715872</v>
      </c>
      <c r="AB20" s="294">
        <f>(Time!AB22*('13   EarthSum'!$G103+'13   EarthSum'!$H103)*AB$10)</f>
        <v>1376510.1206999999</v>
      </c>
    </row>
    <row r="21" spans="1:28" x14ac:dyDescent="0.2">
      <c r="A21" s="286" t="str">
        <f>Productivity!A23</f>
        <v>Haul cover soil</v>
      </c>
      <c r="B21" s="286" t="str">
        <f>Productivity!B23</f>
        <v>Reclaim Pond Outlet Channel</v>
      </c>
      <c r="C21" s="286" t="str">
        <f>Productivity!C23</f>
        <v>MTI  Top</v>
      </c>
      <c r="D21" s="286" t="str">
        <f>'13   EarthSum'!C104</f>
        <v>777F</v>
      </c>
      <c r="E21" s="294">
        <f>(Time!E23*('13   EarthSum'!$G104+'13   EarthSum'!$H104)*E$10)</f>
        <v>44815.511887714281</v>
      </c>
      <c r="F21" s="294">
        <f>(Time!F23*('13   EarthSum'!$G104+'13   EarthSum'!$H104)*F$10)</f>
        <v>67223.267831571429</v>
      </c>
      <c r="G21" s="294">
        <f>(Time!G23*('13   EarthSum'!$G104+'13   EarthSum'!$H104)*G$10)</f>
        <v>89631.023775428563</v>
      </c>
      <c r="H21" s="294">
        <f>(Time!H23*('13   EarthSum'!$G104+'13   EarthSum'!$H104)*H$10)</f>
        <v>112038.7797192857</v>
      </c>
      <c r="I21" s="294">
        <f>(Time!I23*('13   EarthSum'!$G104+'13   EarthSum'!$H104)*I$10)</f>
        <v>134446.53566314286</v>
      </c>
      <c r="J21" s="294">
        <f>(Time!J23*('13   EarthSum'!$G104+'13   EarthSum'!$H104)*J$10)</f>
        <v>156854.29160699999</v>
      </c>
      <c r="K21" s="294">
        <f>(Time!K23*('13   EarthSum'!$G104+'13   EarthSum'!$H104)*K$10)</f>
        <v>179262.04755085713</v>
      </c>
      <c r="L21" s="294">
        <f>(Time!L23*('13   EarthSum'!$G104+'13   EarthSum'!$H104)*L$10)</f>
        <v>201669.80349471426</v>
      </c>
      <c r="M21" s="294">
        <f>(Time!M23*('13   EarthSum'!$G104+'13   EarthSum'!$H104)*M$10)</f>
        <v>224077.55943857139</v>
      </c>
      <c r="N21" s="294">
        <f>(Time!N23*('13   EarthSum'!$G104+'13   EarthSum'!$H104)*N$10)</f>
        <v>246485.31538242855</v>
      </c>
      <c r="O21" s="294">
        <f>(Time!O23*('13   EarthSum'!$G104+'13   EarthSum'!$H104)*O$10)</f>
        <v>268893.07132628572</v>
      </c>
      <c r="P21" s="294">
        <f>(Time!P23*('13   EarthSum'!$G104+'13   EarthSum'!$H104)*P$10)</f>
        <v>291300.82727014285</v>
      </c>
      <c r="Q21" s="294">
        <f>(Time!Q23*('13   EarthSum'!$G104+'13   EarthSum'!$H104)*Q$10)</f>
        <v>313708.58321399998</v>
      </c>
      <c r="R21" s="294">
        <f>(Time!R23*('13   EarthSum'!$G104+'13   EarthSum'!$H104)*R$10)</f>
        <v>336116.33915785712</v>
      </c>
      <c r="S21" s="294">
        <f>(Time!S23*('13   EarthSum'!$G104+'13   EarthSum'!$H104)*S$10)</f>
        <v>358524.09510171425</v>
      </c>
      <c r="T21" s="294">
        <f>(Time!T23*('13   EarthSum'!$G104+'13   EarthSum'!$H104)*T$10)</f>
        <v>380931.85104557138</v>
      </c>
      <c r="U21" s="294">
        <f>(Time!U23*('13   EarthSum'!$G104+'13   EarthSum'!$H104)*U$10)</f>
        <v>403339.60698942852</v>
      </c>
      <c r="V21" s="294">
        <f>(Time!V23*('13   EarthSum'!$G104+'13   EarthSum'!$H104)*V$10)</f>
        <v>425747.36293328565</v>
      </c>
      <c r="W21" s="294">
        <f>(Time!W23*('13   EarthSum'!$G104+'13   EarthSum'!$H104)*W$10)</f>
        <v>448155.11887714278</v>
      </c>
      <c r="X21" s="294">
        <f>(Time!X23*('13   EarthSum'!$G104+'13   EarthSum'!$H104)*X$10)</f>
        <v>470562.87482099998</v>
      </c>
      <c r="Y21" s="294">
        <f>(Time!Y23*('13   EarthSum'!$G104+'13   EarthSum'!$H104)*Y$10)</f>
        <v>492970.63076485711</v>
      </c>
      <c r="Z21" s="294">
        <f>(Time!Z23*('13   EarthSum'!$G104+'13   EarthSum'!$H104)*Z$10)</f>
        <v>515378.38670871424</v>
      </c>
      <c r="AA21" s="294">
        <f>(Time!AA23*('13   EarthSum'!$G104+'13   EarthSum'!$H104)*AA$10)</f>
        <v>537786.14265257143</v>
      </c>
      <c r="AB21" s="294">
        <f>(Time!AB23*('13   EarthSum'!$G104+'13   EarthSum'!$H104)*AB$10)</f>
        <v>560193.89859642857</v>
      </c>
    </row>
    <row r="22" spans="1:28" x14ac:dyDescent="0.2">
      <c r="A22" s="286" t="str">
        <f>Productivity!A24</f>
        <v>Haul cover soil</v>
      </c>
      <c r="B22" s="286" t="str">
        <f>Productivity!B24</f>
        <v>NOBS</v>
      </c>
      <c r="C22" s="286" t="str">
        <f>Productivity!C24</f>
        <v>Tailing Pipeline Corridor</v>
      </c>
      <c r="D22" s="286" t="str">
        <f>'13   EarthSum'!C105</f>
        <v>777F</v>
      </c>
      <c r="E22" s="294">
        <f>(Time!E24*('13   EarthSum'!$G105+'13   EarthSum'!$H105)*E$10)</f>
        <v>8196.998738472219</v>
      </c>
      <c r="F22" s="294">
        <f>(Time!F24*('13   EarthSum'!$G105+'13   EarthSum'!$H105)*F$10)</f>
        <v>8196.9987384722172</v>
      </c>
      <c r="G22" s="294">
        <f>(Time!G24*('13   EarthSum'!$G105+'13   EarthSum'!$H105)*G$10)</f>
        <v>8766.0165572571423</v>
      </c>
      <c r="H22" s="294">
        <f>(Time!H24*('13   EarthSum'!$G105+'13   EarthSum'!$H105)*H$10)</f>
        <v>10957.520696571428</v>
      </c>
      <c r="I22" s="294">
        <f>(Time!I24*('13   EarthSum'!$G105+'13   EarthSum'!$H105)*I$10)</f>
        <v>13149.024835885713</v>
      </c>
      <c r="J22" s="294">
        <f>(Time!J24*('13   EarthSum'!$G105+'13   EarthSum'!$H105)*J$10)</f>
        <v>15340.528975199999</v>
      </c>
      <c r="K22" s="294">
        <f>(Time!K24*('13   EarthSum'!$G105+'13   EarthSum'!$H105)*K$10)</f>
        <v>17532.033114514285</v>
      </c>
      <c r="L22" s="294">
        <f>(Time!L24*('13   EarthSum'!$G105+'13   EarthSum'!$H105)*L$10)</f>
        <v>19723.53725382857</v>
      </c>
      <c r="M22" s="294">
        <f>(Time!M24*('13   EarthSum'!$G105+'13   EarthSum'!$H105)*M$10)</f>
        <v>21915.041393142856</v>
      </c>
      <c r="N22" s="294">
        <f>(Time!N24*('13   EarthSum'!$G105+'13   EarthSum'!$H105)*N$10)</f>
        <v>24106.545532457141</v>
      </c>
      <c r="O22" s="294">
        <f>(Time!O24*('13   EarthSum'!$G105+'13   EarthSum'!$H105)*O$10)</f>
        <v>26298.049671771427</v>
      </c>
      <c r="P22" s="294">
        <f>(Time!P24*('13   EarthSum'!$G105+'13   EarthSum'!$H105)*P$10)</f>
        <v>28489.553811085712</v>
      </c>
      <c r="Q22" s="294">
        <f>(Time!Q24*('13   EarthSum'!$G105+'13   EarthSum'!$H105)*Q$10)</f>
        <v>30681.057950399998</v>
      </c>
      <c r="R22" s="294">
        <f>(Time!R24*('13   EarthSum'!$G105+'13   EarthSum'!$H105)*R$10)</f>
        <v>32872.56208971428</v>
      </c>
      <c r="S22" s="294">
        <f>(Time!S24*('13   EarthSum'!$G105+'13   EarthSum'!$H105)*S$10)</f>
        <v>35064.066229028569</v>
      </c>
      <c r="T22" s="294">
        <f>(Time!T24*('13   EarthSum'!$G105+'13   EarthSum'!$H105)*T$10)</f>
        <v>37255.570368342858</v>
      </c>
      <c r="U22" s="294">
        <f>(Time!U24*('13   EarthSum'!$G105+'13   EarthSum'!$H105)*U$10)</f>
        <v>39447.07450765714</v>
      </c>
      <c r="V22" s="294">
        <f>(Time!V24*('13   EarthSum'!$G105+'13   EarthSum'!$H105)*V$10)</f>
        <v>41638.578646971422</v>
      </c>
      <c r="W22" s="294">
        <f>(Time!W24*('13   EarthSum'!$G105+'13   EarthSum'!$H105)*W$10)</f>
        <v>43830.082786285711</v>
      </c>
      <c r="X22" s="294">
        <f>(Time!X24*('13   EarthSum'!$G105+'13   EarthSum'!$H105)*X$10)</f>
        <v>46021.586925600001</v>
      </c>
      <c r="Y22" s="294">
        <f>(Time!Y24*('13   EarthSum'!$G105+'13   EarthSum'!$H105)*Y$10)</f>
        <v>48213.091064914282</v>
      </c>
      <c r="Z22" s="294">
        <f>(Time!Z24*('13   EarthSum'!$G105+'13   EarthSum'!$H105)*Z$10)</f>
        <v>50404.595204228564</v>
      </c>
      <c r="AA22" s="294">
        <f>(Time!AA24*('13   EarthSum'!$G105+'13   EarthSum'!$H105)*AA$10)</f>
        <v>52596.099343542854</v>
      </c>
      <c r="AB22" s="294">
        <f>(Time!AB24*('13   EarthSum'!$G105+'13   EarthSum'!$H105)*AB$10)</f>
        <v>54787.603482857143</v>
      </c>
    </row>
    <row r="23" spans="1:28" x14ac:dyDescent="0.2">
      <c r="A23" s="286" t="str">
        <f>Productivity!A25</f>
        <v>Haul cover soil</v>
      </c>
      <c r="B23" s="286" t="str">
        <f>Productivity!B25</f>
        <v>NOBS</v>
      </c>
      <c r="C23" s="286" t="str">
        <f>Productivity!C25</f>
        <v>Grape Gulch Pond #3</v>
      </c>
      <c r="D23" s="286" t="str">
        <f>'13   EarthSum'!C106</f>
        <v>777F</v>
      </c>
      <c r="E23" s="294">
        <f>(Time!E25*('13   EarthSum'!$G106+'13   EarthSum'!$H106)*E$10)</f>
        <v>1542.0927319203618</v>
      </c>
      <c r="F23" s="294">
        <f>(Time!F25*('13   EarthSum'!$G106+'13   EarthSum'!$H106)*F$10)</f>
        <v>1727.7418525714281</v>
      </c>
      <c r="G23" s="294">
        <f>(Time!G25*('13   EarthSum'!$G106+'13   EarthSum'!$H106)*G$10)</f>
        <v>2303.6558034285708</v>
      </c>
      <c r="H23" s="294">
        <f>(Time!H25*('13   EarthSum'!$G106+'13   EarthSum'!$H106)*H$10)</f>
        <v>2879.5697542857133</v>
      </c>
      <c r="I23" s="294">
        <f>(Time!I25*('13   EarthSum'!$G106+'13   EarthSum'!$H106)*I$10)</f>
        <v>3455.4837051428563</v>
      </c>
      <c r="J23" s="294">
        <f>(Time!J25*('13   EarthSum'!$G106+'13   EarthSum'!$H106)*J$10)</f>
        <v>4031.3976559999992</v>
      </c>
      <c r="K23" s="294">
        <f>(Time!K25*('13   EarthSum'!$G106+'13   EarthSum'!$H106)*K$10)</f>
        <v>4607.3116068571417</v>
      </c>
      <c r="L23" s="294">
        <f>(Time!L25*('13   EarthSum'!$G106+'13   EarthSum'!$H106)*L$10)</f>
        <v>5183.2255577142842</v>
      </c>
      <c r="M23" s="294">
        <f>(Time!M25*('13   EarthSum'!$G106+'13   EarthSum'!$H106)*M$10)</f>
        <v>5759.1395085714266</v>
      </c>
      <c r="N23" s="294">
        <f>(Time!N25*('13   EarthSum'!$G106+'13   EarthSum'!$H106)*N$10)</f>
        <v>6335.05345942857</v>
      </c>
      <c r="O23" s="294">
        <f>(Time!O25*('13   EarthSum'!$G106+'13   EarthSum'!$H106)*O$10)</f>
        <v>6910.9674102857125</v>
      </c>
      <c r="P23" s="294">
        <f>(Time!P25*('13   EarthSum'!$G106+'13   EarthSum'!$H106)*P$10)</f>
        <v>7486.881361142855</v>
      </c>
      <c r="Q23" s="294">
        <f>(Time!Q25*('13   EarthSum'!$G106+'13   EarthSum'!$H106)*Q$10)</f>
        <v>8062.7953119999984</v>
      </c>
      <c r="R23" s="294">
        <f>(Time!R25*('13   EarthSum'!$G106+'13   EarthSum'!$H106)*R$10)</f>
        <v>8638.7092628571409</v>
      </c>
      <c r="S23" s="294">
        <f>(Time!S25*('13   EarthSum'!$G106+'13   EarthSum'!$H106)*S$10)</f>
        <v>9214.6232137142833</v>
      </c>
      <c r="T23" s="294">
        <f>(Time!T25*('13   EarthSum'!$G106+'13   EarthSum'!$H106)*T$10)</f>
        <v>9790.5371645714258</v>
      </c>
      <c r="U23" s="294">
        <f>(Time!U25*('13   EarthSum'!$G106+'13   EarthSum'!$H106)*U$10)</f>
        <v>10366.451115428568</v>
      </c>
      <c r="V23" s="294">
        <f>(Time!V25*('13   EarthSum'!$G106+'13   EarthSum'!$H106)*V$10)</f>
        <v>10942.365066285711</v>
      </c>
      <c r="W23" s="294">
        <f>(Time!W25*('13   EarthSum'!$G106+'13   EarthSum'!$H106)*W$10)</f>
        <v>11518.279017142853</v>
      </c>
      <c r="X23" s="294">
        <f>(Time!X25*('13   EarthSum'!$G106+'13   EarthSum'!$H106)*X$10)</f>
        <v>12094.192967999998</v>
      </c>
      <c r="Y23" s="294">
        <f>(Time!Y25*('13   EarthSum'!$G106+'13   EarthSum'!$H106)*Y$10)</f>
        <v>12670.10691885714</v>
      </c>
      <c r="Z23" s="294">
        <f>(Time!Z25*('13   EarthSum'!$G106+'13   EarthSum'!$H106)*Z$10)</f>
        <v>13246.020869714283</v>
      </c>
      <c r="AA23" s="294">
        <f>(Time!AA25*('13   EarthSum'!$G106+'13   EarthSum'!$H106)*AA$10)</f>
        <v>13821.934820571425</v>
      </c>
      <c r="AB23" s="294">
        <f>(Time!AB25*('13   EarthSum'!$G106+'13   EarthSum'!$H106)*AB$10)</f>
        <v>14397.848771428567</v>
      </c>
    </row>
    <row r="24" spans="1:28" x14ac:dyDescent="0.2">
      <c r="A24" s="286" t="str">
        <f>Productivity!A26</f>
        <v>Haul cover soil</v>
      </c>
      <c r="B24" s="286" t="str">
        <f>Productivity!B26</f>
        <v>NOBS</v>
      </c>
      <c r="C24" s="286" t="str">
        <f>Productivity!C26</f>
        <v>Magnetite Seepage Pond</v>
      </c>
      <c r="D24" s="286" t="str">
        <f>'13   EarthSum'!C107</f>
        <v>777F</v>
      </c>
      <c r="E24" s="294">
        <f>(Time!E26*('13   EarthSum'!$G107+'13   EarthSum'!$H107)*E$10)</f>
        <v>971.43724863627699</v>
      </c>
      <c r="F24" s="294">
        <f>(Time!F26*('13   EarthSum'!$G107+'13   EarthSum'!$H107)*F$10)</f>
        <v>971.43724863627722</v>
      </c>
      <c r="G24" s="294">
        <f>(Time!G26*('13   EarthSum'!$G107+'13   EarthSum'!$H107)*G$10)</f>
        <v>1212.4504228571427</v>
      </c>
      <c r="H24" s="294">
        <f>(Time!H26*('13   EarthSum'!$G107+'13   EarthSum'!$H107)*H$10)</f>
        <v>1515.5630285714283</v>
      </c>
      <c r="I24" s="294">
        <f>(Time!I26*('13   EarthSum'!$G107+'13   EarthSum'!$H107)*I$10)</f>
        <v>1818.6756342857141</v>
      </c>
      <c r="J24" s="294">
        <f>(Time!J26*('13   EarthSum'!$G107+'13   EarthSum'!$H107)*J$10)</f>
        <v>2121.7882399999999</v>
      </c>
      <c r="K24" s="294">
        <f>(Time!K26*('13   EarthSum'!$G107+'13   EarthSum'!$H107)*K$10)</f>
        <v>2424.9008457142854</v>
      </c>
      <c r="L24" s="294">
        <f>(Time!L26*('13   EarthSum'!$G107+'13   EarthSum'!$H107)*L$10)</f>
        <v>2728.013451428571</v>
      </c>
      <c r="M24" s="294">
        <f>(Time!M26*('13   EarthSum'!$G107+'13   EarthSum'!$H107)*M$10)</f>
        <v>3031.1260571428566</v>
      </c>
      <c r="N24" s="294">
        <f>(Time!N26*('13   EarthSum'!$G107+'13   EarthSum'!$H107)*N$10)</f>
        <v>3334.2386628571426</v>
      </c>
      <c r="O24" s="294">
        <f>(Time!O26*('13   EarthSum'!$G107+'13   EarthSum'!$H107)*O$10)</f>
        <v>3637.3512685714281</v>
      </c>
      <c r="P24" s="294">
        <f>(Time!P26*('13   EarthSum'!$G107+'13   EarthSum'!$H107)*P$10)</f>
        <v>3940.4638742857137</v>
      </c>
      <c r="Q24" s="294">
        <f>(Time!Q26*('13   EarthSum'!$G107+'13   EarthSum'!$H107)*Q$10)</f>
        <v>4243.5764799999997</v>
      </c>
      <c r="R24" s="294">
        <f>(Time!R26*('13   EarthSum'!$G107+'13   EarthSum'!$H107)*R$10)</f>
        <v>4546.6890857142853</v>
      </c>
      <c r="S24" s="294">
        <f>(Time!S26*('13   EarthSum'!$G107+'13   EarthSum'!$H107)*S$10)</f>
        <v>4849.8016914285708</v>
      </c>
      <c r="T24" s="294">
        <f>(Time!T26*('13   EarthSum'!$G107+'13   EarthSum'!$H107)*T$10)</f>
        <v>5152.9142971428564</v>
      </c>
      <c r="U24" s="294">
        <f>(Time!U26*('13   EarthSum'!$G107+'13   EarthSum'!$H107)*U$10)</f>
        <v>5456.026902857142</v>
      </c>
      <c r="V24" s="294">
        <f>(Time!V26*('13   EarthSum'!$G107+'13   EarthSum'!$H107)*V$10)</f>
        <v>5759.1395085714275</v>
      </c>
      <c r="W24" s="294">
        <f>(Time!W26*('13   EarthSum'!$G107+'13   EarthSum'!$H107)*W$10)</f>
        <v>6062.2521142857131</v>
      </c>
      <c r="X24" s="294">
        <f>(Time!X26*('13   EarthSum'!$G107+'13   EarthSum'!$H107)*X$10)</f>
        <v>6365.3647199999996</v>
      </c>
      <c r="Y24" s="294">
        <f>(Time!Y26*('13   EarthSum'!$G107+'13   EarthSum'!$H107)*Y$10)</f>
        <v>6668.4773257142851</v>
      </c>
      <c r="Z24" s="294">
        <f>(Time!Z26*('13   EarthSum'!$G107+'13   EarthSum'!$H107)*Z$10)</f>
        <v>6971.5899314285707</v>
      </c>
      <c r="AA24" s="294">
        <f>(Time!AA26*('13   EarthSum'!$G107+'13   EarthSum'!$H107)*AA$10)</f>
        <v>7274.7025371428563</v>
      </c>
      <c r="AB24" s="294">
        <f>(Time!AB26*('13   EarthSum'!$G107+'13   EarthSum'!$H107)*AB$10)</f>
        <v>7577.8151428571418</v>
      </c>
    </row>
    <row r="25" spans="1:28" x14ac:dyDescent="0.2">
      <c r="A25" s="286" t="str">
        <f>Productivity!A27</f>
        <v>Haul cover soil</v>
      </c>
      <c r="B25" s="286" t="str">
        <f>Productivity!B27</f>
        <v>OB Stockpile 1 through 3, Topsoil Stockpile, South OB Stockpile</v>
      </c>
      <c r="C25" s="286" t="str">
        <f>Productivity!C27</f>
        <v>SWRF Dam 1</v>
      </c>
      <c r="D25" s="286" t="str">
        <f>'13   EarthSum'!C108</f>
        <v>777F</v>
      </c>
      <c r="E25" s="294">
        <f>(Time!E27*('13   EarthSum'!$G108+'13   EarthSum'!$H108)*E$10)</f>
        <v>1810.3315086324988</v>
      </c>
      <c r="F25" s="294">
        <f>(Time!F27*('13   EarthSum'!$G108+'13   EarthSum'!$H108)*F$10)</f>
        <v>2364.2783245714281</v>
      </c>
      <c r="G25" s="294">
        <f>(Time!G27*('13   EarthSum'!$G108+'13   EarthSum'!$H108)*G$10)</f>
        <v>3152.3710994285707</v>
      </c>
      <c r="H25" s="294">
        <f>(Time!H27*('13   EarthSum'!$G108+'13   EarthSum'!$H108)*H$10)</f>
        <v>3940.4638742857132</v>
      </c>
      <c r="I25" s="294">
        <f>(Time!I27*('13   EarthSum'!$G108+'13   EarthSum'!$H108)*I$10)</f>
        <v>4728.5566491428563</v>
      </c>
      <c r="J25" s="294">
        <f>(Time!J27*('13   EarthSum'!$G108+'13   EarthSum'!$H108)*J$10)</f>
        <v>5516.6494239999984</v>
      </c>
      <c r="K25" s="294">
        <f>(Time!K27*('13   EarthSum'!$G108+'13   EarthSum'!$H108)*K$10)</f>
        <v>6304.7421988571414</v>
      </c>
      <c r="L25" s="294">
        <f>(Time!L27*('13   EarthSum'!$G108+'13   EarthSum'!$H108)*L$10)</f>
        <v>7092.8349737142844</v>
      </c>
      <c r="M25" s="294">
        <f>(Time!M27*('13   EarthSum'!$G108+'13   EarthSum'!$H108)*M$10)</f>
        <v>7880.9277485714265</v>
      </c>
      <c r="N25" s="294">
        <f>(Time!N27*('13   EarthSum'!$G108+'13   EarthSum'!$H108)*N$10)</f>
        <v>8669.0205234285695</v>
      </c>
      <c r="O25" s="294">
        <f>(Time!O27*('13   EarthSum'!$G108+'13   EarthSum'!$H108)*O$10)</f>
        <v>9457.1132982857125</v>
      </c>
      <c r="P25" s="294">
        <f>(Time!P27*('13   EarthSum'!$G108+'13   EarthSum'!$H108)*P$10)</f>
        <v>10245.206073142856</v>
      </c>
      <c r="Q25" s="294">
        <f>(Time!Q27*('13   EarthSum'!$G108+'13   EarthSum'!$H108)*Q$10)</f>
        <v>11033.298847999997</v>
      </c>
      <c r="R25" s="294">
        <f>(Time!R27*('13   EarthSum'!$G108+'13   EarthSum'!$H108)*R$10)</f>
        <v>11821.39162285714</v>
      </c>
      <c r="S25" s="294">
        <f>(Time!S27*('13   EarthSum'!$G108+'13   EarthSum'!$H108)*S$10)</f>
        <v>12609.484397714283</v>
      </c>
      <c r="T25" s="294">
        <f>(Time!T27*('13   EarthSum'!$G108+'13   EarthSum'!$H108)*T$10)</f>
        <v>13397.577172571426</v>
      </c>
      <c r="U25" s="294">
        <f>(Time!U27*('13   EarthSum'!$G108+'13   EarthSum'!$H108)*U$10)</f>
        <v>14185.669947428569</v>
      </c>
      <c r="V25" s="294">
        <f>(Time!V27*('13   EarthSum'!$G108+'13   EarthSum'!$H108)*V$10)</f>
        <v>14973.76272228571</v>
      </c>
      <c r="W25" s="294">
        <f>(Time!W27*('13   EarthSum'!$G108+'13   EarthSum'!$H108)*W$10)</f>
        <v>15761.855497142853</v>
      </c>
      <c r="X25" s="294">
        <f>(Time!X27*('13   EarthSum'!$G108+'13   EarthSum'!$H108)*X$10)</f>
        <v>16549.948271999998</v>
      </c>
      <c r="Y25" s="294">
        <f>(Time!Y27*('13   EarthSum'!$G108+'13   EarthSum'!$H108)*Y$10)</f>
        <v>17338.041046857139</v>
      </c>
      <c r="Z25" s="294">
        <f>(Time!Z27*('13   EarthSum'!$G108+'13   EarthSum'!$H108)*Z$10)</f>
        <v>18126.13382171428</v>
      </c>
      <c r="AA25" s="294">
        <f>(Time!AA27*('13   EarthSum'!$G108+'13   EarthSum'!$H108)*AA$10)</f>
        <v>18914.226596571425</v>
      </c>
      <c r="AB25" s="294">
        <f>(Time!AB27*('13   EarthSum'!$G108+'13   EarthSum'!$H108)*AB$10)</f>
        <v>19702.319371428566</v>
      </c>
    </row>
    <row r="26" spans="1:28" x14ac:dyDescent="0.2">
      <c r="A26" s="286" t="str">
        <f>Productivity!A28</f>
        <v>Haul cover soil</v>
      </c>
      <c r="B26" s="286" t="str">
        <f>Productivity!B28</f>
        <v>OB Stockpile 1 through 3, Topsoil Stockpile, South OB Stockpile</v>
      </c>
      <c r="C26" s="286" t="str">
        <f>Productivity!C28</f>
        <v>SWRF Dam 2</v>
      </c>
      <c r="D26" s="286" t="str">
        <f>'13   EarthSum'!C109</f>
        <v>777F</v>
      </c>
      <c r="E26" s="294">
        <f>(Time!E28*('13   EarthSum'!$G109+'13   EarthSum'!$H109)*E$10)</f>
        <v>1183.6782941058648</v>
      </c>
      <c r="F26" s="294">
        <f>(Time!F28*('13   EarthSum'!$G109+'13   EarthSum'!$H109)*F$10)</f>
        <v>1545.8742891428574</v>
      </c>
      <c r="G26" s="294">
        <f>(Time!G28*('13   EarthSum'!$G109+'13   EarthSum'!$H109)*G$10)</f>
        <v>2061.165718857143</v>
      </c>
      <c r="H26" s="294">
        <f>(Time!H28*('13   EarthSum'!$G109+'13   EarthSum'!$H109)*H$10)</f>
        <v>2576.4571485714287</v>
      </c>
      <c r="I26" s="294">
        <f>(Time!I28*('13   EarthSum'!$G109+'13   EarthSum'!$H109)*I$10)</f>
        <v>3091.7485782857148</v>
      </c>
      <c r="J26" s="294">
        <f>(Time!J28*('13   EarthSum'!$G109+'13   EarthSum'!$H109)*J$10)</f>
        <v>3607.0400080000004</v>
      </c>
      <c r="K26" s="294">
        <f>(Time!K28*('13   EarthSum'!$G109+'13   EarthSum'!$H109)*K$10)</f>
        <v>4122.331437714286</v>
      </c>
      <c r="L26" s="294">
        <f>(Time!L28*('13   EarthSum'!$G109+'13   EarthSum'!$H109)*L$10)</f>
        <v>4637.6228674285721</v>
      </c>
      <c r="M26" s="294">
        <f>(Time!M28*('13   EarthSum'!$G109+'13   EarthSum'!$H109)*M$10)</f>
        <v>5152.9142971428573</v>
      </c>
      <c r="N26" s="294">
        <f>(Time!N28*('13   EarthSum'!$G109+'13   EarthSum'!$H109)*N$10)</f>
        <v>5668.2057268571434</v>
      </c>
      <c r="O26" s="294">
        <f>(Time!O28*('13   EarthSum'!$G109+'13   EarthSum'!$H109)*O$10)</f>
        <v>6183.4971565714295</v>
      </c>
      <c r="P26" s="294">
        <f>(Time!P28*('13   EarthSum'!$G109+'13   EarthSum'!$H109)*P$10)</f>
        <v>6698.7885862857147</v>
      </c>
      <c r="Q26" s="294">
        <f>(Time!Q28*('13   EarthSum'!$G109+'13   EarthSum'!$H109)*Q$10)</f>
        <v>7214.0800160000008</v>
      </c>
      <c r="R26" s="294">
        <f>(Time!R28*('13   EarthSum'!$G109+'13   EarthSum'!$H109)*R$10)</f>
        <v>7729.371445714286</v>
      </c>
      <c r="S26" s="294">
        <f>(Time!S28*('13   EarthSum'!$G109+'13   EarthSum'!$H109)*S$10)</f>
        <v>8244.6628754285721</v>
      </c>
      <c r="T26" s="294">
        <f>(Time!T28*('13   EarthSum'!$G109+'13   EarthSum'!$H109)*T$10)</f>
        <v>8759.9543051428573</v>
      </c>
      <c r="U26" s="294">
        <f>(Time!U28*('13   EarthSum'!$G109+'13   EarthSum'!$H109)*U$10)</f>
        <v>9275.2457348571443</v>
      </c>
      <c r="V26" s="294">
        <f>(Time!V28*('13   EarthSum'!$G109+'13   EarthSum'!$H109)*V$10)</f>
        <v>9790.5371645714295</v>
      </c>
      <c r="W26" s="294">
        <f>(Time!W28*('13   EarthSum'!$G109+'13   EarthSum'!$H109)*W$10)</f>
        <v>10305.828594285715</v>
      </c>
      <c r="X26" s="294">
        <f>(Time!X28*('13   EarthSum'!$G109+'13   EarthSum'!$H109)*X$10)</f>
        <v>10821.120024000002</v>
      </c>
      <c r="Y26" s="294">
        <f>(Time!Y28*('13   EarthSum'!$G109+'13   EarthSum'!$H109)*Y$10)</f>
        <v>11336.411453714287</v>
      </c>
      <c r="Z26" s="294">
        <f>(Time!Z28*('13   EarthSum'!$G109+'13   EarthSum'!$H109)*Z$10)</f>
        <v>11851.702883428572</v>
      </c>
      <c r="AA26" s="294">
        <f>(Time!AA28*('13   EarthSum'!$G109+'13   EarthSum'!$H109)*AA$10)</f>
        <v>12366.994313142859</v>
      </c>
      <c r="AB26" s="294">
        <f>(Time!AB28*('13   EarthSum'!$G109+'13   EarthSum'!$H109)*AB$10)</f>
        <v>12882.285742857144</v>
      </c>
    </row>
    <row r="27" spans="1:28" x14ac:dyDescent="0.2">
      <c r="A27" s="286" t="str">
        <f>Productivity!A29</f>
        <v>Haul cover soil</v>
      </c>
      <c r="B27" s="286" t="str">
        <f>Productivity!B29</f>
        <v>OB Stockpile 1 through 3, Topsoil Stockpile, South OB Stockpile</v>
      </c>
      <c r="C27" s="286" t="str">
        <f>Productivity!C29</f>
        <v>SWRF Dam 3</v>
      </c>
      <c r="D27" s="286" t="str">
        <f>'13   EarthSum'!C110</f>
        <v>777F</v>
      </c>
      <c r="E27" s="294">
        <f>(Time!E29*('13   EarthSum'!$G110+'13   EarthSum'!$H110)*E$10)</f>
        <v>2924.3816677909595</v>
      </c>
      <c r="F27" s="294">
        <f>(Time!F29*('13   EarthSum'!$G110+'13   EarthSum'!$H110)*F$10)</f>
        <v>3819.2188319999996</v>
      </c>
      <c r="G27" s="294">
        <f>(Time!G29*('13   EarthSum'!$G110+'13   EarthSum'!$H110)*G$10)</f>
        <v>5092.2917759999991</v>
      </c>
      <c r="H27" s="294">
        <f>(Time!H29*('13   EarthSum'!$G110+'13   EarthSum'!$H110)*H$10)</f>
        <v>6365.3647199999987</v>
      </c>
      <c r="I27" s="294">
        <f>(Time!I29*('13   EarthSum'!$G110+'13   EarthSum'!$H110)*I$10)</f>
        <v>7638.4376639999991</v>
      </c>
      <c r="J27" s="294">
        <f>(Time!J29*('13   EarthSum'!$G110+'13   EarthSum'!$H110)*J$10)</f>
        <v>8911.5106079999987</v>
      </c>
      <c r="K27" s="294">
        <f>(Time!K29*('13   EarthSum'!$G110+'13   EarthSum'!$H110)*K$10)</f>
        <v>10184.583551999998</v>
      </c>
      <c r="L27" s="294">
        <f>(Time!L29*('13   EarthSum'!$G110+'13   EarthSum'!$H110)*L$10)</f>
        <v>11457.656495999998</v>
      </c>
      <c r="M27" s="294">
        <f>(Time!M29*('13   EarthSum'!$G110+'13   EarthSum'!$H110)*M$10)</f>
        <v>12730.729439999997</v>
      </c>
      <c r="N27" s="294">
        <f>(Time!N29*('13   EarthSum'!$G110+'13   EarthSum'!$H110)*N$10)</f>
        <v>14003.802383999997</v>
      </c>
      <c r="O27" s="294">
        <f>(Time!O29*('13   EarthSum'!$G110+'13   EarthSum'!$H110)*O$10)</f>
        <v>15276.875327999998</v>
      </c>
      <c r="P27" s="294">
        <f>(Time!P29*('13   EarthSum'!$G110+'13   EarthSum'!$H110)*P$10)</f>
        <v>16549.948271999998</v>
      </c>
      <c r="Q27" s="294">
        <f>(Time!Q29*('13   EarthSum'!$G110+'13   EarthSum'!$H110)*Q$10)</f>
        <v>17823.021215999997</v>
      </c>
      <c r="R27" s="294">
        <f>(Time!R29*('13   EarthSum'!$G110+'13   EarthSum'!$H110)*R$10)</f>
        <v>19096.094159999997</v>
      </c>
      <c r="S27" s="294">
        <f>(Time!S29*('13   EarthSum'!$G110+'13   EarthSum'!$H110)*S$10)</f>
        <v>20369.167103999996</v>
      </c>
      <c r="T27" s="294">
        <f>(Time!T29*('13   EarthSum'!$G110+'13   EarthSum'!$H110)*T$10)</f>
        <v>21642.240047999996</v>
      </c>
      <c r="U27" s="294">
        <f>(Time!U29*('13   EarthSum'!$G110+'13   EarthSum'!$H110)*U$10)</f>
        <v>22915.312991999996</v>
      </c>
      <c r="V27" s="294">
        <f>(Time!V29*('13   EarthSum'!$G110+'13   EarthSum'!$H110)*V$10)</f>
        <v>24188.385935999995</v>
      </c>
      <c r="W27" s="294">
        <f>(Time!W29*('13   EarthSum'!$G110+'13   EarthSum'!$H110)*W$10)</f>
        <v>25461.458879999995</v>
      </c>
      <c r="X27" s="294">
        <f>(Time!X29*('13   EarthSum'!$G110+'13   EarthSum'!$H110)*X$10)</f>
        <v>26734.531823999994</v>
      </c>
      <c r="Y27" s="294">
        <f>(Time!Y29*('13   EarthSum'!$G110+'13   EarthSum'!$H110)*Y$10)</f>
        <v>28007.604767999994</v>
      </c>
      <c r="Z27" s="294">
        <f>(Time!Z29*('13   EarthSum'!$G110+'13   EarthSum'!$H110)*Z$10)</f>
        <v>29280.677711999993</v>
      </c>
      <c r="AA27" s="294">
        <f>(Time!AA29*('13   EarthSum'!$G110+'13   EarthSum'!$H110)*AA$10)</f>
        <v>30553.750655999997</v>
      </c>
      <c r="AB27" s="294">
        <f>(Time!AB29*('13   EarthSum'!$G110+'13   EarthSum'!$H110)*AB$10)</f>
        <v>31826.823599999996</v>
      </c>
    </row>
    <row r="28" spans="1:28" x14ac:dyDescent="0.2">
      <c r="A28" s="286" t="str">
        <f>Productivity!A30</f>
        <v>Haul cover soil</v>
      </c>
      <c r="B28" s="286" t="str">
        <f>Productivity!B30</f>
        <v>OB-4 Stockpile</v>
      </c>
      <c r="C28" s="286" t="str">
        <f>Productivity!C30</f>
        <v>North Tailings Decant Pond</v>
      </c>
      <c r="D28" s="286" t="str">
        <f>'13   EarthSum'!C111</f>
        <v>777F</v>
      </c>
      <c r="E28" s="294">
        <f>(Time!E30*('13   EarthSum'!$G111+'13   EarthSum'!$H111)*E$10)</f>
        <v>1394.3179862857141</v>
      </c>
      <c r="F28" s="294">
        <f>(Time!F30*('13   EarthSum'!$G111+'13   EarthSum'!$H111)*F$10)</f>
        <v>2091.4769794285712</v>
      </c>
      <c r="G28" s="294">
        <f>(Time!G30*('13   EarthSum'!$G111+'13   EarthSum'!$H111)*G$10)</f>
        <v>2788.6359725714283</v>
      </c>
      <c r="H28" s="294">
        <f>(Time!H30*('13   EarthSum'!$G111+'13   EarthSum'!$H111)*H$10)</f>
        <v>3485.7949657142854</v>
      </c>
      <c r="I28" s="294">
        <f>(Time!I30*('13   EarthSum'!$G111+'13   EarthSum'!$H111)*I$10)</f>
        <v>4182.9539588571424</v>
      </c>
      <c r="J28" s="294">
        <f>(Time!J30*('13   EarthSum'!$G111+'13   EarthSum'!$H111)*J$10)</f>
        <v>4880.1129519999995</v>
      </c>
      <c r="K28" s="294">
        <f>(Time!K30*('13   EarthSum'!$G111+'13   EarthSum'!$H111)*K$10)</f>
        <v>5577.2719451428566</v>
      </c>
      <c r="L28" s="294">
        <f>(Time!L30*('13   EarthSum'!$G111+'13   EarthSum'!$H111)*L$10)</f>
        <v>6274.4309382857136</v>
      </c>
      <c r="M28" s="294">
        <f>(Time!M30*('13   EarthSum'!$G111+'13   EarthSum'!$H111)*M$10)</f>
        <v>6971.5899314285707</v>
      </c>
      <c r="N28" s="294">
        <f>(Time!N30*('13   EarthSum'!$G111+'13   EarthSum'!$H111)*N$10)</f>
        <v>7668.7489245714278</v>
      </c>
      <c r="O28" s="294">
        <f>(Time!O30*('13   EarthSum'!$G111+'13   EarthSum'!$H111)*O$10)</f>
        <v>8365.9079177142848</v>
      </c>
      <c r="P28" s="294">
        <f>(Time!P30*('13   EarthSum'!$G111+'13   EarthSum'!$H111)*P$10)</f>
        <v>9063.0669108571419</v>
      </c>
      <c r="Q28" s="294">
        <f>(Time!Q30*('13   EarthSum'!$G111+'13   EarthSum'!$H111)*Q$10)</f>
        <v>9760.225903999999</v>
      </c>
      <c r="R28" s="294">
        <f>(Time!R30*('13   EarthSum'!$G111+'13   EarthSum'!$H111)*R$10)</f>
        <v>10457.384897142856</v>
      </c>
      <c r="S28" s="294">
        <f>(Time!S30*('13   EarthSum'!$G111+'13   EarthSum'!$H111)*S$10)</f>
        <v>11154.543890285713</v>
      </c>
      <c r="T28" s="294">
        <f>(Time!T30*('13   EarthSum'!$G111+'13   EarthSum'!$H111)*T$10)</f>
        <v>11851.70288342857</v>
      </c>
      <c r="U28" s="294">
        <f>(Time!U30*('13   EarthSum'!$G111+'13   EarthSum'!$H111)*U$10)</f>
        <v>12548.861876571427</v>
      </c>
      <c r="V28" s="294">
        <f>(Time!V30*('13   EarthSum'!$G111+'13   EarthSum'!$H111)*V$10)</f>
        <v>13246.020869714284</v>
      </c>
      <c r="W28" s="294">
        <f>(Time!W30*('13   EarthSum'!$G111+'13   EarthSum'!$H111)*W$10)</f>
        <v>13943.179862857141</v>
      </c>
      <c r="X28" s="294">
        <f>(Time!X30*('13   EarthSum'!$G111+'13   EarthSum'!$H111)*X$10)</f>
        <v>14640.338855999998</v>
      </c>
      <c r="Y28" s="294">
        <f>(Time!Y30*('13   EarthSum'!$G111+'13   EarthSum'!$H111)*Y$10)</f>
        <v>15337.497849142856</v>
      </c>
      <c r="Z28" s="294">
        <f>(Time!Z30*('13   EarthSum'!$G111+'13   EarthSum'!$H111)*Z$10)</f>
        <v>16034.656842285713</v>
      </c>
      <c r="AA28" s="294">
        <f>(Time!AA30*('13   EarthSum'!$G111+'13   EarthSum'!$H111)*AA$10)</f>
        <v>16731.81583542857</v>
      </c>
      <c r="AB28" s="294">
        <f>(Time!AB30*('13   EarthSum'!$G111+'13   EarthSum'!$H111)*AB$10)</f>
        <v>17428.974828571427</v>
      </c>
    </row>
    <row r="29" spans="1:28" x14ac:dyDescent="0.2">
      <c r="A29" s="286" t="str">
        <f>Productivity!A31</f>
        <v>Haul cover soil</v>
      </c>
      <c r="B29" s="286" t="str">
        <f>Productivity!B31</f>
        <v>OB-4 Stockpile</v>
      </c>
      <c r="C29" s="286" t="str">
        <f>Productivity!C31</f>
        <v>East WRF Containment</v>
      </c>
      <c r="D29" s="286" t="str">
        <f>'13   EarthSum'!C112</f>
        <v>777F</v>
      </c>
      <c r="E29" s="294">
        <f>(Time!E31*('13   EarthSum'!$G112+'13   EarthSum'!$H112)*E$10)</f>
        <v>1515.5630285714285</v>
      </c>
      <c r="F29" s="294">
        <f>(Time!F31*('13   EarthSum'!$G112+'13   EarthSum'!$H112)*F$10)</f>
        <v>2273.3445428571426</v>
      </c>
      <c r="G29" s="294">
        <f>(Time!G31*('13   EarthSum'!$G112+'13   EarthSum'!$H112)*G$10)</f>
        <v>3031.126057142857</v>
      </c>
      <c r="H29" s="294">
        <f>(Time!H31*('13   EarthSum'!$G112+'13   EarthSum'!$H112)*H$10)</f>
        <v>3788.9075714285714</v>
      </c>
      <c r="I29" s="294">
        <f>(Time!I31*('13   EarthSum'!$G112+'13   EarthSum'!$H112)*I$10)</f>
        <v>4546.6890857142853</v>
      </c>
      <c r="J29" s="294">
        <f>(Time!J31*('13   EarthSum'!$G112+'13   EarthSum'!$H112)*J$10)</f>
        <v>5304.4705999999996</v>
      </c>
      <c r="K29" s="294">
        <f>(Time!K31*('13   EarthSum'!$G112+'13   EarthSum'!$H112)*K$10)</f>
        <v>6062.252114285714</v>
      </c>
      <c r="L29" s="294">
        <f>(Time!L31*('13   EarthSum'!$G112+'13   EarthSum'!$H112)*L$10)</f>
        <v>6820.0336285714284</v>
      </c>
      <c r="M29" s="294">
        <f>(Time!M31*('13   EarthSum'!$G112+'13   EarthSum'!$H112)*M$10)</f>
        <v>7577.8151428571427</v>
      </c>
      <c r="N29" s="294">
        <f>(Time!N31*('13   EarthSum'!$G112+'13   EarthSum'!$H112)*N$10)</f>
        <v>8335.5966571428562</v>
      </c>
      <c r="O29" s="294">
        <f>(Time!O31*('13   EarthSum'!$G112+'13   EarthSum'!$H112)*O$10)</f>
        <v>9093.3781714285706</v>
      </c>
      <c r="P29" s="294">
        <f>(Time!P31*('13   EarthSum'!$G112+'13   EarthSum'!$H112)*P$10)</f>
        <v>9851.1596857142849</v>
      </c>
      <c r="Q29" s="294">
        <f>(Time!Q31*('13   EarthSum'!$G112+'13   EarthSum'!$H112)*Q$10)</f>
        <v>10608.941199999999</v>
      </c>
      <c r="R29" s="294">
        <f>(Time!R31*('13   EarthSum'!$G112+'13   EarthSum'!$H112)*R$10)</f>
        <v>11366.722714285714</v>
      </c>
      <c r="S29" s="294">
        <f>(Time!S31*('13   EarthSum'!$G112+'13   EarthSum'!$H112)*S$10)</f>
        <v>12124.504228571428</v>
      </c>
      <c r="T29" s="294">
        <f>(Time!T31*('13   EarthSum'!$G112+'13   EarthSum'!$H112)*T$10)</f>
        <v>12882.285742857142</v>
      </c>
      <c r="U29" s="294">
        <f>(Time!U31*('13   EarthSum'!$G112+'13   EarthSum'!$H112)*U$10)</f>
        <v>13640.067257142857</v>
      </c>
      <c r="V29" s="294">
        <f>(Time!V31*('13   EarthSum'!$G112+'13   EarthSum'!$H112)*V$10)</f>
        <v>14397.848771428571</v>
      </c>
      <c r="W29" s="294">
        <f>(Time!W31*('13   EarthSum'!$G112+'13   EarthSum'!$H112)*W$10)</f>
        <v>15155.630285714285</v>
      </c>
      <c r="X29" s="294">
        <f>(Time!X31*('13   EarthSum'!$G112+'13   EarthSum'!$H112)*X$10)</f>
        <v>15913.4118</v>
      </c>
      <c r="Y29" s="294">
        <f>(Time!Y31*('13   EarthSum'!$G112+'13   EarthSum'!$H112)*Y$10)</f>
        <v>16671.193314285712</v>
      </c>
      <c r="Z29" s="294">
        <f>(Time!Z31*('13   EarthSum'!$G112+'13   EarthSum'!$H112)*Z$10)</f>
        <v>17428.974828571427</v>
      </c>
      <c r="AA29" s="294">
        <f>(Time!AA31*('13   EarthSum'!$G112+'13   EarthSum'!$H112)*AA$10)</f>
        <v>18186.756342857141</v>
      </c>
      <c r="AB29" s="294">
        <f>(Time!AB31*('13   EarthSum'!$G112+'13   EarthSum'!$H112)*AB$10)</f>
        <v>18944.537857142856</v>
      </c>
    </row>
    <row r="30" spans="1:28" x14ac:dyDescent="0.2">
      <c r="A30" s="286" t="str">
        <f>Productivity!A32</f>
        <v>Haul cover soil</v>
      </c>
      <c r="B30" s="286" t="str">
        <f>Productivity!B32</f>
        <v>NOBS</v>
      </c>
      <c r="C30" s="286" t="str">
        <f>Productivity!C32</f>
        <v xml:space="preserve">Blackman's Seep (Pond #2) </v>
      </c>
      <c r="D30" s="286" t="str">
        <f>'13   EarthSum'!C113</f>
        <v>777F</v>
      </c>
      <c r="E30" s="294">
        <f>(Time!E32*('13   EarthSum'!$G113+'13   EarthSum'!$H113)*E$10)</f>
        <v>40.581387682114787</v>
      </c>
      <c r="F30" s="294">
        <f>(Time!F32*('13   EarthSum'!$G113+'13   EarthSum'!$H113)*F$10)</f>
        <v>45.466890857142857</v>
      </c>
      <c r="G30" s="294">
        <f>(Time!G32*('13   EarthSum'!$G113+'13   EarthSum'!$H113)*G$10)</f>
        <v>60.622521142857138</v>
      </c>
      <c r="H30" s="294">
        <f>(Time!H32*('13   EarthSum'!$G113+'13   EarthSum'!$H113)*H$10)</f>
        <v>75.77815142857142</v>
      </c>
      <c r="I30" s="294">
        <f>(Time!I32*('13   EarthSum'!$G113+'13   EarthSum'!$H113)*I$10)</f>
        <v>90.933781714285715</v>
      </c>
      <c r="J30" s="294">
        <f>(Time!J32*('13   EarthSum'!$G113+'13   EarthSum'!$H113)*J$10)</f>
        <v>106.089412</v>
      </c>
      <c r="K30" s="294">
        <f>(Time!K32*('13   EarthSum'!$G113+'13   EarthSum'!$H113)*K$10)</f>
        <v>121.24504228571428</v>
      </c>
      <c r="L30" s="294">
        <f>(Time!L32*('13   EarthSum'!$G113+'13   EarthSum'!$H113)*L$10)</f>
        <v>136.40067257142857</v>
      </c>
      <c r="M30" s="294">
        <f>(Time!M32*('13   EarthSum'!$G113+'13   EarthSum'!$H113)*M$10)</f>
        <v>151.55630285714284</v>
      </c>
      <c r="N30" s="294">
        <f>(Time!N32*('13   EarthSum'!$G113+'13   EarthSum'!$H113)*N$10)</f>
        <v>166.71193314285713</v>
      </c>
      <c r="O30" s="294">
        <f>(Time!O32*('13   EarthSum'!$G113+'13   EarthSum'!$H113)*O$10)</f>
        <v>181.86756342857143</v>
      </c>
      <c r="P30" s="294">
        <f>(Time!P32*('13   EarthSum'!$G113+'13   EarthSum'!$H113)*P$10)</f>
        <v>197.0231937142857</v>
      </c>
      <c r="Q30" s="294">
        <f>(Time!Q32*('13   EarthSum'!$G113+'13   EarthSum'!$H113)*Q$10)</f>
        <v>212.17882399999999</v>
      </c>
      <c r="R30" s="294">
        <f>(Time!R32*('13   EarthSum'!$G113+'13   EarthSum'!$H113)*R$10)</f>
        <v>227.33445428571426</v>
      </c>
      <c r="S30" s="294">
        <f>(Time!S32*('13   EarthSum'!$G113+'13   EarthSum'!$H113)*S$10)</f>
        <v>242.49008457142855</v>
      </c>
      <c r="T30" s="294">
        <f>(Time!T32*('13   EarthSum'!$G113+'13   EarthSum'!$H113)*T$10)</f>
        <v>257.64571485714282</v>
      </c>
      <c r="U30" s="294">
        <f>(Time!U32*('13   EarthSum'!$G113+'13   EarthSum'!$H113)*U$10)</f>
        <v>272.80134514285714</v>
      </c>
      <c r="V30" s="294">
        <f>(Time!V32*('13   EarthSum'!$G113+'13   EarthSum'!$H113)*V$10)</f>
        <v>287.95697542857141</v>
      </c>
      <c r="W30" s="294">
        <f>(Time!W32*('13   EarthSum'!$G113+'13   EarthSum'!$H113)*W$10)</f>
        <v>303.11260571428568</v>
      </c>
      <c r="X30" s="294">
        <f>(Time!X32*('13   EarthSum'!$G113+'13   EarthSum'!$H113)*X$10)</f>
        <v>318.268236</v>
      </c>
      <c r="Y30" s="294">
        <f>(Time!Y32*('13   EarthSum'!$G113+'13   EarthSum'!$H113)*Y$10)</f>
        <v>333.42386628571427</v>
      </c>
      <c r="Z30" s="294">
        <f>(Time!Z32*('13   EarthSum'!$G113+'13   EarthSum'!$H113)*Z$10)</f>
        <v>348.57949657142854</v>
      </c>
      <c r="AA30" s="294">
        <f>(Time!AA32*('13   EarthSum'!$G113+'13   EarthSum'!$H113)*AA$10)</f>
        <v>363.73512685714286</v>
      </c>
      <c r="AB30" s="294">
        <f>(Time!AB32*('13   EarthSum'!$G113+'13   EarthSum'!$H113)*AB$10)</f>
        <v>378.89075714285713</v>
      </c>
    </row>
    <row r="31" spans="1:28" x14ac:dyDescent="0.2">
      <c r="A31" s="286" t="str">
        <f>Productivity!A33</f>
        <v>Haul cover soil</v>
      </c>
      <c r="B31" s="286" t="str">
        <f>Productivity!B33</f>
        <v>OB-4 Stockpile</v>
      </c>
      <c r="C31" s="286" t="str">
        <f>Productivity!C33</f>
        <v>Decant Pond #4</v>
      </c>
      <c r="D31" s="286" t="str">
        <f>'13   EarthSum'!C114</f>
        <v>777F</v>
      </c>
      <c r="E31" s="294">
        <f>(Time!E33*('13   EarthSum'!$G114+'13   EarthSum'!$H114)*E$10)</f>
        <v>1879.2981554285714</v>
      </c>
      <c r="F31" s="294">
        <f>(Time!F33*('13   EarthSum'!$G114+'13   EarthSum'!$H114)*F$10)</f>
        <v>2818.9472331428569</v>
      </c>
      <c r="G31" s="294">
        <f>(Time!G33*('13   EarthSum'!$G114+'13   EarthSum'!$H114)*G$10)</f>
        <v>3758.5963108571427</v>
      </c>
      <c r="H31" s="294">
        <f>(Time!H33*('13   EarthSum'!$G114+'13   EarthSum'!$H114)*H$10)</f>
        <v>4698.2453885714285</v>
      </c>
      <c r="I31" s="294">
        <f>(Time!I33*('13   EarthSum'!$G114+'13   EarthSum'!$H114)*I$10)</f>
        <v>5637.8944662857139</v>
      </c>
      <c r="J31" s="294">
        <f>(Time!J33*('13   EarthSum'!$G114+'13   EarthSum'!$H114)*J$10)</f>
        <v>6577.5435440000001</v>
      </c>
      <c r="K31" s="294">
        <f>(Time!K33*('13   EarthSum'!$G114+'13   EarthSum'!$H114)*K$10)</f>
        <v>7517.1926217142855</v>
      </c>
      <c r="L31" s="294">
        <f>(Time!L33*('13   EarthSum'!$G114+'13   EarthSum'!$H114)*L$10)</f>
        <v>8456.8416994285708</v>
      </c>
      <c r="M31" s="294">
        <f>(Time!M33*('13   EarthSum'!$G114+'13   EarthSum'!$H114)*M$10)</f>
        <v>9396.490777142857</v>
      </c>
      <c r="N31" s="294">
        <f>(Time!N33*('13   EarthSum'!$G114+'13   EarthSum'!$H114)*N$10)</f>
        <v>10336.139854857143</v>
      </c>
      <c r="O31" s="294">
        <f>(Time!O33*('13   EarthSum'!$G114+'13   EarthSum'!$H114)*O$10)</f>
        <v>11275.788932571428</v>
      </c>
      <c r="P31" s="294">
        <f>(Time!P33*('13   EarthSum'!$G114+'13   EarthSum'!$H114)*P$10)</f>
        <v>12215.438010285714</v>
      </c>
      <c r="Q31" s="294">
        <f>(Time!Q33*('13   EarthSum'!$G114+'13   EarthSum'!$H114)*Q$10)</f>
        <v>13155.087088</v>
      </c>
      <c r="R31" s="294">
        <f>(Time!R33*('13   EarthSum'!$G114+'13   EarthSum'!$H114)*R$10)</f>
        <v>14094.736165714285</v>
      </c>
      <c r="S31" s="294">
        <f>(Time!S33*('13   EarthSum'!$G114+'13   EarthSum'!$H114)*S$10)</f>
        <v>15034.385243428571</v>
      </c>
      <c r="T31" s="294">
        <f>(Time!T33*('13   EarthSum'!$G114+'13   EarthSum'!$H114)*T$10)</f>
        <v>15974.034321142857</v>
      </c>
      <c r="U31" s="294">
        <f>(Time!U33*('13   EarthSum'!$G114+'13   EarthSum'!$H114)*U$10)</f>
        <v>16913.683398857142</v>
      </c>
      <c r="V31" s="294">
        <f>(Time!V33*('13   EarthSum'!$G114+'13   EarthSum'!$H114)*V$10)</f>
        <v>17853.332476571428</v>
      </c>
      <c r="W31" s="294">
        <f>(Time!W33*('13   EarthSum'!$G114+'13   EarthSum'!$H114)*W$10)</f>
        <v>18792.981554285714</v>
      </c>
      <c r="X31" s="294">
        <f>(Time!X33*('13   EarthSum'!$G114+'13   EarthSum'!$H114)*X$10)</f>
        <v>19732.630632</v>
      </c>
      <c r="Y31" s="294">
        <f>(Time!Y33*('13   EarthSum'!$G114+'13   EarthSum'!$H114)*Y$10)</f>
        <v>20672.279709714287</v>
      </c>
      <c r="Z31" s="294">
        <f>(Time!Z33*('13   EarthSum'!$G114+'13   EarthSum'!$H114)*Z$10)</f>
        <v>21611.928787428569</v>
      </c>
      <c r="AA31" s="294">
        <f>(Time!AA33*('13   EarthSum'!$G114+'13   EarthSum'!$H114)*AA$10)</f>
        <v>22551.577865142855</v>
      </c>
      <c r="AB31" s="294">
        <f>(Time!AB33*('13   EarthSum'!$G114+'13   EarthSum'!$H114)*AB$10)</f>
        <v>23491.226942857142</v>
      </c>
    </row>
    <row r="32" spans="1:28" x14ac:dyDescent="0.2">
      <c r="A32" s="286" t="str">
        <f>Productivity!A34</f>
        <v>Haul cover soil</v>
      </c>
      <c r="B32" s="286" t="str">
        <f>Productivity!B34</f>
        <v>NOBS</v>
      </c>
      <c r="C32" s="286" t="str">
        <f>Productivity!C34</f>
        <v xml:space="preserve">Upper Creek Containment Pond 1 </v>
      </c>
      <c r="D32" s="286" t="str">
        <f>'13   EarthSum'!C115</f>
        <v>777F</v>
      </c>
      <c r="E32" s="294">
        <f>(Time!E34*('13   EarthSum'!$G115+'13   EarthSum'!$H115)*E$10)</f>
        <v>4585.6968080789711</v>
      </c>
      <c r="F32" s="294">
        <f>(Time!F34*('13   EarthSum'!$G115+'13   EarthSum'!$H115)*F$10)</f>
        <v>5137.7586668571412</v>
      </c>
      <c r="G32" s="294">
        <f>(Time!G34*('13   EarthSum'!$G115+'13   EarthSum'!$H115)*G$10)</f>
        <v>6850.3448891428552</v>
      </c>
      <c r="H32" s="294">
        <f>(Time!H34*('13   EarthSum'!$G115+'13   EarthSum'!$H115)*H$10)</f>
        <v>8562.9311114285683</v>
      </c>
      <c r="I32" s="294">
        <f>(Time!I34*('13   EarthSum'!$G115+'13   EarthSum'!$H115)*I$10)</f>
        <v>10275.517333714282</v>
      </c>
      <c r="J32" s="294">
        <f>(Time!J34*('13   EarthSum'!$G115+'13   EarthSum'!$H115)*J$10)</f>
        <v>11988.103555999996</v>
      </c>
      <c r="K32" s="294">
        <f>(Time!K34*('13   EarthSum'!$G115+'13   EarthSum'!$H115)*K$10)</f>
        <v>13700.68977828571</v>
      </c>
      <c r="L32" s="294">
        <f>(Time!L34*('13   EarthSum'!$G115+'13   EarthSum'!$H115)*L$10)</f>
        <v>15413.276000571424</v>
      </c>
      <c r="M32" s="294">
        <f>(Time!M34*('13   EarthSum'!$G115+'13   EarthSum'!$H115)*M$10)</f>
        <v>17125.862222857137</v>
      </c>
      <c r="N32" s="294">
        <f>(Time!N34*('13   EarthSum'!$G115+'13   EarthSum'!$H115)*N$10)</f>
        <v>18838.448445142851</v>
      </c>
      <c r="O32" s="294">
        <f>(Time!O34*('13   EarthSum'!$G115+'13   EarthSum'!$H115)*O$10)</f>
        <v>20551.034667428565</v>
      </c>
      <c r="P32" s="294">
        <f>(Time!P34*('13   EarthSum'!$G115+'13   EarthSum'!$H115)*P$10)</f>
        <v>22263.620889714279</v>
      </c>
      <c r="Q32" s="294">
        <f>(Time!Q34*('13   EarthSum'!$G115+'13   EarthSum'!$H115)*Q$10)</f>
        <v>23976.207111999993</v>
      </c>
      <c r="R32" s="294">
        <f>(Time!R34*('13   EarthSum'!$G115+'13   EarthSum'!$H115)*R$10)</f>
        <v>25688.793334285707</v>
      </c>
      <c r="S32" s="294">
        <f>(Time!S34*('13   EarthSum'!$G115+'13   EarthSum'!$H115)*S$10)</f>
        <v>27401.379556571421</v>
      </c>
      <c r="T32" s="294">
        <f>(Time!T34*('13   EarthSum'!$G115+'13   EarthSum'!$H115)*T$10)</f>
        <v>29113.965778857135</v>
      </c>
      <c r="U32" s="294">
        <f>(Time!U34*('13   EarthSum'!$G115+'13   EarthSum'!$H115)*U$10)</f>
        <v>30826.552001142849</v>
      </c>
      <c r="V32" s="294">
        <f>(Time!V34*('13   EarthSum'!$G115+'13   EarthSum'!$H115)*V$10)</f>
        <v>32539.138223428563</v>
      </c>
      <c r="W32" s="294">
        <f>(Time!W34*('13   EarthSum'!$G115+'13   EarthSum'!$H115)*W$10)</f>
        <v>34251.724445714273</v>
      </c>
      <c r="X32" s="294">
        <f>(Time!X34*('13   EarthSum'!$G115+'13   EarthSum'!$H115)*X$10)</f>
        <v>35964.310667999991</v>
      </c>
      <c r="Y32" s="294">
        <f>(Time!Y34*('13   EarthSum'!$G115+'13   EarthSum'!$H115)*Y$10)</f>
        <v>37676.896890285701</v>
      </c>
      <c r="Z32" s="294">
        <f>(Time!Z34*('13   EarthSum'!$G115+'13   EarthSum'!$H115)*Z$10)</f>
        <v>39389.483112571419</v>
      </c>
      <c r="AA32" s="294">
        <f>(Time!AA34*('13   EarthSum'!$G115+'13   EarthSum'!$H115)*AA$10)</f>
        <v>41102.069334857129</v>
      </c>
      <c r="AB32" s="294">
        <f>(Time!AB34*('13   EarthSum'!$G115+'13   EarthSum'!$H115)*AB$10)</f>
        <v>42814.655557142847</v>
      </c>
    </row>
  </sheetData>
  <printOptions horizontalCentered="1"/>
  <pageMargins left="0.75" right="0.75" top="1" bottom="1" header="0.5" footer="0.5"/>
  <pageSetup paperSize="17" scale="43" orientation="landscape" r:id="rId1"/>
  <headerFooter alignWithMargins="0">
    <oddFooter>&amp;C&amp;F
&amp;   Stockpile Sheet 9c
&amp;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zoomScaleNormal="75" zoomScaleSheetLayoutView="100" workbookViewId="0">
      <selection activeCell="A19" sqref="A19:AB20"/>
    </sheetView>
  </sheetViews>
  <sheetFormatPr defaultColWidth="7.21875" defaultRowHeight="12.75" x14ac:dyDescent="0.2"/>
  <cols>
    <col min="1" max="1" width="12.5546875" style="275" customWidth="1"/>
    <col min="2" max="2" width="15.21875" style="275" customWidth="1"/>
    <col min="3" max="3" width="23.33203125" style="275" customWidth="1"/>
    <col min="4" max="4" width="10.33203125" style="275" customWidth="1"/>
    <col min="5" max="5" width="11.33203125" style="275" customWidth="1"/>
    <col min="6" max="8" width="10.33203125" style="275" customWidth="1"/>
    <col min="9" max="9" width="11.5546875" style="275" customWidth="1"/>
    <col min="10" max="28" width="10.33203125" style="275" customWidth="1"/>
    <col min="29" max="16384" width="7.21875" style="275"/>
  </cols>
  <sheetData>
    <row r="1" spans="1:28" ht="15" x14ac:dyDescent="0.2">
      <c r="A1" s="1"/>
      <c r="B1" s="290"/>
      <c r="C1" s="290"/>
      <c r="D1" s="290"/>
      <c r="E1" s="290"/>
      <c r="F1" s="290"/>
      <c r="G1" s="290"/>
      <c r="H1" s="290"/>
      <c r="J1" s="286"/>
      <c r="L1" s="291" t="str">
        <f>Productivity!J1</f>
        <v>Cobre</v>
      </c>
      <c r="M1" s="286"/>
      <c r="N1" s="286"/>
      <c r="O1" s="286"/>
      <c r="P1" s="286"/>
      <c r="Q1" s="286"/>
      <c r="R1" s="286"/>
      <c r="S1" s="286"/>
      <c r="T1" s="286"/>
      <c r="U1" s="286"/>
      <c r="V1" s="286"/>
      <c r="W1" s="286"/>
      <c r="X1" s="286"/>
      <c r="Y1" s="286"/>
      <c r="Z1" s="286"/>
      <c r="AA1" s="286"/>
      <c r="AB1" s="286"/>
    </row>
    <row r="2" spans="1:28" ht="15" x14ac:dyDescent="0.2">
      <c r="A2" s="1"/>
      <c r="B2" s="290"/>
      <c r="C2" s="290"/>
      <c r="D2" s="290"/>
      <c r="E2" s="290"/>
      <c r="F2" s="290"/>
      <c r="G2" s="290"/>
      <c r="H2" s="290"/>
      <c r="J2" s="286"/>
      <c r="L2" s="280" t="s">
        <v>373</v>
      </c>
      <c r="M2" s="286"/>
      <c r="N2" s="286"/>
      <c r="O2" s="286"/>
      <c r="P2" s="286"/>
      <c r="Q2" s="286"/>
      <c r="R2" s="286"/>
      <c r="S2" s="286"/>
      <c r="T2" s="286"/>
      <c r="U2" s="286"/>
      <c r="V2" s="286"/>
      <c r="W2" s="286"/>
      <c r="X2" s="286"/>
      <c r="Y2" s="286"/>
      <c r="Z2" s="286"/>
      <c r="AA2" s="286"/>
      <c r="AB2" s="286"/>
    </row>
    <row r="3" spans="1:28" ht="15" x14ac:dyDescent="0.2">
      <c r="A3" s="292" t="s">
        <v>374</v>
      </c>
      <c r="B3" s="292"/>
      <c r="C3" s="292"/>
      <c r="D3" s="292"/>
      <c r="E3" s="290"/>
      <c r="F3" s="290"/>
      <c r="G3" s="290"/>
      <c r="H3" s="290"/>
      <c r="J3" s="286"/>
      <c r="L3" s="293">
        <f>Productivity!J3</f>
        <v>41978</v>
      </c>
      <c r="M3" s="286"/>
      <c r="N3" s="286"/>
      <c r="O3" s="286"/>
      <c r="P3" s="286"/>
      <c r="Q3" s="286"/>
      <c r="R3" s="286"/>
      <c r="S3" s="286"/>
      <c r="T3" s="286"/>
      <c r="U3" s="286"/>
      <c r="V3" s="286"/>
      <c r="W3" s="286"/>
      <c r="X3" s="286"/>
      <c r="Y3" s="286"/>
      <c r="Z3" s="286"/>
      <c r="AA3" s="286"/>
      <c r="AB3" s="286"/>
    </row>
    <row r="4" spans="1:28" x14ac:dyDescent="0.2">
      <c r="A4" s="290"/>
      <c r="B4" s="290"/>
      <c r="C4" s="290"/>
      <c r="D4" s="290"/>
      <c r="E4" s="290"/>
      <c r="F4" s="290"/>
      <c r="G4" s="290"/>
      <c r="H4" s="290"/>
      <c r="I4" s="291"/>
      <c r="J4" s="286"/>
      <c r="K4" s="286"/>
      <c r="L4" s="286"/>
      <c r="M4" s="286"/>
      <c r="N4" s="286"/>
      <c r="O4" s="286"/>
      <c r="P4" s="286"/>
      <c r="Q4" s="286"/>
      <c r="R4" s="286"/>
      <c r="S4" s="286"/>
      <c r="T4" s="286"/>
      <c r="U4" s="286"/>
      <c r="V4" s="286"/>
      <c r="W4" s="286"/>
      <c r="X4" s="286"/>
      <c r="Y4" s="286"/>
      <c r="Z4" s="286"/>
      <c r="AA4" s="286"/>
      <c r="AB4" s="286"/>
    </row>
    <row r="5" spans="1:28" ht="15" x14ac:dyDescent="0.2">
      <c r="A5" s="291" t="s">
        <v>375</v>
      </c>
      <c r="B5" s="290" t="s">
        <v>376</v>
      </c>
      <c r="C5" s="125"/>
      <c r="D5" s="290"/>
      <c r="E5" s="290"/>
      <c r="F5" s="290"/>
      <c r="G5" s="290"/>
      <c r="H5" s="290"/>
      <c r="I5" s="291"/>
      <c r="J5" s="286"/>
      <c r="K5" s="286"/>
      <c r="L5" s="286"/>
      <c r="M5" s="286"/>
      <c r="N5" s="286"/>
      <c r="O5" s="286"/>
      <c r="P5" s="286"/>
      <c r="Q5" s="286"/>
      <c r="R5" s="286"/>
      <c r="S5" s="286"/>
      <c r="T5" s="286"/>
      <c r="U5" s="286"/>
      <c r="V5" s="286"/>
      <c r="W5" s="286"/>
      <c r="X5" s="286"/>
      <c r="Y5" s="286"/>
      <c r="Z5" s="286"/>
      <c r="AA5" s="286"/>
      <c r="AB5" s="286"/>
    </row>
    <row r="6" spans="1:28" ht="15" x14ac:dyDescent="0.2">
      <c r="A6" s="291"/>
      <c r="B6" s="290"/>
      <c r="C6" s="125"/>
      <c r="D6" s="290"/>
      <c r="E6" s="290"/>
      <c r="F6" s="290"/>
      <c r="G6" s="290"/>
      <c r="H6" s="290"/>
      <c r="I6" s="291"/>
      <c r="J6" s="286"/>
      <c r="K6" s="286"/>
      <c r="L6" s="286"/>
      <c r="M6" s="286"/>
      <c r="N6" s="286"/>
      <c r="O6" s="286"/>
      <c r="P6" s="286"/>
      <c r="Q6" s="286"/>
      <c r="R6" s="286"/>
      <c r="S6" s="286"/>
      <c r="T6" s="286"/>
      <c r="U6" s="286"/>
      <c r="V6" s="286"/>
      <c r="W6" s="286"/>
      <c r="X6" s="286"/>
      <c r="Y6" s="286"/>
      <c r="Z6" s="286"/>
      <c r="AA6" s="286"/>
      <c r="AB6" s="286"/>
    </row>
    <row r="7" spans="1:28" ht="18.75" x14ac:dyDescent="0.3">
      <c r="A7" s="291" t="s">
        <v>360</v>
      </c>
      <c r="B7" s="290" t="s">
        <v>377</v>
      </c>
      <c r="C7" s="132"/>
      <c r="D7" s="290"/>
      <c r="E7" s="290"/>
      <c r="F7" s="290"/>
      <c r="G7" s="290"/>
      <c r="H7" s="290"/>
      <c r="I7" s="291"/>
      <c r="J7" s="286"/>
      <c r="K7" s="286"/>
      <c r="L7" s="286"/>
      <c r="M7" s="286"/>
      <c r="N7" s="286"/>
      <c r="O7" s="286"/>
      <c r="P7" s="286"/>
      <c r="Q7" s="286"/>
      <c r="R7" s="286"/>
      <c r="S7" s="286"/>
      <c r="T7" s="286"/>
      <c r="U7" s="286"/>
      <c r="V7" s="286"/>
      <c r="W7" s="286"/>
      <c r="X7" s="286"/>
      <c r="Y7" s="286"/>
      <c r="Z7" s="286"/>
      <c r="AA7" s="286"/>
      <c r="AB7" s="286"/>
    </row>
    <row r="8" spans="1:28" ht="15" x14ac:dyDescent="0.2">
      <c r="A8" s="125"/>
      <c r="B8" s="290"/>
      <c r="C8" s="290"/>
      <c r="D8" s="290"/>
      <c r="E8" s="290"/>
      <c r="F8" s="290"/>
      <c r="G8" s="290"/>
      <c r="H8" s="290"/>
      <c r="I8" s="291"/>
      <c r="J8" s="286"/>
      <c r="K8" s="286"/>
      <c r="L8" s="286"/>
      <c r="M8" s="286"/>
      <c r="N8" s="286"/>
      <c r="O8" s="286"/>
      <c r="P8" s="286"/>
      <c r="Q8" s="286"/>
      <c r="R8" s="286"/>
      <c r="S8" s="286"/>
      <c r="T8" s="286"/>
      <c r="U8" s="286"/>
      <c r="V8" s="286"/>
      <c r="W8" s="286"/>
      <c r="X8" s="286"/>
      <c r="Y8" s="286"/>
      <c r="Z8" s="286"/>
      <c r="AA8" s="286"/>
      <c r="AB8" s="286"/>
    </row>
    <row r="9" spans="1:28" ht="15" x14ac:dyDescent="0.2">
      <c r="A9" s="125"/>
      <c r="B9" s="286"/>
      <c r="C9" s="286"/>
      <c r="D9" s="286" t="s">
        <v>23</v>
      </c>
      <c r="E9" s="286" t="s">
        <v>362</v>
      </c>
      <c r="F9" s="286"/>
      <c r="G9" s="286"/>
      <c r="H9" s="286"/>
      <c r="I9" s="286"/>
      <c r="J9" s="286"/>
      <c r="K9" s="286"/>
      <c r="L9" s="286"/>
      <c r="M9" s="286"/>
      <c r="N9" s="286"/>
      <c r="O9" s="286"/>
      <c r="P9" s="286"/>
      <c r="Q9" s="286"/>
      <c r="R9" s="286"/>
      <c r="S9" s="286"/>
      <c r="T9" s="286"/>
      <c r="U9" s="286"/>
      <c r="V9" s="286"/>
      <c r="W9" s="286"/>
      <c r="X9" s="286"/>
      <c r="Y9" s="286"/>
      <c r="Z9" s="286"/>
      <c r="AA9" s="286"/>
      <c r="AB9" s="286"/>
    </row>
    <row r="10" spans="1:28" x14ac:dyDescent="0.2">
      <c r="A10" s="279" t="s">
        <v>75</v>
      </c>
      <c r="B10" s="286" t="s">
        <v>20</v>
      </c>
      <c r="C10" s="286" t="s">
        <v>21</v>
      </c>
      <c r="D10" s="277"/>
      <c r="E10" s="286">
        <v>2</v>
      </c>
      <c r="F10" s="286">
        <f>E10+1</f>
        <v>3</v>
      </c>
      <c r="G10" s="286">
        <f t="shared" ref="G10:AB10" si="0">F10+1</f>
        <v>4</v>
      </c>
      <c r="H10" s="286">
        <f t="shared" si="0"/>
        <v>5</v>
      </c>
      <c r="I10" s="286">
        <f t="shared" si="0"/>
        <v>6</v>
      </c>
      <c r="J10" s="286">
        <f t="shared" si="0"/>
        <v>7</v>
      </c>
      <c r="K10" s="286">
        <f t="shared" si="0"/>
        <v>8</v>
      </c>
      <c r="L10" s="286">
        <f t="shared" si="0"/>
        <v>9</v>
      </c>
      <c r="M10" s="286">
        <f t="shared" si="0"/>
        <v>10</v>
      </c>
      <c r="N10" s="286">
        <f t="shared" si="0"/>
        <v>11</v>
      </c>
      <c r="O10" s="286">
        <f t="shared" si="0"/>
        <v>12</v>
      </c>
      <c r="P10" s="286">
        <f t="shared" si="0"/>
        <v>13</v>
      </c>
      <c r="Q10" s="286">
        <f t="shared" si="0"/>
        <v>14</v>
      </c>
      <c r="R10" s="286">
        <f t="shared" si="0"/>
        <v>15</v>
      </c>
      <c r="S10" s="286">
        <f t="shared" si="0"/>
        <v>16</v>
      </c>
      <c r="T10" s="286">
        <f t="shared" si="0"/>
        <v>17</v>
      </c>
      <c r="U10" s="286">
        <f t="shared" si="0"/>
        <v>18</v>
      </c>
      <c r="V10" s="286">
        <f t="shared" si="0"/>
        <v>19</v>
      </c>
      <c r="W10" s="286">
        <f t="shared" si="0"/>
        <v>20</v>
      </c>
      <c r="X10" s="286">
        <f t="shared" si="0"/>
        <v>21</v>
      </c>
      <c r="Y10" s="286">
        <f t="shared" si="0"/>
        <v>22</v>
      </c>
      <c r="Z10" s="286">
        <f t="shared" si="0"/>
        <v>23</v>
      </c>
      <c r="AA10" s="286">
        <f t="shared" si="0"/>
        <v>24</v>
      </c>
      <c r="AB10" s="286">
        <f t="shared" si="0"/>
        <v>25</v>
      </c>
    </row>
    <row r="11" spans="1:28" ht="15" x14ac:dyDescent="0.2">
      <c r="A11" s="283"/>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row>
    <row r="12" spans="1:28" x14ac:dyDescent="0.2">
      <c r="A12" s="286" t="str">
        <f>Productivity!A14</f>
        <v>Haul cover soil</v>
      </c>
      <c r="B12" s="286" t="str">
        <f>Productivity!B14</f>
        <v>OB Stockpile 1 through 4, Topsoil Stockpile, South OB Stockpile</v>
      </c>
      <c r="C12" s="286" t="str">
        <f>Productivity!C14</f>
        <v xml:space="preserve">SWRDF Top </v>
      </c>
      <c r="D12" s="286" t="str">
        <f>'13   EarthSum'!C72</f>
        <v>992K</v>
      </c>
      <c r="E12" s="294">
        <f>Time!E14*('13   EarthSum'!$G72+'13   EarthSum'!$H72)</f>
        <v>183711.48641654968</v>
      </c>
      <c r="F12" s="294">
        <f>Time!F14*('13   EarthSum'!$G72+'13   EarthSum'!$H72)</f>
        <v>159950.47803428574</v>
      </c>
      <c r="G12" s="294">
        <f>Time!G14*('13   EarthSum'!$G72+'13   EarthSum'!$H72)</f>
        <v>159950.47803428574</v>
      </c>
      <c r="H12" s="294">
        <f>Time!H14*('13   EarthSum'!$G72+'13   EarthSum'!$H72)</f>
        <v>159950.47803428574</v>
      </c>
      <c r="I12" s="294">
        <f>Time!I14*('13   EarthSum'!$G72+'13   EarthSum'!$H72)</f>
        <v>159950.47803428574</v>
      </c>
      <c r="J12" s="294">
        <f>Time!J14*('13   EarthSum'!$G72+'13   EarthSum'!$H72)</f>
        <v>159950.47803428574</v>
      </c>
      <c r="K12" s="294">
        <f>Time!K14*('13   EarthSum'!$G72+'13   EarthSum'!$H72)</f>
        <v>159950.47803428574</v>
      </c>
      <c r="L12" s="294">
        <f>Time!L14*('13   EarthSum'!$G72+'13   EarthSum'!$H72)</f>
        <v>159950.47803428574</v>
      </c>
      <c r="M12" s="294">
        <f>Time!M14*('13   EarthSum'!$G72+'13   EarthSum'!$H72)</f>
        <v>159950.47803428574</v>
      </c>
      <c r="N12" s="294">
        <f>Time!N14*('13   EarthSum'!$G72+'13   EarthSum'!$H72)</f>
        <v>159950.47803428574</v>
      </c>
      <c r="O12" s="294">
        <f>Time!O14*('13   EarthSum'!$G72+'13   EarthSum'!$H72)</f>
        <v>159950.47803428574</v>
      </c>
      <c r="P12" s="294">
        <f>Time!P14*('13   EarthSum'!$G72+'13   EarthSum'!$H72)</f>
        <v>159950.47803428574</v>
      </c>
      <c r="Q12" s="294">
        <f>Time!Q14*('13   EarthSum'!$G72+'13   EarthSum'!$H72)</f>
        <v>159950.47803428574</v>
      </c>
      <c r="R12" s="294">
        <f>Time!R14*('13   EarthSum'!$G72+'13   EarthSum'!$H72)</f>
        <v>159950.47803428574</v>
      </c>
      <c r="S12" s="294">
        <f>Time!S14*('13   EarthSum'!$G72+'13   EarthSum'!$H72)</f>
        <v>159950.47803428574</v>
      </c>
      <c r="T12" s="294">
        <f>Time!T14*('13   EarthSum'!$G72+'13   EarthSum'!$H72)</f>
        <v>159950.47803428574</v>
      </c>
      <c r="U12" s="294">
        <f>Time!U14*('13   EarthSum'!$G72+'13   EarthSum'!$H72)</f>
        <v>159950.47803428574</v>
      </c>
      <c r="V12" s="294">
        <f>Time!V14*('13   EarthSum'!$G72+'13   EarthSum'!$H72)</f>
        <v>159950.47803428574</v>
      </c>
      <c r="W12" s="294">
        <f>Time!W14*('13   EarthSum'!$G72+'13   EarthSum'!$H72)</f>
        <v>159950.47803428574</v>
      </c>
      <c r="X12" s="294">
        <f>Time!X14*('13   EarthSum'!$G72+'13   EarthSum'!$H72)</f>
        <v>159950.47803428574</v>
      </c>
      <c r="Y12" s="294">
        <f>Time!Y14*('13   EarthSum'!$G72+'13   EarthSum'!$H72)</f>
        <v>159950.47803428574</v>
      </c>
      <c r="Z12" s="294">
        <f>Time!Z14*('13   EarthSum'!$G72+'13   EarthSum'!$H72)</f>
        <v>159950.47803428574</v>
      </c>
      <c r="AA12" s="294">
        <f>Time!AA14*('13   EarthSum'!$G72+'13   EarthSum'!$H72)</f>
        <v>159950.47803428574</v>
      </c>
      <c r="AB12" s="294">
        <f>Time!AB14*('13   EarthSum'!$G72+'13   EarthSum'!$H72)</f>
        <v>159950.47803428574</v>
      </c>
    </row>
    <row r="13" spans="1:28" x14ac:dyDescent="0.2">
      <c r="A13" s="286" t="str">
        <f>Productivity!A15</f>
        <v>Haul cover soil</v>
      </c>
      <c r="B13" s="286" t="str">
        <f>Productivity!B15</f>
        <v>OB Stockpile 1 through 4, Topsoil Stockpile, South OB Stockpile</v>
      </c>
      <c r="C13" s="286" t="str">
        <f>Productivity!C15</f>
        <v>SWRDF Outslopes</v>
      </c>
      <c r="D13" s="286" t="str">
        <f>'13   EarthSum'!C73</f>
        <v>992K</v>
      </c>
      <c r="E13" s="294">
        <f>Time!E15*('13   EarthSum'!$G73+'13   EarthSum'!$H73)</f>
        <v>551134.45924964908</v>
      </c>
      <c r="F13" s="294">
        <f>Time!F15*('13   EarthSum'!$G73+'13   EarthSum'!$H73)</f>
        <v>479851.43410285725</v>
      </c>
      <c r="G13" s="294">
        <f>Time!G15*('13   EarthSum'!$G73+'13   EarthSum'!$H73)</f>
        <v>479851.43410285725</v>
      </c>
      <c r="H13" s="294">
        <f>Time!H15*('13   EarthSum'!$G73+'13   EarthSum'!$H73)</f>
        <v>479851.43410285725</v>
      </c>
      <c r="I13" s="294">
        <f>Time!I15*('13   EarthSum'!$G73+'13   EarthSum'!$H73)</f>
        <v>479851.43410285725</v>
      </c>
      <c r="J13" s="294">
        <f>Time!J15*('13   EarthSum'!$G73+'13   EarthSum'!$H73)</f>
        <v>479851.43410285725</v>
      </c>
      <c r="K13" s="294">
        <f>Time!K15*('13   EarthSum'!$G73+'13   EarthSum'!$H73)</f>
        <v>479851.43410285725</v>
      </c>
      <c r="L13" s="294">
        <f>Time!L15*('13   EarthSum'!$G73+'13   EarthSum'!$H73)</f>
        <v>479851.43410285725</v>
      </c>
      <c r="M13" s="294">
        <f>Time!M15*('13   EarthSum'!$G73+'13   EarthSum'!$H73)</f>
        <v>479851.43410285725</v>
      </c>
      <c r="N13" s="294">
        <f>Time!N15*('13   EarthSum'!$G73+'13   EarthSum'!$H73)</f>
        <v>479851.43410285725</v>
      </c>
      <c r="O13" s="294">
        <f>Time!O15*('13   EarthSum'!$G73+'13   EarthSum'!$H73)</f>
        <v>479851.43410285725</v>
      </c>
      <c r="P13" s="294">
        <f>Time!P15*('13   EarthSum'!$G73+'13   EarthSum'!$H73)</f>
        <v>479851.43410285725</v>
      </c>
      <c r="Q13" s="294">
        <f>Time!Q15*('13   EarthSum'!$G73+'13   EarthSum'!$H73)</f>
        <v>479851.43410285725</v>
      </c>
      <c r="R13" s="294">
        <f>Time!R15*('13   EarthSum'!$G73+'13   EarthSum'!$H73)</f>
        <v>479851.43410285725</v>
      </c>
      <c r="S13" s="294">
        <f>Time!S15*('13   EarthSum'!$G73+'13   EarthSum'!$H73)</f>
        <v>479851.43410285725</v>
      </c>
      <c r="T13" s="294">
        <f>Time!T15*('13   EarthSum'!$G73+'13   EarthSum'!$H73)</f>
        <v>479851.43410285725</v>
      </c>
      <c r="U13" s="294">
        <f>Time!U15*('13   EarthSum'!$G73+'13   EarthSum'!$H73)</f>
        <v>479851.43410285725</v>
      </c>
      <c r="V13" s="294">
        <f>Time!V15*('13   EarthSum'!$G73+'13   EarthSum'!$H73)</f>
        <v>479851.43410285725</v>
      </c>
      <c r="W13" s="294">
        <f>Time!W15*('13   EarthSum'!$G73+'13   EarthSum'!$H73)</f>
        <v>479851.43410285725</v>
      </c>
      <c r="X13" s="294">
        <f>Time!X15*('13   EarthSum'!$G73+'13   EarthSum'!$H73)</f>
        <v>479851.43410285725</v>
      </c>
      <c r="Y13" s="294">
        <f>Time!Y15*('13   EarthSum'!$G73+'13   EarthSum'!$H73)</f>
        <v>479851.43410285725</v>
      </c>
      <c r="Z13" s="294">
        <f>Time!Z15*('13   EarthSum'!$G73+'13   EarthSum'!$H73)</f>
        <v>479851.43410285725</v>
      </c>
      <c r="AA13" s="294">
        <f>Time!AA15*('13   EarthSum'!$G73+'13   EarthSum'!$H73)</f>
        <v>479851.43410285725</v>
      </c>
      <c r="AB13" s="294">
        <f>Time!AB15*('13   EarthSum'!$G73+'13   EarthSum'!$H73)</f>
        <v>479851.43410285725</v>
      </c>
    </row>
    <row r="14" spans="1:28" x14ac:dyDescent="0.2">
      <c r="A14" s="286" t="str">
        <f>Productivity!A16</f>
        <v>Haul cover soil</v>
      </c>
      <c r="B14" s="286" t="str">
        <f>Productivity!B16</f>
        <v>NOBS</v>
      </c>
      <c r="C14" s="286" t="str">
        <f>Productivity!C16</f>
        <v xml:space="preserve">SWRDF Top </v>
      </c>
      <c r="D14" s="286" t="str">
        <f>'13   EarthSum'!C74</f>
        <v>992K</v>
      </c>
      <c r="E14" s="294">
        <f>Time!E16*('13   EarthSum'!$G74+'13   EarthSum'!$H74)</f>
        <v>109386.67171177006</v>
      </c>
      <c r="F14" s="294">
        <f>Time!F16*('13   EarthSum'!$G74+'13   EarthSum'!$H74)</f>
        <v>72924.447807846707</v>
      </c>
      <c r="G14" s="294">
        <f>Time!G16*('13   EarthSum'!$G74+'13   EarthSum'!$H74)</f>
        <v>54693.33585588503</v>
      </c>
      <c r="H14" s="294">
        <f>Time!H16*('13   EarthSum'!$G74+'13   EarthSum'!$H74)</f>
        <v>46370.619805714283</v>
      </c>
      <c r="I14" s="294">
        <f>Time!I16*('13   EarthSum'!$G74+'13   EarthSum'!$H74)</f>
        <v>46370.619805714283</v>
      </c>
      <c r="J14" s="294">
        <f>Time!J16*('13   EarthSum'!$G74+'13   EarthSum'!$H74)</f>
        <v>46370.619805714283</v>
      </c>
      <c r="K14" s="294">
        <f>Time!K16*('13   EarthSum'!$G74+'13   EarthSum'!$H74)</f>
        <v>46370.619805714283</v>
      </c>
      <c r="L14" s="294">
        <f>Time!L16*('13   EarthSum'!$G74+'13   EarthSum'!$H74)</f>
        <v>46370.619805714283</v>
      </c>
      <c r="M14" s="294">
        <f>Time!M16*('13   EarthSum'!$G74+'13   EarthSum'!$H74)</f>
        <v>46370.619805714283</v>
      </c>
      <c r="N14" s="294">
        <f>Time!N16*('13   EarthSum'!$G74+'13   EarthSum'!$H74)</f>
        <v>46370.619805714283</v>
      </c>
      <c r="O14" s="294">
        <f>Time!O16*('13   EarthSum'!$G74+'13   EarthSum'!$H74)</f>
        <v>46370.619805714283</v>
      </c>
      <c r="P14" s="294">
        <f>Time!P16*('13   EarthSum'!$G74+'13   EarthSum'!$H74)</f>
        <v>46370.619805714283</v>
      </c>
      <c r="Q14" s="294">
        <f>Time!Q16*('13   EarthSum'!$G74+'13   EarthSum'!$H74)</f>
        <v>46370.619805714283</v>
      </c>
      <c r="R14" s="294">
        <f>Time!R16*('13   EarthSum'!$G74+'13   EarthSum'!$H74)</f>
        <v>46370.619805714283</v>
      </c>
      <c r="S14" s="294">
        <f>Time!S16*('13   EarthSum'!$G74+'13   EarthSum'!$H74)</f>
        <v>46370.619805714283</v>
      </c>
      <c r="T14" s="294">
        <f>Time!T16*('13   EarthSum'!$G74+'13   EarthSum'!$H74)</f>
        <v>46370.619805714283</v>
      </c>
      <c r="U14" s="294">
        <f>Time!U16*('13   EarthSum'!$G74+'13   EarthSum'!$H74)</f>
        <v>46370.619805714283</v>
      </c>
      <c r="V14" s="294">
        <f>Time!V16*('13   EarthSum'!$G74+'13   EarthSum'!$H74)</f>
        <v>46370.619805714283</v>
      </c>
      <c r="W14" s="294">
        <f>Time!W16*('13   EarthSum'!$G74+'13   EarthSum'!$H74)</f>
        <v>46370.619805714283</v>
      </c>
      <c r="X14" s="294">
        <f>Time!X16*('13   EarthSum'!$G74+'13   EarthSum'!$H74)</f>
        <v>46370.619805714283</v>
      </c>
      <c r="Y14" s="294">
        <f>Time!Y16*('13   EarthSum'!$G74+'13   EarthSum'!$H74)</f>
        <v>46370.619805714283</v>
      </c>
      <c r="Z14" s="294">
        <f>Time!Z16*('13   EarthSum'!$G74+'13   EarthSum'!$H74)</f>
        <v>46370.619805714283</v>
      </c>
      <c r="AA14" s="294">
        <f>Time!AA16*('13   EarthSum'!$G74+'13   EarthSum'!$H74)</f>
        <v>46370.619805714283</v>
      </c>
      <c r="AB14" s="294">
        <f>Time!AB16*('13   EarthSum'!$G74+'13   EarthSum'!$H74)</f>
        <v>46370.619805714283</v>
      </c>
    </row>
    <row r="15" spans="1:28" x14ac:dyDescent="0.2">
      <c r="A15" s="286" t="str">
        <f>Productivity!A17</f>
        <v>Haul cover soil</v>
      </c>
      <c r="B15" s="286" t="str">
        <f>Productivity!B17</f>
        <v>NOBS</v>
      </c>
      <c r="C15" s="286" t="str">
        <f>Productivity!C17</f>
        <v>Hanover Mountain Deposit</v>
      </c>
      <c r="D15" s="286" t="str">
        <f>'13   EarthSum'!C75</f>
        <v>992K</v>
      </c>
      <c r="E15" s="294">
        <f>Time!E17*('13   EarthSum'!$G75+'13   EarthSum'!$H75)</f>
        <v>309959.53156982263</v>
      </c>
      <c r="F15" s="294">
        <f>Time!F17*('13   EarthSum'!$G75+'13   EarthSum'!$H75)</f>
        <v>206639.68771321507</v>
      </c>
      <c r="G15" s="294">
        <f>Time!G17*('13   EarthSum'!$G75+'13   EarthSum'!$H75)</f>
        <v>175157.03756571427</v>
      </c>
      <c r="H15" s="294">
        <f>Time!H17*('13   EarthSum'!$G75+'13   EarthSum'!$H75)</f>
        <v>175157.03756571427</v>
      </c>
      <c r="I15" s="294">
        <f>Time!I17*('13   EarthSum'!$G75+'13   EarthSum'!$H75)</f>
        <v>175157.03756571427</v>
      </c>
      <c r="J15" s="294">
        <f>Time!J17*('13   EarthSum'!$G75+'13   EarthSum'!$H75)</f>
        <v>175157.03756571427</v>
      </c>
      <c r="K15" s="294">
        <f>Time!K17*('13   EarthSum'!$G75+'13   EarthSum'!$H75)</f>
        <v>175157.03756571427</v>
      </c>
      <c r="L15" s="294">
        <f>Time!L17*('13   EarthSum'!$G75+'13   EarthSum'!$H75)</f>
        <v>175157.03756571427</v>
      </c>
      <c r="M15" s="294">
        <f>Time!M17*('13   EarthSum'!$G75+'13   EarthSum'!$H75)</f>
        <v>175157.03756571427</v>
      </c>
      <c r="N15" s="294">
        <f>Time!N17*('13   EarthSum'!$G75+'13   EarthSum'!$H75)</f>
        <v>175157.03756571427</v>
      </c>
      <c r="O15" s="294">
        <f>Time!O17*('13   EarthSum'!$G75+'13   EarthSum'!$H75)</f>
        <v>175157.03756571427</v>
      </c>
      <c r="P15" s="294">
        <f>Time!P17*('13   EarthSum'!$G75+'13   EarthSum'!$H75)</f>
        <v>175157.03756571427</v>
      </c>
      <c r="Q15" s="294">
        <f>Time!Q17*('13   EarthSum'!$G75+'13   EarthSum'!$H75)</f>
        <v>175157.03756571427</v>
      </c>
      <c r="R15" s="294">
        <f>Time!R17*('13   EarthSum'!$G75+'13   EarthSum'!$H75)</f>
        <v>175157.03756571427</v>
      </c>
      <c r="S15" s="294">
        <f>Time!S17*('13   EarthSum'!$G75+'13   EarthSum'!$H75)</f>
        <v>175157.03756571427</v>
      </c>
      <c r="T15" s="294">
        <f>Time!T17*('13   EarthSum'!$G75+'13   EarthSum'!$H75)</f>
        <v>175157.03756571427</v>
      </c>
      <c r="U15" s="294">
        <f>Time!U17*('13   EarthSum'!$G75+'13   EarthSum'!$H75)</f>
        <v>175157.03756571427</v>
      </c>
      <c r="V15" s="294">
        <f>Time!V17*('13   EarthSum'!$G75+'13   EarthSum'!$H75)</f>
        <v>175157.03756571427</v>
      </c>
      <c r="W15" s="294">
        <f>Time!W17*('13   EarthSum'!$G75+'13   EarthSum'!$H75)</f>
        <v>175157.03756571427</v>
      </c>
      <c r="X15" s="294">
        <f>Time!X17*('13   EarthSum'!$G75+'13   EarthSum'!$H75)</f>
        <v>175157.03756571427</v>
      </c>
      <c r="Y15" s="294">
        <f>Time!Y17*('13   EarthSum'!$G75+'13   EarthSum'!$H75)</f>
        <v>175157.03756571427</v>
      </c>
      <c r="Z15" s="294">
        <f>Time!Z17*('13   EarthSum'!$G75+'13   EarthSum'!$H75)</f>
        <v>175157.03756571427</v>
      </c>
      <c r="AA15" s="294">
        <f>Time!AA17*('13   EarthSum'!$G75+'13   EarthSum'!$H75)</f>
        <v>175157.03756571427</v>
      </c>
      <c r="AB15" s="294">
        <f>Time!AB17*('13   EarthSum'!$G75+'13   EarthSum'!$H75)</f>
        <v>175157.03756571427</v>
      </c>
    </row>
    <row r="16" spans="1:28" x14ac:dyDescent="0.2">
      <c r="A16" s="286" t="str">
        <f>Productivity!A18</f>
        <v>Haul cover soil</v>
      </c>
      <c r="B16" s="286" t="str">
        <f>Productivity!B18</f>
        <v>OB Stockpile 1 through 3, Topsoil Stockpile, South OB Stockpile</v>
      </c>
      <c r="C16" s="286" t="str">
        <f>Productivity!C18</f>
        <v>Pearson-Barnes Mine Area</v>
      </c>
      <c r="D16" s="286" t="str">
        <f>'13   EarthSum'!C76</f>
        <v>992K</v>
      </c>
      <c r="E16" s="294">
        <f>Time!E18*('13   EarthSum'!$G76+'13   EarthSum'!$H76)</f>
        <v>22340.501040000003</v>
      </c>
      <c r="F16" s="294">
        <f>Time!F18*('13   EarthSum'!$G76+'13   EarthSum'!$H76)</f>
        <v>22340.501040000003</v>
      </c>
      <c r="G16" s="294">
        <f>Time!G18*('13   EarthSum'!$G76+'13   EarthSum'!$H76)</f>
        <v>22340.501040000003</v>
      </c>
      <c r="H16" s="294">
        <f>Time!H18*('13   EarthSum'!$G76+'13   EarthSum'!$H76)</f>
        <v>22340.501040000003</v>
      </c>
      <c r="I16" s="294">
        <f>Time!I18*('13   EarthSum'!$G76+'13   EarthSum'!$H76)</f>
        <v>22340.501040000003</v>
      </c>
      <c r="J16" s="294">
        <f>Time!J18*('13   EarthSum'!$G76+'13   EarthSum'!$H76)</f>
        <v>22340.501040000003</v>
      </c>
      <c r="K16" s="294">
        <f>Time!K18*('13   EarthSum'!$G76+'13   EarthSum'!$H76)</f>
        <v>22340.501040000003</v>
      </c>
      <c r="L16" s="294">
        <f>Time!L18*('13   EarthSum'!$G76+'13   EarthSum'!$H76)</f>
        <v>22340.501040000003</v>
      </c>
      <c r="M16" s="294">
        <f>Time!M18*('13   EarthSum'!$G76+'13   EarthSum'!$H76)</f>
        <v>22340.501040000003</v>
      </c>
      <c r="N16" s="294">
        <f>Time!N18*('13   EarthSum'!$G76+'13   EarthSum'!$H76)</f>
        <v>22340.501040000003</v>
      </c>
      <c r="O16" s="294">
        <f>Time!O18*('13   EarthSum'!$G76+'13   EarthSum'!$H76)</f>
        <v>22340.501040000003</v>
      </c>
      <c r="P16" s="294">
        <f>Time!P18*('13   EarthSum'!$G76+'13   EarthSum'!$H76)</f>
        <v>22340.501040000003</v>
      </c>
      <c r="Q16" s="294">
        <f>Time!Q18*('13   EarthSum'!$G76+'13   EarthSum'!$H76)</f>
        <v>22340.501040000003</v>
      </c>
      <c r="R16" s="294">
        <f>Time!R18*('13   EarthSum'!$G76+'13   EarthSum'!$H76)</f>
        <v>22340.501040000003</v>
      </c>
      <c r="S16" s="294">
        <f>Time!S18*('13   EarthSum'!$G76+'13   EarthSum'!$H76)</f>
        <v>22340.501040000003</v>
      </c>
      <c r="T16" s="294">
        <f>Time!T18*('13   EarthSum'!$G76+'13   EarthSum'!$H76)</f>
        <v>22340.501040000003</v>
      </c>
      <c r="U16" s="294">
        <f>Time!U18*('13   EarthSum'!$G76+'13   EarthSum'!$H76)</f>
        <v>22340.501040000003</v>
      </c>
      <c r="V16" s="294">
        <f>Time!V18*('13   EarthSum'!$G76+'13   EarthSum'!$H76)</f>
        <v>22340.501040000003</v>
      </c>
      <c r="W16" s="294">
        <f>Time!W18*('13   EarthSum'!$G76+'13   EarthSum'!$H76)</f>
        <v>22340.501040000003</v>
      </c>
      <c r="X16" s="294">
        <f>Time!X18*('13   EarthSum'!$G76+'13   EarthSum'!$H76)</f>
        <v>22340.501040000003</v>
      </c>
      <c r="Y16" s="294">
        <f>Time!Y18*('13   EarthSum'!$G76+'13   EarthSum'!$H76)</f>
        <v>22340.501040000003</v>
      </c>
      <c r="Z16" s="294">
        <f>Time!Z18*('13   EarthSum'!$G76+'13   EarthSum'!$H76)</f>
        <v>22340.501040000003</v>
      </c>
      <c r="AA16" s="294">
        <f>Time!AA18*('13   EarthSum'!$G76+'13   EarthSum'!$H76)</f>
        <v>22340.501040000003</v>
      </c>
      <c r="AB16" s="294">
        <f>Time!AB18*('13   EarthSum'!$G76+'13   EarthSum'!$H76)</f>
        <v>22340.501040000003</v>
      </c>
    </row>
    <row r="17" spans="1:28" x14ac:dyDescent="0.2">
      <c r="A17" s="286" t="str">
        <f>Productivity!A19</f>
        <v>Haul cover soil</v>
      </c>
      <c r="B17" s="286" t="str">
        <f>Productivity!B19</f>
        <v>OB-4 Stockpile</v>
      </c>
      <c r="C17" s="286" t="str">
        <f>Productivity!C19</f>
        <v>Low Grade WRF</v>
      </c>
      <c r="D17" s="286" t="str">
        <f>'13   EarthSum'!C77</f>
        <v>992K</v>
      </c>
      <c r="E17" s="294">
        <f>Time!E19*('13   EarthSum'!$G77+'13   EarthSum'!$H77)</f>
        <v>17415.578261714283</v>
      </c>
      <c r="F17" s="294">
        <f>Time!F19*('13   EarthSum'!$G77+'13   EarthSum'!$H77)</f>
        <v>17415.578261714283</v>
      </c>
      <c r="G17" s="294">
        <f>Time!G19*('13   EarthSum'!$G77+'13   EarthSum'!$H77)</f>
        <v>17415.578261714283</v>
      </c>
      <c r="H17" s="294">
        <f>Time!H19*('13   EarthSum'!$G77+'13   EarthSum'!$H77)</f>
        <v>17415.578261714283</v>
      </c>
      <c r="I17" s="294">
        <f>Time!I19*('13   EarthSum'!$G77+'13   EarthSum'!$H77)</f>
        <v>17415.578261714283</v>
      </c>
      <c r="J17" s="294">
        <f>Time!J19*('13   EarthSum'!$G77+'13   EarthSum'!$H77)</f>
        <v>17415.578261714283</v>
      </c>
      <c r="K17" s="294">
        <f>Time!K19*('13   EarthSum'!$G77+'13   EarthSum'!$H77)</f>
        <v>17415.578261714283</v>
      </c>
      <c r="L17" s="294">
        <f>Time!L19*('13   EarthSum'!$G77+'13   EarthSum'!$H77)</f>
        <v>17415.578261714283</v>
      </c>
      <c r="M17" s="294">
        <f>Time!M19*('13   EarthSum'!$G77+'13   EarthSum'!$H77)</f>
        <v>17415.578261714283</v>
      </c>
      <c r="N17" s="294">
        <f>Time!N19*('13   EarthSum'!$G77+'13   EarthSum'!$H77)</f>
        <v>17415.578261714283</v>
      </c>
      <c r="O17" s="294">
        <f>Time!O19*('13   EarthSum'!$G77+'13   EarthSum'!$H77)</f>
        <v>17415.578261714283</v>
      </c>
      <c r="P17" s="294">
        <f>Time!P19*('13   EarthSum'!$G77+'13   EarthSum'!$H77)</f>
        <v>17415.578261714283</v>
      </c>
      <c r="Q17" s="294">
        <f>Time!Q19*('13   EarthSum'!$G77+'13   EarthSum'!$H77)</f>
        <v>17415.578261714283</v>
      </c>
      <c r="R17" s="294">
        <f>Time!R19*('13   EarthSum'!$G77+'13   EarthSum'!$H77)</f>
        <v>17415.578261714283</v>
      </c>
      <c r="S17" s="294">
        <f>Time!S19*('13   EarthSum'!$G77+'13   EarthSum'!$H77)</f>
        <v>17415.578261714283</v>
      </c>
      <c r="T17" s="294">
        <f>Time!T19*('13   EarthSum'!$G77+'13   EarthSum'!$H77)</f>
        <v>17415.578261714283</v>
      </c>
      <c r="U17" s="294">
        <f>Time!U19*('13   EarthSum'!$G77+'13   EarthSum'!$H77)</f>
        <v>17415.578261714283</v>
      </c>
      <c r="V17" s="294">
        <f>Time!V19*('13   EarthSum'!$G77+'13   EarthSum'!$H77)</f>
        <v>17415.578261714283</v>
      </c>
      <c r="W17" s="294">
        <f>Time!W19*('13   EarthSum'!$G77+'13   EarthSum'!$H77)</f>
        <v>17415.578261714283</v>
      </c>
      <c r="X17" s="294">
        <f>Time!X19*('13   EarthSum'!$G77+'13   EarthSum'!$H77)</f>
        <v>17415.578261714283</v>
      </c>
      <c r="Y17" s="294">
        <f>Time!Y19*('13   EarthSum'!$G77+'13   EarthSum'!$H77)</f>
        <v>17415.578261714283</v>
      </c>
      <c r="Z17" s="294">
        <f>Time!Z19*('13   EarthSum'!$G77+'13   EarthSum'!$H77)</f>
        <v>17415.578261714283</v>
      </c>
      <c r="AA17" s="294">
        <f>Time!AA19*('13   EarthSum'!$G77+'13   EarthSum'!$H77)</f>
        <v>17415.578261714283</v>
      </c>
      <c r="AB17" s="294">
        <f>Time!AB19*('13   EarthSum'!$G77+'13   EarthSum'!$H77)</f>
        <v>17415.578261714283</v>
      </c>
    </row>
    <row r="18" spans="1:28" x14ac:dyDescent="0.2">
      <c r="A18" s="286" t="str">
        <f>Productivity!A20</f>
        <v>Haul cover soil</v>
      </c>
      <c r="B18" s="286" t="str">
        <f>Productivity!B20</f>
        <v>NOBS</v>
      </c>
      <c r="C18" s="286" t="str">
        <f>Productivity!C20</f>
        <v>MTI Reclaim Pond</v>
      </c>
      <c r="D18" s="286" t="str">
        <f>'13   EarthSum'!C78</f>
        <v>992K</v>
      </c>
      <c r="E18" s="294">
        <f>Time!E20*('13   EarthSum'!$G78+'13   EarthSum'!$H78)</f>
        <v>115862.38518023241</v>
      </c>
      <c r="F18" s="294">
        <f>Time!F20*('13   EarthSum'!$G78+'13   EarthSum'!$H78)</f>
        <v>77241.590120154957</v>
      </c>
      <c r="G18" s="294">
        <f>Time!G20*('13   EarthSum'!$G78+'13   EarthSum'!$H78)</f>
        <v>61952.649942857141</v>
      </c>
      <c r="H18" s="294">
        <f>Time!H20*('13   EarthSum'!$G78+'13   EarthSum'!$H78)</f>
        <v>61952.649942857141</v>
      </c>
      <c r="I18" s="294">
        <f>Time!I20*('13   EarthSum'!$G78+'13   EarthSum'!$H78)</f>
        <v>61952.649942857141</v>
      </c>
      <c r="J18" s="294">
        <f>Time!J20*('13   EarthSum'!$G78+'13   EarthSum'!$H78)</f>
        <v>61952.649942857141</v>
      </c>
      <c r="K18" s="294">
        <f>Time!K20*('13   EarthSum'!$G78+'13   EarthSum'!$H78)</f>
        <v>61952.649942857141</v>
      </c>
      <c r="L18" s="294">
        <f>Time!L20*('13   EarthSum'!$G78+'13   EarthSum'!$H78)</f>
        <v>61952.649942857141</v>
      </c>
      <c r="M18" s="294">
        <f>Time!M20*('13   EarthSum'!$G78+'13   EarthSum'!$H78)</f>
        <v>61952.649942857141</v>
      </c>
      <c r="N18" s="294">
        <f>Time!N20*('13   EarthSum'!$G78+'13   EarthSum'!$H78)</f>
        <v>61952.649942857141</v>
      </c>
      <c r="O18" s="294">
        <f>Time!O20*('13   EarthSum'!$G78+'13   EarthSum'!$H78)</f>
        <v>61952.649942857141</v>
      </c>
      <c r="P18" s="294">
        <f>Time!P20*('13   EarthSum'!$G78+'13   EarthSum'!$H78)</f>
        <v>61952.649942857141</v>
      </c>
      <c r="Q18" s="294">
        <f>Time!Q20*('13   EarthSum'!$G78+'13   EarthSum'!$H78)</f>
        <v>61952.649942857141</v>
      </c>
      <c r="R18" s="294">
        <f>Time!R20*('13   EarthSum'!$G78+'13   EarthSum'!$H78)</f>
        <v>61952.649942857141</v>
      </c>
      <c r="S18" s="294">
        <f>Time!S20*('13   EarthSum'!$G78+'13   EarthSum'!$H78)</f>
        <v>61952.649942857141</v>
      </c>
      <c r="T18" s="294">
        <f>Time!T20*('13   EarthSum'!$G78+'13   EarthSum'!$H78)</f>
        <v>61952.649942857141</v>
      </c>
      <c r="U18" s="294">
        <f>Time!U20*('13   EarthSum'!$G78+'13   EarthSum'!$H78)</f>
        <v>61952.649942857141</v>
      </c>
      <c r="V18" s="294">
        <f>Time!V20*('13   EarthSum'!$G78+'13   EarthSum'!$H78)</f>
        <v>61952.649942857141</v>
      </c>
      <c r="W18" s="294">
        <f>Time!W20*('13   EarthSum'!$G78+'13   EarthSum'!$H78)</f>
        <v>61952.649942857141</v>
      </c>
      <c r="X18" s="294">
        <f>Time!X20*('13   EarthSum'!$G78+'13   EarthSum'!$H78)</f>
        <v>61952.649942857141</v>
      </c>
      <c r="Y18" s="294">
        <f>Time!Y20*('13   EarthSum'!$G78+'13   EarthSum'!$H78)</f>
        <v>61952.649942857141</v>
      </c>
      <c r="Z18" s="294">
        <f>Time!Z20*('13   EarthSum'!$G78+'13   EarthSum'!$H78)</f>
        <v>61952.649942857141</v>
      </c>
      <c r="AA18" s="294">
        <f>Time!AA20*('13   EarthSum'!$G78+'13   EarthSum'!$H78)</f>
        <v>61952.649942857141</v>
      </c>
      <c r="AB18" s="294">
        <f>Time!AB20*('13   EarthSum'!$G78+'13   EarthSum'!$H78)</f>
        <v>61952.649942857141</v>
      </c>
    </row>
    <row r="19" spans="1:28" x14ac:dyDescent="0.2">
      <c r="A19" s="286" t="str">
        <f>Productivity!A21</f>
        <v>Haul cover soil</v>
      </c>
      <c r="B19" s="286" t="str">
        <f>Productivity!B21</f>
        <v>NOBS</v>
      </c>
      <c r="C19" s="286" t="str">
        <f>Productivity!C21</f>
        <v>MTI  Top</v>
      </c>
      <c r="D19" s="286" t="str">
        <f>'13   EarthSum'!C79</f>
        <v>992K</v>
      </c>
      <c r="E19" s="294">
        <f>Time!E21*('13   EarthSum'!$G79+'13   EarthSum'!$H79)</f>
        <v>138033.86982139913</v>
      </c>
      <c r="F19" s="294">
        <f>Time!F21*('13   EarthSum'!$G79+'13   EarthSum'!$H79)</f>
        <v>92022.579880932753</v>
      </c>
      <c r="G19" s="294">
        <f>Time!G21*('13   EarthSum'!$G79+'13   EarthSum'!$H79)</f>
        <v>73807.940376857165</v>
      </c>
      <c r="H19" s="294">
        <f>Time!H21*('13   EarthSum'!$G79+'13   EarthSum'!$H79)</f>
        <v>73807.940376857165</v>
      </c>
      <c r="I19" s="294">
        <f>Time!I21*('13   EarthSum'!$G79+'13   EarthSum'!$H79)</f>
        <v>73807.940376857165</v>
      </c>
      <c r="J19" s="294">
        <f>Time!J21*('13   EarthSum'!$G79+'13   EarthSum'!$H79)</f>
        <v>73807.940376857165</v>
      </c>
      <c r="K19" s="294">
        <f>Time!K21*('13   EarthSum'!$G79+'13   EarthSum'!$H79)</f>
        <v>73807.940376857165</v>
      </c>
      <c r="L19" s="294">
        <f>Time!L21*('13   EarthSum'!$G79+'13   EarthSum'!$H79)</f>
        <v>73807.940376857165</v>
      </c>
      <c r="M19" s="294">
        <f>Time!M21*('13   EarthSum'!$G79+'13   EarthSum'!$H79)</f>
        <v>73807.940376857165</v>
      </c>
      <c r="N19" s="294">
        <f>Time!N21*('13   EarthSum'!$G79+'13   EarthSum'!$H79)</f>
        <v>73807.940376857165</v>
      </c>
      <c r="O19" s="294">
        <f>Time!O21*('13   EarthSum'!$G79+'13   EarthSum'!$H79)</f>
        <v>73807.940376857165</v>
      </c>
      <c r="P19" s="294">
        <f>Time!P21*('13   EarthSum'!$G79+'13   EarthSum'!$H79)</f>
        <v>73807.940376857165</v>
      </c>
      <c r="Q19" s="294">
        <f>Time!Q21*('13   EarthSum'!$G79+'13   EarthSum'!$H79)</f>
        <v>73807.940376857165</v>
      </c>
      <c r="R19" s="294">
        <f>Time!R21*('13   EarthSum'!$G79+'13   EarthSum'!$H79)</f>
        <v>73807.940376857165</v>
      </c>
      <c r="S19" s="294">
        <f>Time!S21*('13   EarthSum'!$G79+'13   EarthSum'!$H79)</f>
        <v>73807.940376857165</v>
      </c>
      <c r="T19" s="294">
        <f>Time!T21*('13   EarthSum'!$G79+'13   EarthSum'!$H79)</f>
        <v>73807.940376857165</v>
      </c>
      <c r="U19" s="294">
        <f>Time!U21*('13   EarthSum'!$G79+'13   EarthSum'!$H79)</f>
        <v>73807.940376857165</v>
      </c>
      <c r="V19" s="294">
        <f>Time!V21*('13   EarthSum'!$G79+'13   EarthSum'!$H79)</f>
        <v>73807.940376857165</v>
      </c>
      <c r="W19" s="294">
        <f>Time!W21*('13   EarthSum'!$G79+'13   EarthSum'!$H79)</f>
        <v>73807.940376857165</v>
      </c>
      <c r="X19" s="294">
        <f>Time!X21*('13   EarthSum'!$G79+'13   EarthSum'!$H79)</f>
        <v>73807.940376857165</v>
      </c>
      <c r="Y19" s="294">
        <f>Time!Y21*('13   EarthSum'!$G79+'13   EarthSum'!$H79)</f>
        <v>73807.940376857165</v>
      </c>
      <c r="Z19" s="294">
        <f>Time!Z21*('13   EarthSum'!$G79+'13   EarthSum'!$H79)</f>
        <v>73807.940376857165</v>
      </c>
      <c r="AA19" s="294">
        <f>Time!AA21*('13   EarthSum'!$G79+'13   EarthSum'!$H79)</f>
        <v>73807.940376857165</v>
      </c>
      <c r="AB19" s="294">
        <f>Time!AB21*('13   EarthSum'!$G79+'13   EarthSum'!$H79)</f>
        <v>73807.940376857165</v>
      </c>
    </row>
    <row r="20" spans="1:28" x14ac:dyDescent="0.2">
      <c r="A20" s="286" t="str">
        <f>Productivity!A22</f>
        <v>Haul cover soil</v>
      </c>
      <c r="B20" s="286" t="str">
        <f>Productivity!B22</f>
        <v>NOBS</v>
      </c>
      <c r="C20" s="286" t="str">
        <f>Productivity!C22</f>
        <v>MTI  Outslope</v>
      </c>
      <c r="D20" s="286" t="str">
        <f>'13   EarthSum'!C80</f>
        <v>992K</v>
      </c>
      <c r="E20" s="294">
        <f>Time!E22*('13   EarthSum'!$G80+'13   EarthSum'!$H80)</f>
        <v>127553.9531393286</v>
      </c>
      <c r="F20" s="294">
        <f>Time!F22*('13   EarthSum'!$G80+'13   EarthSum'!$H80)</f>
        <v>85035.968759552386</v>
      </c>
      <c r="G20" s="294">
        <f>Time!G22*('13   EarthSum'!$G80+'13   EarthSum'!$H80)</f>
        <v>68204.235528000005</v>
      </c>
      <c r="H20" s="294">
        <f>Time!H22*('13   EarthSum'!$G80+'13   EarthSum'!$H80)</f>
        <v>68204.235528000005</v>
      </c>
      <c r="I20" s="294">
        <f>Time!I22*('13   EarthSum'!$G80+'13   EarthSum'!$H80)</f>
        <v>68204.235528000005</v>
      </c>
      <c r="J20" s="294">
        <f>Time!J22*('13   EarthSum'!$G80+'13   EarthSum'!$H80)</f>
        <v>68204.235528000005</v>
      </c>
      <c r="K20" s="294">
        <f>Time!K22*('13   EarthSum'!$G80+'13   EarthSum'!$H80)</f>
        <v>68204.235528000005</v>
      </c>
      <c r="L20" s="294">
        <f>Time!L22*('13   EarthSum'!$G80+'13   EarthSum'!$H80)</f>
        <v>68204.235528000005</v>
      </c>
      <c r="M20" s="294">
        <f>Time!M22*('13   EarthSum'!$G80+'13   EarthSum'!$H80)</f>
        <v>68204.235528000005</v>
      </c>
      <c r="N20" s="294">
        <f>Time!N22*('13   EarthSum'!$G80+'13   EarthSum'!$H80)</f>
        <v>68204.235528000005</v>
      </c>
      <c r="O20" s="294">
        <f>Time!O22*('13   EarthSum'!$G80+'13   EarthSum'!$H80)</f>
        <v>68204.235528000005</v>
      </c>
      <c r="P20" s="294">
        <f>Time!P22*('13   EarthSum'!$G80+'13   EarthSum'!$H80)</f>
        <v>68204.235528000005</v>
      </c>
      <c r="Q20" s="294">
        <f>Time!Q22*('13   EarthSum'!$G80+'13   EarthSum'!$H80)</f>
        <v>68204.235528000005</v>
      </c>
      <c r="R20" s="294">
        <f>Time!R22*('13   EarthSum'!$G80+'13   EarthSum'!$H80)</f>
        <v>68204.235528000005</v>
      </c>
      <c r="S20" s="294">
        <f>Time!S22*('13   EarthSum'!$G80+'13   EarthSum'!$H80)</f>
        <v>68204.235528000005</v>
      </c>
      <c r="T20" s="294">
        <f>Time!T22*('13   EarthSum'!$G80+'13   EarthSum'!$H80)</f>
        <v>68204.235528000005</v>
      </c>
      <c r="U20" s="294">
        <f>Time!U22*('13   EarthSum'!$G80+'13   EarthSum'!$H80)</f>
        <v>68204.235528000005</v>
      </c>
      <c r="V20" s="294">
        <f>Time!V22*('13   EarthSum'!$G80+'13   EarthSum'!$H80)</f>
        <v>68204.235528000005</v>
      </c>
      <c r="W20" s="294">
        <f>Time!W22*('13   EarthSum'!$G80+'13   EarthSum'!$H80)</f>
        <v>68204.235528000005</v>
      </c>
      <c r="X20" s="294">
        <f>Time!X22*('13   EarthSum'!$G80+'13   EarthSum'!$H80)</f>
        <v>68204.235528000005</v>
      </c>
      <c r="Y20" s="294">
        <f>Time!Y22*('13   EarthSum'!$G80+'13   EarthSum'!$H80)</f>
        <v>68204.235528000005</v>
      </c>
      <c r="Z20" s="294">
        <f>Time!Z22*('13   EarthSum'!$G80+'13   EarthSum'!$H80)</f>
        <v>68204.235528000005</v>
      </c>
      <c r="AA20" s="294">
        <f>Time!AA22*('13   EarthSum'!$G80+'13   EarthSum'!$H80)</f>
        <v>68204.235528000005</v>
      </c>
      <c r="AB20" s="294">
        <f>Time!AB22*('13   EarthSum'!$G80+'13   EarthSum'!$H80)</f>
        <v>68204.235528000005</v>
      </c>
    </row>
    <row r="21" spans="1:28" x14ac:dyDescent="0.2">
      <c r="A21" s="286" t="str">
        <f>Productivity!A23</f>
        <v>Haul cover soil</v>
      </c>
      <c r="B21" s="286" t="str">
        <f>Productivity!B23</f>
        <v>Reclaim Pond Outlet Channel</v>
      </c>
      <c r="C21" s="286" t="str">
        <f>Productivity!C23</f>
        <v>MTI  Top</v>
      </c>
      <c r="D21" s="286" t="str">
        <f>'13   EarthSum'!C81</f>
        <v>992K</v>
      </c>
      <c r="E21" s="294">
        <f>Time!E23*('13   EarthSum'!$G81+'13   EarthSum'!$H81)</f>
        <v>27756.858468857143</v>
      </c>
      <c r="F21" s="294">
        <f>Time!F23*('13   EarthSum'!$G81+'13   EarthSum'!$H81)</f>
        <v>27756.858468857143</v>
      </c>
      <c r="G21" s="294">
        <f>Time!G23*('13   EarthSum'!$G81+'13   EarthSum'!$H81)</f>
        <v>27756.858468857143</v>
      </c>
      <c r="H21" s="294">
        <f>Time!H23*('13   EarthSum'!$G81+'13   EarthSum'!$H81)</f>
        <v>27756.858468857143</v>
      </c>
      <c r="I21" s="294">
        <f>Time!I23*('13   EarthSum'!$G81+'13   EarthSum'!$H81)</f>
        <v>27756.858468857143</v>
      </c>
      <c r="J21" s="294">
        <f>Time!J23*('13   EarthSum'!$G81+'13   EarthSum'!$H81)</f>
        <v>27756.858468857143</v>
      </c>
      <c r="K21" s="294">
        <f>Time!K23*('13   EarthSum'!$G81+'13   EarthSum'!$H81)</f>
        <v>27756.858468857143</v>
      </c>
      <c r="L21" s="294">
        <f>Time!L23*('13   EarthSum'!$G81+'13   EarthSum'!$H81)</f>
        <v>27756.858468857143</v>
      </c>
      <c r="M21" s="294">
        <f>Time!M23*('13   EarthSum'!$G81+'13   EarthSum'!$H81)</f>
        <v>27756.858468857143</v>
      </c>
      <c r="N21" s="294">
        <f>Time!N23*('13   EarthSum'!$G81+'13   EarthSum'!$H81)</f>
        <v>27756.858468857143</v>
      </c>
      <c r="O21" s="294">
        <f>Time!O23*('13   EarthSum'!$G81+'13   EarthSum'!$H81)</f>
        <v>27756.858468857143</v>
      </c>
      <c r="P21" s="294">
        <f>Time!P23*('13   EarthSum'!$G81+'13   EarthSum'!$H81)</f>
        <v>27756.858468857143</v>
      </c>
      <c r="Q21" s="294">
        <f>Time!Q23*('13   EarthSum'!$G81+'13   EarthSum'!$H81)</f>
        <v>27756.858468857143</v>
      </c>
      <c r="R21" s="294">
        <f>Time!R23*('13   EarthSum'!$G81+'13   EarthSum'!$H81)</f>
        <v>27756.858468857143</v>
      </c>
      <c r="S21" s="294">
        <f>Time!S23*('13   EarthSum'!$G81+'13   EarthSum'!$H81)</f>
        <v>27756.858468857143</v>
      </c>
      <c r="T21" s="294">
        <f>Time!T23*('13   EarthSum'!$G81+'13   EarthSum'!$H81)</f>
        <v>27756.858468857143</v>
      </c>
      <c r="U21" s="294">
        <f>Time!U23*('13   EarthSum'!$G81+'13   EarthSum'!$H81)</f>
        <v>27756.858468857143</v>
      </c>
      <c r="V21" s="294">
        <f>Time!V23*('13   EarthSum'!$G81+'13   EarthSum'!$H81)</f>
        <v>27756.858468857143</v>
      </c>
      <c r="W21" s="294">
        <f>Time!W23*('13   EarthSum'!$G81+'13   EarthSum'!$H81)</f>
        <v>27756.858468857143</v>
      </c>
      <c r="X21" s="294">
        <f>Time!X23*('13   EarthSum'!$G81+'13   EarthSum'!$H81)</f>
        <v>27756.858468857143</v>
      </c>
      <c r="Y21" s="294">
        <f>Time!Y23*('13   EarthSum'!$G81+'13   EarthSum'!$H81)</f>
        <v>27756.858468857143</v>
      </c>
      <c r="Z21" s="294">
        <f>Time!Z23*('13   EarthSum'!$G81+'13   EarthSum'!$H81)</f>
        <v>27756.858468857143</v>
      </c>
      <c r="AA21" s="294">
        <f>Time!AA23*('13   EarthSum'!$G81+'13   EarthSum'!$H81)</f>
        <v>27756.858468857143</v>
      </c>
      <c r="AB21" s="294">
        <f>Time!AB23*('13   EarthSum'!$G81+'13   EarthSum'!$H81)</f>
        <v>27756.858468857143</v>
      </c>
    </row>
    <row r="22" spans="1:28" x14ac:dyDescent="0.2">
      <c r="A22" s="286" t="str">
        <f>Productivity!A24</f>
        <v>Haul cover soil</v>
      </c>
      <c r="B22" s="286" t="str">
        <f>Productivity!B24</f>
        <v>NOBS</v>
      </c>
      <c r="C22" s="286" t="str">
        <f>Productivity!C24</f>
        <v>Tailing Pipeline Corridor</v>
      </c>
      <c r="D22" s="286" t="str">
        <f>'13   EarthSum'!C82</f>
        <v>992K</v>
      </c>
      <c r="E22" s="294">
        <f>Time!E24*('13   EarthSum'!$G82+'13   EarthSum'!$H82)</f>
        <v>5076.8790597156385</v>
      </c>
      <c r="F22" s="294">
        <f>Time!F24*('13   EarthSum'!$G82+'13   EarthSum'!$H82)</f>
        <v>3384.5860398104255</v>
      </c>
      <c r="G22" s="294">
        <f>Time!G24*('13   EarthSum'!$G82+'13   EarthSum'!$H82)</f>
        <v>2714.6524793142862</v>
      </c>
      <c r="H22" s="294">
        <f>Time!H24*('13   EarthSum'!$G82+'13   EarthSum'!$H82)</f>
        <v>2714.6524793142862</v>
      </c>
      <c r="I22" s="294">
        <f>Time!I24*('13   EarthSum'!$G82+'13   EarthSum'!$H82)</f>
        <v>2714.6524793142862</v>
      </c>
      <c r="J22" s="294">
        <f>Time!J24*('13   EarthSum'!$G82+'13   EarthSum'!$H82)</f>
        <v>2714.6524793142862</v>
      </c>
      <c r="K22" s="294">
        <f>Time!K24*('13   EarthSum'!$G82+'13   EarthSum'!$H82)</f>
        <v>2714.6524793142862</v>
      </c>
      <c r="L22" s="294">
        <f>Time!L24*('13   EarthSum'!$G82+'13   EarthSum'!$H82)</f>
        <v>2714.6524793142862</v>
      </c>
      <c r="M22" s="294">
        <f>Time!M24*('13   EarthSum'!$G82+'13   EarthSum'!$H82)</f>
        <v>2714.6524793142862</v>
      </c>
      <c r="N22" s="294">
        <f>Time!N24*('13   EarthSum'!$G82+'13   EarthSum'!$H82)</f>
        <v>2714.6524793142862</v>
      </c>
      <c r="O22" s="294">
        <f>Time!O24*('13   EarthSum'!$G82+'13   EarthSum'!$H82)</f>
        <v>2714.6524793142862</v>
      </c>
      <c r="P22" s="294">
        <f>Time!P24*('13   EarthSum'!$G82+'13   EarthSum'!$H82)</f>
        <v>2714.6524793142862</v>
      </c>
      <c r="Q22" s="294">
        <f>Time!Q24*('13   EarthSum'!$G82+'13   EarthSum'!$H82)</f>
        <v>2714.6524793142862</v>
      </c>
      <c r="R22" s="294">
        <f>Time!R24*('13   EarthSum'!$G82+'13   EarthSum'!$H82)</f>
        <v>2714.6524793142862</v>
      </c>
      <c r="S22" s="294">
        <f>Time!S24*('13   EarthSum'!$G82+'13   EarthSum'!$H82)</f>
        <v>2714.6524793142862</v>
      </c>
      <c r="T22" s="294">
        <f>Time!T24*('13   EarthSum'!$G82+'13   EarthSum'!$H82)</f>
        <v>2714.6524793142862</v>
      </c>
      <c r="U22" s="294">
        <f>Time!U24*('13   EarthSum'!$G82+'13   EarthSum'!$H82)</f>
        <v>2714.6524793142862</v>
      </c>
      <c r="V22" s="294">
        <f>Time!V24*('13   EarthSum'!$G82+'13   EarthSum'!$H82)</f>
        <v>2714.6524793142862</v>
      </c>
      <c r="W22" s="294">
        <f>Time!W24*('13   EarthSum'!$G82+'13   EarthSum'!$H82)</f>
        <v>2714.6524793142862</v>
      </c>
      <c r="X22" s="294">
        <f>Time!X24*('13   EarthSum'!$G82+'13   EarthSum'!$H82)</f>
        <v>2714.6524793142862</v>
      </c>
      <c r="Y22" s="294">
        <f>Time!Y24*('13   EarthSum'!$G82+'13   EarthSum'!$H82)</f>
        <v>2714.6524793142862</v>
      </c>
      <c r="Z22" s="294">
        <f>Time!Z24*('13   EarthSum'!$G82+'13   EarthSum'!$H82)</f>
        <v>2714.6524793142862</v>
      </c>
      <c r="AA22" s="294">
        <f>Time!AA24*('13   EarthSum'!$G82+'13   EarthSum'!$H82)</f>
        <v>2714.6524793142862</v>
      </c>
      <c r="AB22" s="294">
        <f>Time!AB24*('13   EarthSum'!$G82+'13   EarthSum'!$H82)</f>
        <v>2714.6524793142862</v>
      </c>
    </row>
    <row r="23" spans="1:28" x14ac:dyDescent="0.2">
      <c r="A23" s="286" t="str">
        <f>Productivity!A25</f>
        <v>Haul cover soil</v>
      </c>
      <c r="B23" s="286" t="str">
        <f>Productivity!B25</f>
        <v>NOBS</v>
      </c>
      <c r="C23" s="286" t="str">
        <f>Productivity!C25</f>
        <v>Grape Gulch Pond #3</v>
      </c>
      <c r="D23" s="286" t="str">
        <f>'13   EarthSum'!C83</f>
        <v>992K</v>
      </c>
      <c r="E23" s="294">
        <f>Time!E25*('13   EarthSum'!$G83+'13   EarthSum'!$H83)</f>
        <v>955.10790578520505</v>
      </c>
      <c r="F23" s="294">
        <f>Time!F25*('13   EarthSum'!$G83+'13   EarthSum'!$H83)</f>
        <v>713.39415085714279</v>
      </c>
      <c r="G23" s="294">
        <f>Time!G25*('13   EarthSum'!$G83+'13   EarthSum'!$H83)</f>
        <v>713.39415085714279</v>
      </c>
      <c r="H23" s="294">
        <f>Time!H25*('13   EarthSum'!$G83+'13   EarthSum'!$H83)</f>
        <v>713.39415085714279</v>
      </c>
      <c r="I23" s="294">
        <f>Time!I25*('13   EarthSum'!$G83+'13   EarthSum'!$H83)</f>
        <v>713.39415085714279</v>
      </c>
      <c r="J23" s="294">
        <f>Time!J25*('13   EarthSum'!$G83+'13   EarthSum'!$H83)</f>
        <v>713.39415085714279</v>
      </c>
      <c r="K23" s="294">
        <f>Time!K25*('13   EarthSum'!$G83+'13   EarthSum'!$H83)</f>
        <v>713.39415085714279</v>
      </c>
      <c r="L23" s="294">
        <f>Time!L25*('13   EarthSum'!$G83+'13   EarthSum'!$H83)</f>
        <v>713.39415085714279</v>
      </c>
      <c r="M23" s="294">
        <f>Time!M25*('13   EarthSum'!$G83+'13   EarthSum'!$H83)</f>
        <v>713.39415085714279</v>
      </c>
      <c r="N23" s="294">
        <f>Time!N25*('13   EarthSum'!$G83+'13   EarthSum'!$H83)</f>
        <v>713.39415085714279</v>
      </c>
      <c r="O23" s="294">
        <f>Time!O25*('13   EarthSum'!$G83+'13   EarthSum'!$H83)</f>
        <v>713.39415085714279</v>
      </c>
      <c r="P23" s="294">
        <f>Time!P25*('13   EarthSum'!$G83+'13   EarthSum'!$H83)</f>
        <v>713.39415085714279</v>
      </c>
      <c r="Q23" s="294">
        <f>Time!Q25*('13   EarthSum'!$G83+'13   EarthSum'!$H83)</f>
        <v>713.39415085714279</v>
      </c>
      <c r="R23" s="294">
        <f>Time!R25*('13   EarthSum'!$G83+'13   EarthSum'!$H83)</f>
        <v>713.39415085714279</v>
      </c>
      <c r="S23" s="294">
        <f>Time!S25*('13   EarthSum'!$G83+'13   EarthSum'!$H83)</f>
        <v>713.39415085714279</v>
      </c>
      <c r="T23" s="294">
        <f>Time!T25*('13   EarthSum'!$G83+'13   EarthSum'!$H83)</f>
        <v>713.39415085714279</v>
      </c>
      <c r="U23" s="294">
        <f>Time!U25*('13   EarthSum'!$G83+'13   EarthSum'!$H83)</f>
        <v>713.39415085714279</v>
      </c>
      <c r="V23" s="294">
        <f>Time!V25*('13   EarthSum'!$G83+'13   EarthSum'!$H83)</f>
        <v>713.39415085714279</v>
      </c>
      <c r="W23" s="294">
        <f>Time!W25*('13   EarthSum'!$G83+'13   EarthSum'!$H83)</f>
        <v>713.39415085714279</v>
      </c>
      <c r="X23" s="294">
        <f>Time!X25*('13   EarthSum'!$G83+'13   EarthSum'!$H83)</f>
        <v>713.39415085714279</v>
      </c>
      <c r="Y23" s="294">
        <f>Time!Y25*('13   EarthSum'!$G83+'13   EarthSum'!$H83)</f>
        <v>713.39415085714279</v>
      </c>
      <c r="Z23" s="294">
        <f>Time!Z25*('13   EarthSum'!$G83+'13   EarthSum'!$H83)</f>
        <v>713.39415085714279</v>
      </c>
      <c r="AA23" s="294">
        <f>Time!AA25*('13   EarthSum'!$G83+'13   EarthSum'!$H83)</f>
        <v>713.39415085714279</v>
      </c>
      <c r="AB23" s="294">
        <f>Time!AB25*('13   EarthSum'!$G83+'13   EarthSum'!$H83)</f>
        <v>713.39415085714279</v>
      </c>
    </row>
    <row r="24" spans="1:28" x14ac:dyDescent="0.2">
      <c r="A24" s="286" t="str">
        <f>Productivity!A26</f>
        <v>Haul cover soil</v>
      </c>
      <c r="B24" s="286" t="str">
        <f>Productivity!B26</f>
        <v>NOBS</v>
      </c>
      <c r="C24" s="286" t="str">
        <f>Productivity!C26</f>
        <v>Magnetite Seepage Pond</v>
      </c>
      <c r="D24" s="286" t="str">
        <f>'13   EarthSum'!C84</f>
        <v>992K</v>
      </c>
      <c r="E24" s="294">
        <f>Time!E26*('13   EarthSum'!$G84+'13   EarthSum'!$H84)</f>
        <v>601.6677058008803</v>
      </c>
      <c r="F24" s="294">
        <f>Time!F26*('13   EarthSum'!$G84+'13   EarthSum'!$H84)</f>
        <v>401.11180386725357</v>
      </c>
      <c r="G24" s="294">
        <f>Time!G26*('13   EarthSum'!$G84+'13   EarthSum'!$H84)</f>
        <v>375.47060571428574</v>
      </c>
      <c r="H24" s="294">
        <f>Time!H26*('13   EarthSum'!$G84+'13   EarthSum'!$H84)</f>
        <v>375.47060571428574</v>
      </c>
      <c r="I24" s="294">
        <f>Time!I26*('13   EarthSum'!$G84+'13   EarthSum'!$H84)</f>
        <v>375.47060571428574</v>
      </c>
      <c r="J24" s="294">
        <f>Time!J26*('13   EarthSum'!$G84+'13   EarthSum'!$H84)</f>
        <v>375.47060571428574</v>
      </c>
      <c r="K24" s="294">
        <f>Time!K26*('13   EarthSum'!$G84+'13   EarthSum'!$H84)</f>
        <v>375.47060571428574</v>
      </c>
      <c r="L24" s="294">
        <f>Time!L26*('13   EarthSum'!$G84+'13   EarthSum'!$H84)</f>
        <v>375.47060571428574</v>
      </c>
      <c r="M24" s="294">
        <f>Time!M26*('13   EarthSum'!$G84+'13   EarthSum'!$H84)</f>
        <v>375.47060571428574</v>
      </c>
      <c r="N24" s="294">
        <f>Time!N26*('13   EarthSum'!$G84+'13   EarthSum'!$H84)</f>
        <v>375.47060571428574</v>
      </c>
      <c r="O24" s="294">
        <f>Time!O26*('13   EarthSum'!$G84+'13   EarthSum'!$H84)</f>
        <v>375.47060571428574</v>
      </c>
      <c r="P24" s="294">
        <f>Time!P26*('13   EarthSum'!$G84+'13   EarthSum'!$H84)</f>
        <v>375.47060571428574</v>
      </c>
      <c r="Q24" s="294">
        <f>Time!Q26*('13   EarthSum'!$G84+'13   EarthSum'!$H84)</f>
        <v>375.47060571428574</v>
      </c>
      <c r="R24" s="294">
        <f>Time!R26*('13   EarthSum'!$G84+'13   EarthSum'!$H84)</f>
        <v>375.47060571428574</v>
      </c>
      <c r="S24" s="294">
        <f>Time!S26*('13   EarthSum'!$G84+'13   EarthSum'!$H84)</f>
        <v>375.47060571428574</v>
      </c>
      <c r="T24" s="294">
        <f>Time!T26*('13   EarthSum'!$G84+'13   EarthSum'!$H84)</f>
        <v>375.47060571428574</v>
      </c>
      <c r="U24" s="294">
        <f>Time!U26*('13   EarthSum'!$G84+'13   EarthSum'!$H84)</f>
        <v>375.47060571428574</v>
      </c>
      <c r="V24" s="294">
        <f>Time!V26*('13   EarthSum'!$G84+'13   EarthSum'!$H84)</f>
        <v>375.47060571428574</v>
      </c>
      <c r="W24" s="294">
        <f>Time!W26*('13   EarthSum'!$G84+'13   EarthSum'!$H84)</f>
        <v>375.47060571428574</v>
      </c>
      <c r="X24" s="294">
        <f>Time!X26*('13   EarthSum'!$G84+'13   EarthSum'!$H84)</f>
        <v>375.47060571428574</v>
      </c>
      <c r="Y24" s="294">
        <f>Time!Y26*('13   EarthSum'!$G84+'13   EarthSum'!$H84)</f>
        <v>375.47060571428574</v>
      </c>
      <c r="Z24" s="294">
        <f>Time!Z26*('13   EarthSum'!$G84+'13   EarthSum'!$H84)</f>
        <v>375.47060571428574</v>
      </c>
      <c r="AA24" s="294">
        <f>Time!AA26*('13   EarthSum'!$G84+'13   EarthSum'!$H84)</f>
        <v>375.47060571428574</v>
      </c>
      <c r="AB24" s="294">
        <f>Time!AB26*('13   EarthSum'!$G84+'13   EarthSum'!$H84)</f>
        <v>375.47060571428574</v>
      </c>
    </row>
    <row r="25" spans="1:28" x14ac:dyDescent="0.2">
      <c r="A25" s="286" t="str">
        <f>Productivity!A27</f>
        <v>Haul cover soil</v>
      </c>
      <c r="B25" s="286" t="str">
        <f>Productivity!B27</f>
        <v>OB Stockpile 1 through 3, Topsoil Stockpile, South OB Stockpile</v>
      </c>
      <c r="C25" s="286" t="str">
        <f>Productivity!C27</f>
        <v>SWRF Dam 1</v>
      </c>
      <c r="D25" s="286" t="str">
        <f>'13   EarthSum'!C85</f>
        <v>992K</v>
      </c>
      <c r="E25" s="294">
        <f>Time!E27*('13   EarthSum'!$G85+'13   EarthSum'!$H85)</f>
        <v>1121.2438138099274</v>
      </c>
      <c r="F25" s="294">
        <f>Time!F27*('13   EarthSum'!$G85+'13   EarthSum'!$H85)</f>
        <v>976.22357485714281</v>
      </c>
      <c r="G25" s="294">
        <f>Time!G27*('13   EarthSum'!$G85+'13   EarthSum'!$H85)</f>
        <v>976.22357485714281</v>
      </c>
      <c r="H25" s="294">
        <f>Time!H27*('13   EarthSum'!$G85+'13   EarthSum'!$H85)</f>
        <v>976.22357485714281</v>
      </c>
      <c r="I25" s="294">
        <f>Time!I27*('13   EarthSum'!$G85+'13   EarthSum'!$H85)</f>
        <v>976.22357485714281</v>
      </c>
      <c r="J25" s="294">
        <f>Time!J27*('13   EarthSum'!$G85+'13   EarthSum'!$H85)</f>
        <v>976.22357485714281</v>
      </c>
      <c r="K25" s="294">
        <f>Time!K27*('13   EarthSum'!$G85+'13   EarthSum'!$H85)</f>
        <v>976.22357485714281</v>
      </c>
      <c r="L25" s="294">
        <f>Time!L27*('13   EarthSum'!$G85+'13   EarthSum'!$H85)</f>
        <v>976.22357485714281</v>
      </c>
      <c r="M25" s="294">
        <f>Time!M27*('13   EarthSum'!$G85+'13   EarthSum'!$H85)</f>
        <v>976.22357485714281</v>
      </c>
      <c r="N25" s="294">
        <f>Time!N27*('13   EarthSum'!$G85+'13   EarthSum'!$H85)</f>
        <v>976.22357485714281</v>
      </c>
      <c r="O25" s="294">
        <f>Time!O27*('13   EarthSum'!$G85+'13   EarthSum'!$H85)</f>
        <v>976.22357485714281</v>
      </c>
      <c r="P25" s="294">
        <f>Time!P27*('13   EarthSum'!$G85+'13   EarthSum'!$H85)</f>
        <v>976.22357485714281</v>
      </c>
      <c r="Q25" s="294">
        <f>Time!Q27*('13   EarthSum'!$G85+'13   EarthSum'!$H85)</f>
        <v>976.22357485714281</v>
      </c>
      <c r="R25" s="294">
        <f>Time!R27*('13   EarthSum'!$G85+'13   EarthSum'!$H85)</f>
        <v>976.22357485714281</v>
      </c>
      <c r="S25" s="294">
        <f>Time!S27*('13   EarthSum'!$G85+'13   EarthSum'!$H85)</f>
        <v>976.22357485714281</v>
      </c>
      <c r="T25" s="294">
        <f>Time!T27*('13   EarthSum'!$G85+'13   EarthSum'!$H85)</f>
        <v>976.22357485714281</v>
      </c>
      <c r="U25" s="294">
        <f>Time!U27*('13   EarthSum'!$G85+'13   EarthSum'!$H85)</f>
        <v>976.22357485714281</v>
      </c>
      <c r="V25" s="294">
        <f>Time!V27*('13   EarthSum'!$G85+'13   EarthSum'!$H85)</f>
        <v>976.22357485714281</v>
      </c>
      <c r="W25" s="294">
        <f>Time!W27*('13   EarthSum'!$G85+'13   EarthSum'!$H85)</f>
        <v>976.22357485714281</v>
      </c>
      <c r="X25" s="294">
        <f>Time!X27*('13   EarthSum'!$G85+'13   EarthSum'!$H85)</f>
        <v>976.22357485714281</v>
      </c>
      <c r="Y25" s="294">
        <f>Time!Y27*('13   EarthSum'!$G85+'13   EarthSum'!$H85)</f>
        <v>976.22357485714281</v>
      </c>
      <c r="Z25" s="294">
        <f>Time!Z27*('13   EarthSum'!$G85+'13   EarthSum'!$H85)</f>
        <v>976.22357485714281</v>
      </c>
      <c r="AA25" s="294">
        <f>Time!AA27*('13   EarthSum'!$G85+'13   EarthSum'!$H85)</f>
        <v>976.22357485714281</v>
      </c>
      <c r="AB25" s="294">
        <f>Time!AB27*('13   EarthSum'!$G85+'13   EarthSum'!$H85)</f>
        <v>976.22357485714281</v>
      </c>
    </row>
    <row r="26" spans="1:28" x14ac:dyDescent="0.2">
      <c r="A26" s="286" t="str">
        <f>Productivity!A28</f>
        <v>Haul cover soil</v>
      </c>
      <c r="B26" s="286" t="str">
        <f>Productivity!B28</f>
        <v>OB Stockpile 1 through 3, Topsoil Stockpile, South OB Stockpile</v>
      </c>
      <c r="C26" s="286" t="str">
        <f>Productivity!C28</f>
        <v>SWRF Dam 2</v>
      </c>
      <c r="D26" s="286" t="str">
        <f>'13   EarthSum'!C86</f>
        <v>992K</v>
      </c>
      <c r="E26" s="294">
        <f>Time!E28*('13   EarthSum'!$G86+'13   EarthSum'!$H86)</f>
        <v>733.12095518341425</v>
      </c>
      <c r="F26" s="294">
        <f>Time!F28*('13   EarthSum'!$G86+'13   EarthSum'!$H86)</f>
        <v>638.30002971428587</v>
      </c>
      <c r="G26" s="294">
        <f>Time!G28*('13   EarthSum'!$G86+'13   EarthSum'!$H86)</f>
        <v>638.30002971428587</v>
      </c>
      <c r="H26" s="294">
        <f>Time!H28*('13   EarthSum'!$G86+'13   EarthSum'!$H86)</f>
        <v>638.30002971428587</v>
      </c>
      <c r="I26" s="294">
        <f>Time!I28*('13   EarthSum'!$G86+'13   EarthSum'!$H86)</f>
        <v>638.30002971428587</v>
      </c>
      <c r="J26" s="294">
        <f>Time!J28*('13   EarthSum'!$G86+'13   EarthSum'!$H86)</f>
        <v>638.30002971428587</v>
      </c>
      <c r="K26" s="294">
        <f>Time!K28*('13   EarthSum'!$G86+'13   EarthSum'!$H86)</f>
        <v>638.30002971428587</v>
      </c>
      <c r="L26" s="294">
        <f>Time!L28*('13   EarthSum'!$G86+'13   EarthSum'!$H86)</f>
        <v>638.30002971428587</v>
      </c>
      <c r="M26" s="294">
        <f>Time!M28*('13   EarthSum'!$G86+'13   EarthSum'!$H86)</f>
        <v>638.30002971428587</v>
      </c>
      <c r="N26" s="294">
        <f>Time!N28*('13   EarthSum'!$G86+'13   EarthSum'!$H86)</f>
        <v>638.30002971428587</v>
      </c>
      <c r="O26" s="294">
        <f>Time!O28*('13   EarthSum'!$G86+'13   EarthSum'!$H86)</f>
        <v>638.30002971428587</v>
      </c>
      <c r="P26" s="294">
        <f>Time!P28*('13   EarthSum'!$G86+'13   EarthSum'!$H86)</f>
        <v>638.30002971428587</v>
      </c>
      <c r="Q26" s="294">
        <f>Time!Q28*('13   EarthSum'!$G86+'13   EarthSum'!$H86)</f>
        <v>638.30002971428587</v>
      </c>
      <c r="R26" s="294">
        <f>Time!R28*('13   EarthSum'!$G86+'13   EarthSum'!$H86)</f>
        <v>638.30002971428587</v>
      </c>
      <c r="S26" s="294">
        <f>Time!S28*('13   EarthSum'!$G86+'13   EarthSum'!$H86)</f>
        <v>638.30002971428587</v>
      </c>
      <c r="T26" s="294">
        <f>Time!T28*('13   EarthSum'!$G86+'13   EarthSum'!$H86)</f>
        <v>638.30002971428587</v>
      </c>
      <c r="U26" s="294">
        <f>Time!U28*('13   EarthSum'!$G86+'13   EarthSum'!$H86)</f>
        <v>638.30002971428587</v>
      </c>
      <c r="V26" s="294">
        <f>Time!V28*('13   EarthSum'!$G86+'13   EarthSum'!$H86)</f>
        <v>638.30002971428587</v>
      </c>
      <c r="W26" s="294">
        <f>Time!W28*('13   EarthSum'!$G86+'13   EarthSum'!$H86)</f>
        <v>638.30002971428587</v>
      </c>
      <c r="X26" s="294">
        <f>Time!X28*('13   EarthSum'!$G86+'13   EarthSum'!$H86)</f>
        <v>638.30002971428587</v>
      </c>
      <c r="Y26" s="294">
        <f>Time!Y28*('13   EarthSum'!$G86+'13   EarthSum'!$H86)</f>
        <v>638.30002971428587</v>
      </c>
      <c r="Z26" s="294">
        <f>Time!Z28*('13   EarthSum'!$G86+'13   EarthSum'!$H86)</f>
        <v>638.30002971428587</v>
      </c>
      <c r="AA26" s="294">
        <f>Time!AA28*('13   EarthSum'!$G86+'13   EarthSum'!$H86)</f>
        <v>638.30002971428587</v>
      </c>
      <c r="AB26" s="294">
        <f>Time!AB28*('13   EarthSum'!$G86+'13   EarthSum'!$H86)</f>
        <v>638.30002971428587</v>
      </c>
    </row>
    <row r="27" spans="1:28" x14ac:dyDescent="0.2">
      <c r="A27" s="286" t="str">
        <f>Productivity!A29</f>
        <v>Haul cover soil</v>
      </c>
      <c r="B27" s="286" t="str">
        <f>Productivity!B29</f>
        <v>OB Stockpile 1 through 3, Topsoil Stockpile, South OB Stockpile</v>
      </c>
      <c r="C27" s="286" t="str">
        <f>Productivity!C29</f>
        <v>SWRF Dam 3</v>
      </c>
      <c r="D27" s="286" t="str">
        <f>'13   EarthSum'!C87</f>
        <v>992K</v>
      </c>
      <c r="E27" s="294">
        <f>Time!E29*('13   EarthSum'!$G87+'13   EarthSum'!$H87)</f>
        <v>1811.240006923729</v>
      </c>
      <c r="F27" s="294">
        <f>Time!F29*('13   EarthSum'!$G87+'13   EarthSum'!$H87)</f>
        <v>1576.9765440000001</v>
      </c>
      <c r="G27" s="294">
        <f>Time!G29*('13   EarthSum'!$G87+'13   EarthSum'!$H87)</f>
        <v>1576.9765440000001</v>
      </c>
      <c r="H27" s="294">
        <f>Time!H29*('13   EarthSum'!$G87+'13   EarthSum'!$H87)</f>
        <v>1576.9765440000001</v>
      </c>
      <c r="I27" s="294">
        <f>Time!I29*('13   EarthSum'!$G87+'13   EarthSum'!$H87)</f>
        <v>1576.9765440000001</v>
      </c>
      <c r="J27" s="294">
        <f>Time!J29*('13   EarthSum'!$G87+'13   EarthSum'!$H87)</f>
        <v>1576.9765440000001</v>
      </c>
      <c r="K27" s="294">
        <f>Time!K29*('13   EarthSum'!$G87+'13   EarthSum'!$H87)</f>
        <v>1576.9765440000001</v>
      </c>
      <c r="L27" s="294">
        <f>Time!L29*('13   EarthSum'!$G87+'13   EarthSum'!$H87)</f>
        <v>1576.9765440000001</v>
      </c>
      <c r="M27" s="294">
        <f>Time!M29*('13   EarthSum'!$G87+'13   EarthSum'!$H87)</f>
        <v>1576.9765440000001</v>
      </c>
      <c r="N27" s="294">
        <f>Time!N29*('13   EarthSum'!$G87+'13   EarthSum'!$H87)</f>
        <v>1576.9765440000001</v>
      </c>
      <c r="O27" s="294">
        <f>Time!O29*('13   EarthSum'!$G87+'13   EarthSum'!$H87)</f>
        <v>1576.9765440000001</v>
      </c>
      <c r="P27" s="294">
        <f>Time!P29*('13   EarthSum'!$G87+'13   EarthSum'!$H87)</f>
        <v>1576.9765440000001</v>
      </c>
      <c r="Q27" s="294">
        <f>Time!Q29*('13   EarthSum'!$G87+'13   EarthSum'!$H87)</f>
        <v>1576.9765440000001</v>
      </c>
      <c r="R27" s="294">
        <f>Time!R29*('13   EarthSum'!$G87+'13   EarthSum'!$H87)</f>
        <v>1576.9765440000001</v>
      </c>
      <c r="S27" s="294">
        <f>Time!S29*('13   EarthSum'!$G87+'13   EarthSum'!$H87)</f>
        <v>1576.9765440000001</v>
      </c>
      <c r="T27" s="294">
        <f>Time!T29*('13   EarthSum'!$G87+'13   EarthSum'!$H87)</f>
        <v>1576.9765440000001</v>
      </c>
      <c r="U27" s="294">
        <f>Time!U29*('13   EarthSum'!$G87+'13   EarthSum'!$H87)</f>
        <v>1576.9765440000001</v>
      </c>
      <c r="V27" s="294">
        <f>Time!V29*('13   EarthSum'!$G87+'13   EarthSum'!$H87)</f>
        <v>1576.9765440000001</v>
      </c>
      <c r="W27" s="294">
        <f>Time!W29*('13   EarthSum'!$G87+'13   EarthSum'!$H87)</f>
        <v>1576.9765440000001</v>
      </c>
      <c r="X27" s="294">
        <f>Time!X29*('13   EarthSum'!$G87+'13   EarthSum'!$H87)</f>
        <v>1576.9765440000001</v>
      </c>
      <c r="Y27" s="294">
        <f>Time!Y29*('13   EarthSum'!$G87+'13   EarthSum'!$H87)</f>
        <v>1576.9765440000001</v>
      </c>
      <c r="Z27" s="294">
        <f>Time!Z29*('13   EarthSum'!$G87+'13   EarthSum'!$H87)</f>
        <v>1576.9765440000001</v>
      </c>
      <c r="AA27" s="294">
        <f>Time!AA29*('13   EarthSum'!$G87+'13   EarthSum'!$H87)</f>
        <v>1576.9765440000001</v>
      </c>
      <c r="AB27" s="294">
        <f>Time!AB29*('13   EarthSum'!$G87+'13   EarthSum'!$H87)</f>
        <v>1576.9765440000001</v>
      </c>
    </row>
    <row r="28" spans="1:28" x14ac:dyDescent="0.2">
      <c r="A28" s="286" t="str">
        <f>Productivity!A30</f>
        <v>Haul cover soil</v>
      </c>
      <c r="B28" s="286" t="str">
        <f>Productivity!B30</f>
        <v>OB-4 Stockpile</v>
      </c>
      <c r="C28" s="286" t="str">
        <f>Productivity!C30</f>
        <v>North Tailings Decant Pond</v>
      </c>
      <c r="D28" s="286" t="str">
        <f>'13   EarthSum'!C88</f>
        <v>992K</v>
      </c>
      <c r="E28" s="294">
        <f>Time!E30*('13   EarthSum'!$G88+'13   EarthSum'!$H88)</f>
        <v>863.5823931428572</v>
      </c>
      <c r="F28" s="294">
        <f>Time!F30*('13   EarthSum'!$G88+'13   EarthSum'!$H88)</f>
        <v>863.5823931428572</v>
      </c>
      <c r="G28" s="294">
        <f>Time!G30*('13   EarthSum'!$G88+'13   EarthSum'!$H88)</f>
        <v>863.5823931428572</v>
      </c>
      <c r="H28" s="294">
        <f>Time!H30*('13   EarthSum'!$G88+'13   EarthSum'!$H88)</f>
        <v>863.5823931428572</v>
      </c>
      <c r="I28" s="294">
        <f>Time!I30*('13   EarthSum'!$G88+'13   EarthSum'!$H88)</f>
        <v>863.5823931428572</v>
      </c>
      <c r="J28" s="294">
        <f>Time!J30*('13   EarthSum'!$G88+'13   EarthSum'!$H88)</f>
        <v>863.5823931428572</v>
      </c>
      <c r="K28" s="294">
        <f>Time!K30*('13   EarthSum'!$G88+'13   EarthSum'!$H88)</f>
        <v>863.5823931428572</v>
      </c>
      <c r="L28" s="294">
        <f>Time!L30*('13   EarthSum'!$G88+'13   EarthSum'!$H88)</f>
        <v>863.5823931428572</v>
      </c>
      <c r="M28" s="294">
        <f>Time!M30*('13   EarthSum'!$G88+'13   EarthSum'!$H88)</f>
        <v>863.5823931428572</v>
      </c>
      <c r="N28" s="294">
        <f>Time!N30*('13   EarthSum'!$G88+'13   EarthSum'!$H88)</f>
        <v>863.5823931428572</v>
      </c>
      <c r="O28" s="294">
        <f>Time!O30*('13   EarthSum'!$G88+'13   EarthSum'!$H88)</f>
        <v>863.5823931428572</v>
      </c>
      <c r="P28" s="294">
        <f>Time!P30*('13   EarthSum'!$G88+'13   EarthSum'!$H88)</f>
        <v>863.5823931428572</v>
      </c>
      <c r="Q28" s="294">
        <f>Time!Q30*('13   EarthSum'!$G88+'13   EarthSum'!$H88)</f>
        <v>863.5823931428572</v>
      </c>
      <c r="R28" s="294">
        <f>Time!R30*('13   EarthSum'!$G88+'13   EarthSum'!$H88)</f>
        <v>863.5823931428572</v>
      </c>
      <c r="S28" s="294">
        <f>Time!S30*('13   EarthSum'!$G88+'13   EarthSum'!$H88)</f>
        <v>863.5823931428572</v>
      </c>
      <c r="T28" s="294">
        <f>Time!T30*('13   EarthSum'!$G88+'13   EarthSum'!$H88)</f>
        <v>863.5823931428572</v>
      </c>
      <c r="U28" s="294">
        <f>Time!U30*('13   EarthSum'!$G88+'13   EarthSum'!$H88)</f>
        <v>863.5823931428572</v>
      </c>
      <c r="V28" s="294">
        <f>Time!V30*('13   EarthSum'!$G88+'13   EarthSum'!$H88)</f>
        <v>863.5823931428572</v>
      </c>
      <c r="W28" s="294">
        <f>Time!W30*('13   EarthSum'!$G88+'13   EarthSum'!$H88)</f>
        <v>863.5823931428572</v>
      </c>
      <c r="X28" s="294">
        <f>Time!X30*('13   EarthSum'!$G88+'13   EarthSum'!$H88)</f>
        <v>863.5823931428572</v>
      </c>
      <c r="Y28" s="294">
        <f>Time!Y30*('13   EarthSum'!$G88+'13   EarthSum'!$H88)</f>
        <v>863.5823931428572</v>
      </c>
      <c r="Z28" s="294">
        <f>Time!Z30*('13   EarthSum'!$G88+'13   EarthSum'!$H88)</f>
        <v>863.5823931428572</v>
      </c>
      <c r="AA28" s="294">
        <f>Time!AA30*('13   EarthSum'!$G88+'13   EarthSum'!$H88)</f>
        <v>863.5823931428572</v>
      </c>
      <c r="AB28" s="294">
        <f>Time!AB30*('13   EarthSum'!$G88+'13   EarthSum'!$H88)</f>
        <v>863.5823931428572</v>
      </c>
    </row>
    <row r="29" spans="1:28" x14ac:dyDescent="0.2">
      <c r="A29" s="286" t="str">
        <f>Productivity!A31</f>
        <v>Haul cover soil</v>
      </c>
      <c r="B29" s="286" t="str">
        <f>Productivity!B31</f>
        <v>OB-4 Stockpile</v>
      </c>
      <c r="C29" s="286" t="str">
        <f>Productivity!C31</f>
        <v>East WRF Containment</v>
      </c>
      <c r="D29" s="286" t="str">
        <f>'13   EarthSum'!C89</f>
        <v>992K</v>
      </c>
      <c r="E29" s="294">
        <f>Time!E31*('13   EarthSum'!$G89+'13   EarthSum'!$H89)</f>
        <v>938.67651428571446</v>
      </c>
      <c r="F29" s="294">
        <f>Time!F31*('13   EarthSum'!$G89+'13   EarthSum'!$H89)</f>
        <v>938.67651428571446</v>
      </c>
      <c r="G29" s="294">
        <f>Time!G31*('13   EarthSum'!$G89+'13   EarthSum'!$H89)</f>
        <v>938.67651428571446</v>
      </c>
      <c r="H29" s="294">
        <f>Time!H31*('13   EarthSum'!$G89+'13   EarthSum'!$H89)</f>
        <v>938.67651428571446</v>
      </c>
      <c r="I29" s="294">
        <f>Time!I31*('13   EarthSum'!$G89+'13   EarthSum'!$H89)</f>
        <v>938.67651428571446</v>
      </c>
      <c r="J29" s="294">
        <f>Time!J31*('13   EarthSum'!$G89+'13   EarthSum'!$H89)</f>
        <v>938.67651428571446</v>
      </c>
      <c r="K29" s="294">
        <f>Time!K31*('13   EarthSum'!$G89+'13   EarthSum'!$H89)</f>
        <v>938.67651428571446</v>
      </c>
      <c r="L29" s="294">
        <f>Time!L31*('13   EarthSum'!$G89+'13   EarthSum'!$H89)</f>
        <v>938.67651428571446</v>
      </c>
      <c r="M29" s="294">
        <f>Time!M31*('13   EarthSum'!$G89+'13   EarthSum'!$H89)</f>
        <v>938.67651428571446</v>
      </c>
      <c r="N29" s="294">
        <f>Time!N31*('13   EarthSum'!$G89+'13   EarthSum'!$H89)</f>
        <v>938.67651428571446</v>
      </c>
      <c r="O29" s="294">
        <f>Time!O31*('13   EarthSum'!$G89+'13   EarthSum'!$H89)</f>
        <v>938.67651428571446</v>
      </c>
      <c r="P29" s="294">
        <f>Time!P31*('13   EarthSum'!$G89+'13   EarthSum'!$H89)</f>
        <v>938.67651428571446</v>
      </c>
      <c r="Q29" s="294">
        <f>Time!Q31*('13   EarthSum'!$G89+'13   EarthSum'!$H89)</f>
        <v>938.67651428571446</v>
      </c>
      <c r="R29" s="294">
        <f>Time!R31*('13   EarthSum'!$G89+'13   EarthSum'!$H89)</f>
        <v>938.67651428571446</v>
      </c>
      <c r="S29" s="294">
        <f>Time!S31*('13   EarthSum'!$G89+'13   EarthSum'!$H89)</f>
        <v>938.67651428571446</v>
      </c>
      <c r="T29" s="294">
        <f>Time!T31*('13   EarthSum'!$G89+'13   EarthSum'!$H89)</f>
        <v>938.67651428571446</v>
      </c>
      <c r="U29" s="294">
        <f>Time!U31*('13   EarthSum'!$G89+'13   EarthSum'!$H89)</f>
        <v>938.67651428571446</v>
      </c>
      <c r="V29" s="294">
        <f>Time!V31*('13   EarthSum'!$G89+'13   EarthSum'!$H89)</f>
        <v>938.67651428571446</v>
      </c>
      <c r="W29" s="294">
        <f>Time!W31*('13   EarthSum'!$G89+'13   EarthSum'!$H89)</f>
        <v>938.67651428571446</v>
      </c>
      <c r="X29" s="294">
        <f>Time!X31*('13   EarthSum'!$G89+'13   EarthSum'!$H89)</f>
        <v>938.67651428571446</v>
      </c>
      <c r="Y29" s="294">
        <f>Time!Y31*('13   EarthSum'!$G89+'13   EarthSum'!$H89)</f>
        <v>938.67651428571446</v>
      </c>
      <c r="Z29" s="294">
        <f>Time!Z31*('13   EarthSum'!$G89+'13   EarthSum'!$H89)</f>
        <v>938.67651428571446</v>
      </c>
      <c r="AA29" s="294">
        <f>Time!AA31*('13   EarthSum'!$G89+'13   EarthSum'!$H89)</f>
        <v>938.67651428571446</v>
      </c>
      <c r="AB29" s="294">
        <f>Time!AB31*('13   EarthSum'!$G89+'13   EarthSum'!$H89)</f>
        <v>938.67651428571446</v>
      </c>
    </row>
    <row r="30" spans="1:28" x14ac:dyDescent="0.2">
      <c r="A30" s="286" t="str">
        <f>Productivity!A32</f>
        <v>Haul cover soil</v>
      </c>
      <c r="B30" s="286" t="str">
        <f>Productivity!B32</f>
        <v>NOBS</v>
      </c>
      <c r="C30" s="286" t="str">
        <f>Productivity!C32</f>
        <v xml:space="preserve">Blackman's Seep (Pond #2) </v>
      </c>
      <c r="D30" s="286" t="str">
        <f>'13   EarthSum'!C90</f>
        <v>992K</v>
      </c>
      <c r="E30" s="294">
        <f>Time!E32*('13   EarthSum'!$G90+'13   EarthSum'!$H90)</f>
        <v>25.13441857329487</v>
      </c>
      <c r="F30" s="294">
        <f>Time!F32*('13   EarthSum'!$G90+'13   EarthSum'!$H90)</f>
        <v>18.773530285714287</v>
      </c>
      <c r="G30" s="294">
        <f>Time!G32*('13   EarthSum'!$G90+'13   EarthSum'!$H90)</f>
        <v>18.773530285714287</v>
      </c>
      <c r="H30" s="294">
        <f>Time!H32*('13   EarthSum'!$G90+'13   EarthSum'!$H90)</f>
        <v>18.773530285714287</v>
      </c>
      <c r="I30" s="294">
        <f>Time!I32*('13   EarthSum'!$G90+'13   EarthSum'!$H90)</f>
        <v>18.773530285714287</v>
      </c>
      <c r="J30" s="294">
        <f>Time!J32*('13   EarthSum'!$G90+'13   EarthSum'!$H90)</f>
        <v>18.773530285714287</v>
      </c>
      <c r="K30" s="294">
        <f>Time!K32*('13   EarthSum'!$G90+'13   EarthSum'!$H90)</f>
        <v>18.773530285714287</v>
      </c>
      <c r="L30" s="294">
        <f>Time!L32*('13   EarthSum'!$G90+'13   EarthSum'!$H90)</f>
        <v>18.773530285714287</v>
      </c>
      <c r="M30" s="294">
        <f>Time!M32*('13   EarthSum'!$G90+'13   EarthSum'!$H90)</f>
        <v>18.773530285714287</v>
      </c>
      <c r="N30" s="294">
        <f>Time!N32*('13   EarthSum'!$G90+'13   EarthSum'!$H90)</f>
        <v>18.773530285714287</v>
      </c>
      <c r="O30" s="294">
        <f>Time!O32*('13   EarthSum'!$G90+'13   EarthSum'!$H90)</f>
        <v>18.773530285714287</v>
      </c>
      <c r="P30" s="294">
        <f>Time!P32*('13   EarthSum'!$G90+'13   EarthSum'!$H90)</f>
        <v>18.773530285714287</v>
      </c>
      <c r="Q30" s="294">
        <f>Time!Q32*('13   EarthSum'!$G90+'13   EarthSum'!$H90)</f>
        <v>18.773530285714287</v>
      </c>
      <c r="R30" s="294">
        <f>Time!R32*('13   EarthSum'!$G90+'13   EarthSum'!$H90)</f>
        <v>18.773530285714287</v>
      </c>
      <c r="S30" s="294">
        <f>Time!S32*('13   EarthSum'!$G90+'13   EarthSum'!$H90)</f>
        <v>18.773530285714287</v>
      </c>
      <c r="T30" s="294">
        <f>Time!T32*('13   EarthSum'!$G90+'13   EarthSum'!$H90)</f>
        <v>18.773530285714287</v>
      </c>
      <c r="U30" s="294">
        <f>Time!U32*('13   EarthSum'!$G90+'13   EarthSum'!$H90)</f>
        <v>18.773530285714287</v>
      </c>
      <c r="V30" s="294">
        <f>Time!V32*('13   EarthSum'!$G90+'13   EarthSum'!$H90)</f>
        <v>18.773530285714287</v>
      </c>
      <c r="W30" s="294">
        <f>Time!W32*('13   EarthSum'!$G90+'13   EarthSum'!$H90)</f>
        <v>18.773530285714287</v>
      </c>
      <c r="X30" s="294">
        <f>Time!X32*('13   EarthSum'!$G90+'13   EarthSum'!$H90)</f>
        <v>18.773530285714287</v>
      </c>
      <c r="Y30" s="294">
        <f>Time!Y32*('13   EarthSum'!$G90+'13   EarthSum'!$H90)</f>
        <v>18.773530285714287</v>
      </c>
      <c r="Z30" s="294">
        <f>Time!Z32*('13   EarthSum'!$G90+'13   EarthSum'!$H90)</f>
        <v>18.773530285714287</v>
      </c>
      <c r="AA30" s="294">
        <f>Time!AA32*('13   EarthSum'!$G90+'13   EarthSum'!$H90)</f>
        <v>18.773530285714287</v>
      </c>
      <c r="AB30" s="294">
        <f>Time!AB32*('13   EarthSum'!$G90+'13   EarthSum'!$H90)</f>
        <v>18.773530285714287</v>
      </c>
    </row>
    <row r="31" spans="1:28" x14ac:dyDescent="0.2">
      <c r="A31" s="286" t="str">
        <f>Productivity!A33</f>
        <v>Haul cover soil</v>
      </c>
      <c r="B31" s="286" t="str">
        <f>Productivity!B33</f>
        <v>OB-4 Stockpile</v>
      </c>
      <c r="C31" s="286" t="str">
        <f>Productivity!C33</f>
        <v>Decant Pond #4</v>
      </c>
      <c r="D31" s="286" t="str">
        <f>'13   EarthSum'!C91</f>
        <v>992K</v>
      </c>
      <c r="E31" s="294">
        <f>Time!E33*('13   EarthSum'!$G91+'13   EarthSum'!$H91)</f>
        <v>1163.9588777142858</v>
      </c>
      <c r="F31" s="294">
        <f>Time!F33*('13   EarthSum'!$G91+'13   EarthSum'!$H91)</f>
        <v>1163.9588777142858</v>
      </c>
      <c r="G31" s="294">
        <f>Time!G33*('13   EarthSum'!$G91+'13   EarthSum'!$H91)</f>
        <v>1163.9588777142858</v>
      </c>
      <c r="H31" s="294">
        <f>Time!H33*('13   EarthSum'!$G91+'13   EarthSum'!$H91)</f>
        <v>1163.9588777142858</v>
      </c>
      <c r="I31" s="294">
        <f>Time!I33*('13   EarthSum'!$G91+'13   EarthSum'!$H91)</f>
        <v>1163.9588777142858</v>
      </c>
      <c r="J31" s="294">
        <f>Time!J33*('13   EarthSum'!$G91+'13   EarthSum'!$H91)</f>
        <v>1163.9588777142858</v>
      </c>
      <c r="K31" s="294">
        <f>Time!K33*('13   EarthSum'!$G91+'13   EarthSum'!$H91)</f>
        <v>1163.9588777142858</v>
      </c>
      <c r="L31" s="294">
        <f>Time!L33*('13   EarthSum'!$G91+'13   EarthSum'!$H91)</f>
        <v>1163.9588777142858</v>
      </c>
      <c r="M31" s="294">
        <f>Time!M33*('13   EarthSum'!$G91+'13   EarthSum'!$H91)</f>
        <v>1163.9588777142858</v>
      </c>
      <c r="N31" s="294">
        <f>Time!N33*('13   EarthSum'!$G91+'13   EarthSum'!$H91)</f>
        <v>1163.9588777142858</v>
      </c>
      <c r="O31" s="294">
        <f>Time!O33*('13   EarthSum'!$G91+'13   EarthSum'!$H91)</f>
        <v>1163.9588777142858</v>
      </c>
      <c r="P31" s="294">
        <f>Time!P33*('13   EarthSum'!$G91+'13   EarthSum'!$H91)</f>
        <v>1163.9588777142858</v>
      </c>
      <c r="Q31" s="294">
        <f>Time!Q33*('13   EarthSum'!$G91+'13   EarthSum'!$H91)</f>
        <v>1163.9588777142858</v>
      </c>
      <c r="R31" s="294">
        <f>Time!R33*('13   EarthSum'!$G91+'13   EarthSum'!$H91)</f>
        <v>1163.9588777142858</v>
      </c>
      <c r="S31" s="294">
        <f>Time!S33*('13   EarthSum'!$G91+'13   EarthSum'!$H91)</f>
        <v>1163.9588777142858</v>
      </c>
      <c r="T31" s="294">
        <f>Time!T33*('13   EarthSum'!$G91+'13   EarthSum'!$H91)</f>
        <v>1163.9588777142858</v>
      </c>
      <c r="U31" s="294">
        <f>Time!U33*('13   EarthSum'!$G91+'13   EarthSum'!$H91)</f>
        <v>1163.9588777142858</v>
      </c>
      <c r="V31" s="294">
        <f>Time!V33*('13   EarthSum'!$G91+'13   EarthSum'!$H91)</f>
        <v>1163.9588777142858</v>
      </c>
      <c r="W31" s="294">
        <f>Time!W33*('13   EarthSum'!$G91+'13   EarthSum'!$H91)</f>
        <v>1163.9588777142858</v>
      </c>
      <c r="X31" s="294">
        <f>Time!X33*('13   EarthSum'!$G91+'13   EarthSum'!$H91)</f>
        <v>1163.9588777142858</v>
      </c>
      <c r="Y31" s="294">
        <f>Time!Y33*('13   EarthSum'!$G91+'13   EarthSum'!$H91)</f>
        <v>1163.9588777142858</v>
      </c>
      <c r="Z31" s="294">
        <f>Time!Z33*('13   EarthSum'!$G91+'13   EarthSum'!$H91)</f>
        <v>1163.9588777142858</v>
      </c>
      <c r="AA31" s="294">
        <f>Time!AA33*('13   EarthSum'!$G91+'13   EarthSum'!$H91)</f>
        <v>1163.9588777142858</v>
      </c>
      <c r="AB31" s="294">
        <f>Time!AB33*('13   EarthSum'!$G91+'13   EarthSum'!$H91)</f>
        <v>1163.9588777142858</v>
      </c>
    </row>
    <row r="32" spans="1:28" x14ac:dyDescent="0.2">
      <c r="A32" s="286" t="str">
        <f>Productivity!A34</f>
        <v>Haul cover soil</v>
      </c>
      <c r="B32" s="286" t="str">
        <f>Productivity!B34</f>
        <v>NOBS</v>
      </c>
      <c r="C32" s="286" t="str">
        <f>Productivity!C34</f>
        <v xml:space="preserve">Upper Creek Containment Pond 1 </v>
      </c>
      <c r="D32" s="286" t="str">
        <f>'13   EarthSum'!C92</f>
        <v>992K</v>
      </c>
      <c r="E32" s="294">
        <f>Time!E34*('13   EarthSum'!$G92+'13   EarthSum'!$H92)</f>
        <v>2840.1892987823198</v>
      </c>
      <c r="F32" s="294">
        <f>Time!F34*('13   EarthSum'!$G92+'13   EarthSum'!$H92)</f>
        <v>2121.4089222857137</v>
      </c>
      <c r="G32" s="294">
        <f>Time!G34*('13   EarthSum'!$G92+'13   EarthSum'!$H92)</f>
        <v>2121.4089222857137</v>
      </c>
      <c r="H32" s="294">
        <f>Time!H34*('13   EarthSum'!$G92+'13   EarthSum'!$H92)</f>
        <v>2121.4089222857137</v>
      </c>
      <c r="I32" s="294">
        <f>Time!I34*('13   EarthSum'!$G92+'13   EarthSum'!$H92)</f>
        <v>2121.4089222857137</v>
      </c>
      <c r="J32" s="294">
        <f>Time!J34*('13   EarthSum'!$G92+'13   EarthSum'!$H92)</f>
        <v>2121.4089222857137</v>
      </c>
      <c r="K32" s="294">
        <f>Time!K34*('13   EarthSum'!$G92+'13   EarthSum'!$H92)</f>
        <v>2121.4089222857137</v>
      </c>
      <c r="L32" s="294">
        <f>Time!L34*('13   EarthSum'!$G92+'13   EarthSum'!$H92)</f>
        <v>2121.4089222857137</v>
      </c>
      <c r="M32" s="294">
        <f>Time!M34*('13   EarthSum'!$G92+'13   EarthSum'!$H92)</f>
        <v>2121.4089222857137</v>
      </c>
      <c r="N32" s="294">
        <f>Time!N34*('13   EarthSum'!$G92+'13   EarthSum'!$H92)</f>
        <v>2121.4089222857137</v>
      </c>
      <c r="O32" s="294">
        <f>Time!O34*('13   EarthSum'!$G92+'13   EarthSum'!$H92)</f>
        <v>2121.4089222857137</v>
      </c>
      <c r="P32" s="294">
        <f>Time!P34*('13   EarthSum'!$G92+'13   EarthSum'!$H92)</f>
        <v>2121.4089222857137</v>
      </c>
      <c r="Q32" s="294">
        <f>Time!Q34*('13   EarthSum'!$G92+'13   EarthSum'!$H92)</f>
        <v>2121.4089222857137</v>
      </c>
      <c r="R32" s="294">
        <f>Time!R34*('13   EarthSum'!$G92+'13   EarthSum'!$H92)</f>
        <v>2121.4089222857137</v>
      </c>
      <c r="S32" s="294">
        <f>Time!S34*('13   EarthSum'!$G92+'13   EarthSum'!$H92)</f>
        <v>2121.4089222857137</v>
      </c>
      <c r="T32" s="294">
        <f>Time!T34*('13   EarthSum'!$G92+'13   EarthSum'!$H92)</f>
        <v>2121.4089222857137</v>
      </c>
      <c r="U32" s="294">
        <f>Time!U34*('13   EarthSum'!$G92+'13   EarthSum'!$H92)</f>
        <v>2121.4089222857137</v>
      </c>
      <c r="V32" s="294">
        <f>Time!V34*('13   EarthSum'!$G92+'13   EarthSum'!$H92)</f>
        <v>2121.4089222857137</v>
      </c>
      <c r="W32" s="294">
        <f>Time!W34*('13   EarthSum'!$G92+'13   EarthSum'!$H92)</f>
        <v>2121.4089222857137</v>
      </c>
      <c r="X32" s="294">
        <f>Time!X34*('13   EarthSum'!$G92+'13   EarthSum'!$H92)</f>
        <v>2121.4089222857137</v>
      </c>
      <c r="Y32" s="294">
        <f>Time!Y34*('13   EarthSum'!$G92+'13   EarthSum'!$H92)</f>
        <v>2121.4089222857137</v>
      </c>
      <c r="Z32" s="294">
        <f>Time!Z34*('13   EarthSum'!$G92+'13   EarthSum'!$H92)</f>
        <v>2121.4089222857137</v>
      </c>
      <c r="AA32" s="294">
        <f>Time!AA34*('13   EarthSum'!$G92+'13   EarthSum'!$H92)</f>
        <v>2121.4089222857137</v>
      </c>
      <c r="AB32" s="294">
        <f>Time!AB34*('13   EarthSum'!$G92+'13   EarthSum'!$H92)</f>
        <v>2121.4089222857137</v>
      </c>
    </row>
  </sheetData>
  <printOptions horizontalCentered="1"/>
  <pageMargins left="0.75" right="0.75" top="1" bottom="1" header="0.5" footer="0.5"/>
  <pageSetup paperSize="17" scale="45" orientation="landscape" r:id="rId1"/>
  <headerFooter alignWithMargins="0">
    <oddFooter>&amp;C&amp;F
&amp;   Stockpile Sheet 9d
&amp;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
  <sheetViews>
    <sheetView topLeftCell="I1" zoomScale="70" zoomScaleNormal="75" zoomScaleSheetLayoutView="75" workbookViewId="0">
      <selection activeCell="A19" sqref="A19:AC20"/>
    </sheetView>
  </sheetViews>
  <sheetFormatPr defaultColWidth="7.21875" defaultRowHeight="12.75" x14ac:dyDescent="0.2"/>
  <cols>
    <col min="1" max="1" width="13.109375" style="275" customWidth="1"/>
    <col min="2" max="2" width="15.109375" style="275" customWidth="1"/>
    <col min="3" max="3" width="22.77734375" style="275" customWidth="1"/>
    <col min="4" max="4" width="7.21875" style="275" customWidth="1"/>
    <col min="5" max="29" width="10.33203125" style="275" customWidth="1"/>
    <col min="30" max="16384" width="7.21875" style="275"/>
  </cols>
  <sheetData>
    <row r="1" spans="1:29" ht="15" x14ac:dyDescent="0.2">
      <c r="A1" s="1"/>
      <c r="B1" s="276"/>
      <c r="C1" s="276"/>
      <c r="D1" s="276"/>
      <c r="E1" s="276"/>
      <c r="F1" s="276"/>
      <c r="G1" s="276"/>
      <c r="H1" s="276"/>
      <c r="J1" s="279"/>
      <c r="K1" s="279"/>
      <c r="L1" s="280" t="str">
        <f>Productivity!J1</f>
        <v>Cobre</v>
      </c>
      <c r="M1" s="279"/>
      <c r="N1" s="279"/>
      <c r="O1" s="279"/>
      <c r="P1" s="279"/>
      <c r="Q1" s="279"/>
      <c r="R1" s="279"/>
      <c r="S1" s="279"/>
      <c r="T1" s="279"/>
      <c r="U1" s="279"/>
      <c r="V1" s="279"/>
      <c r="W1" s="279"/>
      <c r="X1" s="279"/>
      <c r="Y1" s="279"/>
      <c r="Z1" s="279"/>
      <c r="AA1" s="279"/>
      <c r="AB1" s="279"/>
      <c r="AC1" s="286"/>
    </row>
    <row r="2" spans="1:29" ht="15" x14ac:dyDescent="0.2">
      <c r="A2" s="1"/>
      <c r="B2" s="276"/>
      <c r="C2" s="276"/>
      <c r="D2" s="276"/>
      <c r="E2" s="276"/>
      <c r="F2" s="276"/>
      <c r="G2" s="276"/>
      <c r="H2" s="276"/>
      <c r="J2" s="279"/>
      <c r="K2" s="279"/>
      <c r="L2" s="280" t="s">
        <v>378</v>
      </c>
      <c r="M2" s="279"/>
      <c r="N2" s="279"/>
      <c r="O2" s="279"/>
      <c r="P2" s="279"/>
      <c r="Q2" s="279"/>
      <c r="R2" s="279"/>
      <c r="S2" s="279"/>
      <c r="T2" s="279"/>
      <c r="U2" s="279"/>
      <c r="V2" s="279"/>
      <c r="W2" s="279"/>
      <c r="X2" s="279"/>
      <c r="Y2" s="279"/>
      <c r="Z2" s="279"/>
      <c r="AA2" s="279"/>
      <c r="AB2" s="279"/>
      <c r="AC2" s="286"/>
    </row>
    <row r="3" spans="1:29" x14ac:dyDescent="0.2">
      <c r="A3" s="281" t="s">
        <v>379</v>
      </c>
      <c r="B3" s="281"/>
      <c r="C3" s="281"/>
      <c r="D3" s="281"/>
      <c r="E3" s="276"/>
      <c r="F3" s="276"/>
      <c r="G3" s="276"/>
      <c r="H3" s="276"/>
      <c r="J3" s="279"/>
      <c r="K3" s="279"/>
      <c r="L3" s="287">
        <f>Productivity!J3</f>
        <v>41978</v>
      </c>
      <c r="M3" s="279"/>
      <c r="N3" s="279"/>
      <c r="O3" s="279"/>
      <c r="P3" s="279"/>
      <c r="Q3" s="279"/>
      <c r="R3" s="279"/>
      <c r="S3" s="279"/>
      <c r="T3" s="279"/>
      <c r="U3" s="279"/>
      <c r="V3" s="279"/>
      <c r="W3" s="279"/>
      <c r="X3" s="279"/>
      <c r="Y3" s="279"/>
      <c r="Z3" s="279"/>
      <c r="AA3" s="279"/>
      <c r="AB3" s="279"/>
      <c r="AC3" s="286"/>
    </row>
    <row r="4" spans="1:29" x14ac:dyDescent="0.2">
      <c r="A4" s="276"/>
      <c r="B4" s="276"/>
      <c r="C4" s="276"/>
      <c r="D4" s="276"/>
      <c r="E4" s="276"/>
      <c r="F4" s="276"/>
      <c r="G4" s="276"/>
      <c r="H4" s="276"/>
      <c r="I4" s="280"/>
      <c r="J4" s="279"/>
      <c r="K4" s="279"/>
      <c r="L4" s="279"/>
      <c r="M4" s="279"/>
      <c r="N4" s="279"/>
      <c r="O4" s="279"/>
      <c r="P4" s="279"/>
      <c r="Q4" s="279"/>
      <c r="R4" s="279"/>
      <c r="S4" s="279"/>
      <c r="T4" s="279"/>
      <c r="U4" s="279"/>
      <c r="V4" s="279"/>
      <c r="W4" s="279"/>
      <c r="X4" s="279"/>
      <c r="Y4" s="279"/>
      <c r="Z4" s="279"/>
      <c r="AA4" s="279"/>
      <c r="AB4" s="279"/>
      <c r="AC4" s="286"/>
    </row>
    <row r="5" spans="1:29" x14ac:dyDescent="0.2">
      <c r="A5" s="280" t="s">
        <v>380</v>
      </c>
      <c r="B5" s="276" t="s">
        <v>381</v>
      </c>
      <c r="C5" s="276"/>
      <c r="D5" s="276"/>
      <c r="E5" s="276"/>
      <c r="F5" s="276"/>
      <c r="G5" s="276"/>
      <c r="H5" s="276"/>
      <c r="I5" s="280"/>
      <c r="J5" s="279"/>
      <c r="K5" s="279"/>
      <c r="L5" s="279"/>
      <c r="M5" s="279"/>
      <c r="N5" s="279"/>
      <c r="O5" s="279"/>
      <c r="P5" s="279"/>
      <c r="Q5" s="279"/>
      <c r="R5" s="279"/>
      <c r="S5" s="279"/>
      <c r="T5" s="279"/>
      <c r="U5" s="279"/>
      <c r="V5" s="279"/>
      <c r="W5" s="279"/>
      <c r="X5" s="279"/>
      <c r="Y5" s="279"/>
      <c r="Z5" s="279"/>
      <c r="AA5" s="279"/>
      <c r="AB5" s="279"/>
      <c r="AC5" s="286"/>
    </row>
    <row r="6" spans="1:29" x14ac:dyDescent="0.2">
      <c r="A6" s="280"/>
      <c r="B6" s="276"/>
      <c r="C6" s="276"/>
      <c r="D6" s="276"/>
      <c r="E6" s="276"/>
      <c r="F6" s="276"/>
      <c r="G6" s="276"/>
      <c r="H6" s="276"/>
      <c r="I6" s="280"/>
      <c r="J6" s="279"/>
      <c r="K6" s="279"/>
      <c r="L6" s="279"/>
      <c r="M6" s="279"/>
      <c r="N6" s="279"/>
      <c r="O6" s="279"/>
      <c r="P6" s="279"/>
      <c r="Q6" s="279"/>
      <c r="R6" s="279"/>
      <c r="S6" s="279"/>
      <c r="T6" s="279"/>
      <c r="U6" s="279"/>
      <c r="V6" s="279"/>
      <c r="W6" s="279"/>
      <c r="X6" s="279"/>
      <c r="Y6" s="279"/>
      <c r="Z6" s="279"/>
      <c r="AA6" s="279"/>
      <c r="AB6" s="279"/>
      <c r="AC6" s="286"/>
    </row>
    <row r="7" spans="1:29" x14ac:dyDescent="0.2">
      <c r="A7" s="280" t="s">
        <v>360</v>
      </c>
      <c r="B7" s="276" t="s">
        <v>382</v>
      </c>
      <c r="C7" s="276"/>
      <c r="D7" s="276"/>
      <c r="E7" s="276"/>
      <c r="F7" s="276"/>
      <c r="G7" s="276"/>
      <c r="H7" s="276"/>
      <c r="I7" s="280"/>
      <c r="J7" s="279"/>
      <c r="K7" s="279"/>
      <c r="L7" s="279"/>
      <c r="M7" s="279"/>
      <c r="N7" s="279"/>
      <c r="O7" s="279"/>
      <c r="P7" s="279"/>
      <c r="Q7" s="279"/>
      <c r="R7" s="279"/>
      <c r="S7" s="279"/>
      <c r="T7" s="279"/>
      <c r="U7" s="279"/>
      <c r="V7" s="279"/>
      <c r="W7" s="279"/>
      <c r="X7" s="279"/>
      <c r="Y7" s="279"/>
      <c r="Z7" s="279"/>
      <c r="AA7" s="279"/>
      <c r="AB7" s="279"/>
      <c r="AC7" s="286"/>
    </row>
    <row r="8" spans="1:29" x14ac:dyDescent="0.2">
      <c r="A8" s="276"/>
      <c r="B8" s="276"/>
      <c r="C8" s="276"/>
      <c r="D8" s="276"/>
      <c r="E8" s="276"/>
      <c r="F8" s="276"/>
      <c r="G8" s="276"/>
      <c r="H8" s="276"/>
      <c r="I8" s="280"/>
      <c r="J8" s="279"/>
      <c r="K8" s="279"/>
      <c r="L8" s="279"/>
      <c r="M8" s="279"/>
      <c r="N8" s="279"/>
      <c r="O8" s="279"/>
      <c r="P8" s="279"/>
      <c r="Q8" s="279"/>
      <c r="R8" s="279"/>
      <c r="S8" s="279"/>
      <c r="T8" s="279"/>
      <c r="U8" s="279"/>
      <c r="V8" s="279"/>
      <c r="W8" s="279"/>
      <c r="X8" s="279"/>
      <c r="Y8" s="279"/>
      <c r="Z8" s="279"/>
      <c r="AA8" s="279"/>
      <c r="AB8" s="279"/>
      <c r="AC8" s="286"/>
    </row>
    <row r="9" spans="1:29" x14ac:dyDescent="0.2">
      <c r="A9" s="279"/>
      <c r="B9" s="279"/>
      <c r="C9" s="279"/>
      <c r="D9" s="279"/>
      <c r="E9" s="279" t="s">
        <v>362</v>
      </c>
      <c r="F9" s="279"/>
      <c r="G9" s="279"/>
      <c r="H9" s="279"/>
      <c r="I9" s="279"/>
      <c r="J9" s="279"/>
      <c r="K9" s="279"/>
      <c r="L9" s="279"/>
      <c r="M9" s="279"/>
      <c r="N9" s="279"/>
      <c r="O9" s="279"/>
      <c r="P9" s="279"/>
      <c r="Q9" s="279"/>
      <c r="R9" s="279"/>
      <c r="S9" s="279"/>
      <c r="T9" s="279"/>
      <c r="U9" s="279"/>
      <c r="V9" s="279"/>
      <c r="W9" s="279"/>
      <c r="X9" s="279"/>
      <c r="Y9" s="279"/>
      <c r="Z9" s="279"/>
      <c r="AA9" s="279"/>
      <c r="AB9" s="279"/>
      <c r="AC9" s="278" t="s">
        <v>383</v>
      </c>
    </row>
    <row r="10" spans="1:29" x14ac:dyDescent="0.2">
      <c r="A10" s="279" t="s">
        <v>75</v>
      </c>
      <c r="B10" s="279" t="s">
        <v>20</v>
      </c>
      <c r="C10" s="279" t="s">
        <v>21</v>
      </c>
      <c r="D10" s="279" t="s">
        <v>23</v>
      </c>
      <c r="E10" s="279">
        <v>2</v>
      </c>
      <c r="F10" s="279">
        <f>E10+1</f>
        <v>3</v>
      </c>
      <c r="G10" s="279">
        <f t="shared" ref="G10:AB10" si="0">F10+1</f>
        <v>4</v>
      </c>
      <c r="H10" s="279">
        <f t="shared" si="0"/>
        <v>5</v>
      </c>
      <c r="I10" s="279">
        <f t="shared" si="0"/>
        <v>6</v>
      </c>
      <c r="J10" s="279">
        <f t="shared" si="0"/>
        <v>7</v>
      </c>
      <c r="K10" s="279">
        <f t="shared" si="0"/>
        <v>8</v>
      </c>
      <c r="L10" s="279">
        <f t="shared" si="0"/>
        <v>9</v>
      </c>
      <c r="M10" s="279">
        <f t="shared" si="0"/>
        <v>10</v>
      </c>
      <c r="N10" s="279">
        <f t="shared" si="0"/>
        <v>11</v>
      </c>
      <c r="O10" s="279">
        <f t="shared" si="0"/>
        <v>12</v>
      </c>
      <c r="P10" s="279">
        <f t="shared" si="0"/>
        <v>13</v>
      </c>
      <c r="Q10" s="279">
        <f t="shared" si="0"/>
        <v>14</v>
      </c>
      <c r="R10" s="279">
        <f t="shared" si="0"/>
        <v>15</v>
      </c>
      <c r="S10" s="279">
        <f t="shared" si="0"/>
        <v>16</v>
      </c>
      <c r="T10" s="279">
        <f t="shared" si="0"/>
        <v>17</v>
      </c>
      <c r="U10" s="279">
        <f t="shared" si="0"/>
        <v>18</v>
      </c>
      <c r="V10" s="279">
        <f t="shared" si="0"/>
        <v>19</v>
      </c>
      <c r="W10" s="279">
        <f t="shared" si="0"/>
        <v>20</v>
      </c>
      <c r="X10" s="279">
        <f t="shared" si="0"/>
        <v>21</v>
      </c>
      <c r="Y10" s="279">
        <f t="shared" si="0"/>
        <v>22</v>
      </c>
      <c r="Z10" s="279">
        <f t="shared" si="0"/>
        <v>23</v>
      </c>
      <c r="AA10" s="279">
        <f t="shared" si="0"/>
        <v>24</v>
      </c>
      <c r="AB10" s="279">
        <f t="shared" si="0"/>
        <v>25</v>
      </c>
      <c r="AC10" s="278" t="s">
        <v>180</v>
      </c>
    </row>
    <row r="11" spans="1:29" ht="15.75" customHeight="1" x14ac:dyDescent="0.2">
      <c r="A11" s="283"/>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86"/>
    </row>
    <row r="12" spans="1:29" x14ac:dyDescent="0.2">
      <c r="A12" s="295" t="str">
        <f>Productivity!A14</f>
        <v>Haul cover soil</v>
      </c>
      <c r="B12" s="296" t="str">
        <f>Productivity!B14</f>
        <v>OB Stockpile 1 through 4, Topsoil Stockpile, South OB Stockpile</v>
      </c>
      <c r="C12" s="296" t="str">
        <f>Productivity!C14</f>
        <v xml:space="preserve">SWRDF Top </v>
      </c>
      <c r="D12" s="296" t="str">
        <f>Productivity!D14</f>
        <v>777F</v>
      </c>
      <c r="E12" s="297">
        <f>TruckCost!E12+LoaderCost!E12</f>
        <v>480327.3412924899</v>
      </c>
      <c r="F12" s="297">
        <f>TruckCost!F12+LoaderCost!F12</f>
        <v>547328.38813714287</v>
      </c>
      <c r="G12" s="297">
        <f>TruckCost!G12+LoaderCost!G12</f>
        <v>676454.35817142867</v>
      </c>
      <c r="H12" s="297">
        <f>TruckCost!H12+LoaderCost!H12</f>
        <v>805580.32820571435</v>
      </c>
      <c r="I12" s="297">
        <f>TruckCost!I12+LoaderCost!I12</f>
        <v>934706.29824000003</v>
      </c>
      <c r="J12" s="297">
        <f>TruckCost!J12+LoaderCost!J12</f>
        <v>1063832.2682742858</v>
      </c>
      <c r="K12" s="297">
        <f>TruckCost!K12+LoaderCost!K12</f>
        <v>1192958.2383085715</v>
      </c>
      <c r="L12" s="297">
        <f>TruckCost!L12+LoaderCost!L12</f>
        <v>1322084.2083428574</v>
      </c>
      <c r="M12" s="297">
        <f>TruckCost!M12+LoaderCost!M12</f>
        <v>1451210.1783771431</v>
      </c>
      <c r="N12" s="297">
        <f>TruckCost!N12+LoaderCost!N12</f>
        <v>1580336.1484114288</v>
      </c>
      <c r="O12" s="297">
        <f>TruckCost!O12+LoaderCost!O12</f>
        <v>1709462.1184457145</v>
      </c>
      <c r="P12" s="297">
        <f>TruckCost!P12+LoaderCost!P12</f>
        <v>1838588.0884800002</v>
      </c>
      <c r="Q12" s="297">
        <f>TruckCost!Q12+LoaderCost!Q12</f>
        <v>1967714.0585142861</v>
      </c>
      <c r="R12" s="297">
        <f>TruckCost!R12+LoaderCost!R12</f>
        <v>2096840.0285485717</v>
      </c>
      <c r="S12" s="297">
        <f>TruckCost!S12+LoaderCost!S12</f>
        <v>2225965.9985828572</v>
      </c>
      <c r="T12" s="297">
        <f>TruckCost!T12+LoaderCost!T12</f>
        <v>2355091.9686171431</v>
      </c>
      <c r="U12" s="297">
        <f>TruckCost!U12+LoaderCost!U12</f>
        <v>2484217.938651429</v>
      </c>
      <c r="V12" s="297">
        <f>TruckCost!V12+LoaderCost!V12</f>
        <v>2613343.9086857145</v>
      </c>
      <c r="W12" s="297">
        <f>TruckCost!W12+LoaderCost!W12</f>
        <v>2742469.8787200004</v>
      </c>
      <c r="X12" s="297">
        <f>TruckCost!X12+LoaderCost!X12</f>
        <v>2871595.8487542858</v>
      </c>
      <c r="Y12" s="297">
        <f>TruckCost!Y12+LoaderCost!Y12</f>
        <v>3000721.8187885717</v>
      </c>
      <c r="Z12" s="297">
        <f>TruckCost!Z12+LoaderCost!Z12</f>
        <v>3129847.7888228577</v>
      </c>
      <c r="AA12" s="297">
        <f>TruckCost!AA12+LoaderCost!AA12</f>
        <v>3258973.7588571431</v>
      </c>
      <c r="AB12" s="297">
        <f>TruckCost!AB12+LoaderCost!AB12</f>
        <v>3388099.728891429</v>
      </c>
      <c r="AC12" s="298">
        <f t="shared" ref="AC12:AC21" si="1">MIN(E12:AB12)</f>
        <v>480327.3412924899</v>
      </c>
    </row>
    <row r="13" spans="1:29" x14ac:dyDescent="0.2">
      <c r="A13" s="295" t="str">
        <f>Productivity!A15</f>
        <v>Haul cover soil</v>
      </c>
      <c r="B13" s="296" t="str">
        <f>Productivity!B15</f>
        <v>OB Stockpile 1 through 4, Topsoil Stockpile, South OB Stockpile</v>
      </c>
      <c r="C13" s="296" t="str">
        <f>Productivity!C15</f>
        <v>SWRDF Outslopes</v>
      </c>
      <c r="D13" s="296" t="str">
        <f>Productivity!D15</f>
        <v>777F</v>
      </c>
      <c r="E13" s="297">
        <f>TruckCost!E13+LoaderCost!E13</f>
        <v>1440982.0238774698</v>
      </c>
      <c r="F13" s="297">
        <f>TruckCost!F13+LoaderCost!F13</f>
        <v>1641985.1644114286</v>
      </c>
      <c r="G13" s="297">
        <f>TruckCost!G13+LoaderCost!G13</f>
        <v>2029363.0745142859</v>
      </c>
      <c r="H13" s="297">
        <f>TruckCost!H13+LoaderCost!H13</f>
        <v>2416740.9846171429</v>
      </c>
      <c r="I13" s="297">
        <f>TruckCost!I13+LoaderCost!I13</f>
        <v>2804118.8947200002</v>
      </c>
      <c r="J13" s="297">
        <f>TruckCost!J13+LoaderCost!J13</f>
        <v>3191496.8048228575</v>
      </c>
      <c r="K13" s="297">
        <f>TruckCost!K13+LoaderCost!K13</f>
        <v>3578874.7149257148</v>
      </c>
      <c r="L13" s="297">
        <f>TruckCost!L13+LoaderCost!L13</f>
        <v>3966252.625028572</v>
      </c>
      <c r="M13" s="297">
        <f>TruckCost!M13+LoaderCost!M13</f>
        <v>4353630.5351314293</v>
      </c>
      <c r="N13" s="297">
        <f>TruckCost!N13+LoaderCost!N13</f>
        <v>4741008.4452342866</v>
      </c>
      <c r="O13" s="297">
        <f>TruckCost!O13+LoaderCost!O13</f>
        <v>5128386.3553371429</v>
      </c>
      <c r="P13" s="297">
        <f>TruckCost!P13+LoaderCost!P13</f>
        <v>5515764.2654400002</v>
      </c>
      <c r="Q13" s="297">
        <f>TruckCost!Q13+LoaderCost!Q13</f>
        <v>5903142.1755428575</v>
      </c>
      <c r="R13" s="297">
        <f>TruckCost!R13+LoaderCost!R13</f>
        <v>6290520.0856457148</v>
      </c>
      <c r="S13" s="297">
        <f>TruckCost!S13+LoaderCost!S13</f>
        <v>6677897.9957485721</v>
      </c>
      <c r="T13" s="297">
        <f>TruckCost!T13+LoaderCost!T13</f>
        <v>7065275.9058514293</v>
      </c>
      <c r="U13" s="297">
        <f>TruckCost!U13+LoaderCost!U13</f>
        <v>7452653.8159542866</v>
      </c>
      <c r="V13" s="297">
        <f>TruckCost!V13+LoaderCost!V13</f>
        <v>7840031.7260571439</v>
      </c>
      <c r="W13" s="297">
        <f>TruckCost!W13+LoaderCost!W13</f>
        <v>8227409.6361600012</v>
      </c>
      <c r="X13" s="297">
        <f>TruckCost!X13+LoaderCost!X13</f>
        <v>8614787.5462628566</v>
      </c>
      <c r="Y13" s="297">
        <f>TruckCost!Y13+LoaderCost!Y13</f>
        <v>9002165.4563657157</v>
      </c>
      <c r="Z13" s="297">
        <f>TruckCost!Z13+LoaderCost!Z13</f>
        <v>9389543.366468573</v>
      </c>
      <c r="AA13" s="297">
        <f>TruckCost!AA13+LoaderCost!AA13</f>
        <v>9776921.2765714284</v>
      </c>
      <c r="AB13" s="297">
        <f>TruckCost!AB13+LoaderCost!AB13</f>
        <v>10164299.186674286</v>
      </c>
      <c r="AC13" s="298">
        <f t="shared" si="1"/>
        <v>1440982.0238774698</v>
      </c>
    </row>
    <row r="14" spans="1:29" x14ac:dyDescent="0.2">
      <c r="A14" s="295" t="str">
        <f>Productivity!A16</f>
        <v>Haul cover soil</v>
      </c>
      <c r="B14" s="296" t="str">
        <f>Productivity!B16</f>
        <v>NOBS</v>
      </c>
      <c r="C14" s="296" t="str">
        <f>Productivity!C16</f>
        <v xml:space="preserve">SWRDF Top </v>
      </c>
      <c r="D14" s="296" t="str">
        <f>Productivity!D16</f>
        <v>777F</v>
      </c>
      <c r="E14" s="297">
        <f>TruckCost!E14+LoaderCost!E14</f>
        <v>285999.5867488432</v>
      </c>
      <c r="F14" s="297">
        <f>TruckCost!F14+LoaderCost!F14</f>
        <v>249537.36284491984</v>
      </c>
      <c r="G14" s="297">
        <f>TruckCost!G14+LoaderCost!G14</f>
        <v>231306.25089295817</v>
      </c>
      <c r="H14" s="297">
        <f>TruckCost!H14+LoaderCost!H14</f>
        <v>233542.65383428568</v>
      </c>
      <c r="I14" s="297">
        <f>TruckCost!I14+LoaderCost!I14</f>
        <v>270977.06063999998</v>
      </c>
      <c r="J14" s="297">
        <f>TruckCost!J14+LoaderCost!J14</f>
        <v>308411.46744571422</v>
      </c>
      <c r="K14" s="297">
        <f>TruckCost!K14+LoaderCost!K14</f>
        <v>345845.87425142853</v>
      </c>
      <c r="L14" s="297">
        <f>TruckCost!L14+LoaderCost!L14</f>
        <v>383280.28105714283</v>
      </c>
      <c r="M14" s="297">
        <f>TruckCost!M14+LoaderCost!M14</f>
        <v>420714.68786285707</v>
      </c>
      <c r="N14" s="297">
        <f>TruckCost!N14+LoaderCost!N14</f>
        <v>458149.09466857137</v>
      </c>
      <c r="O14" s="297">
        <f>TruckCost!O14+LoaderCost!O14</f>
        <v>495583.50147428567</v>
      </c>
      <c r="P14" s="297">
        <f>TruckCost!P14+LoaderCost!P14</f>
        <v>533017.90827999986</v>
      </c>
      <c r="Q14" s="297">
        <f>TruckCost!Q14+LoaderCost!Q14</f>
        <v>570452.31508571422</v>
      </c>
      <c r="R14" s="297">
        <f>TruckCost!R14+LoaderCost!R14</f>
        <v>607886.72189142846</v>
      </c>
      <c r="S14" s="297">
        <f>TruckCost!S14+LoaderCost!S14</f>
        <v>645321.1286971427</v>
      </c>
      <c r="T14" s="297">
        <f>TruckCost!T14+LoaderCost!T14</f>
        <v>682755.53550285695</v>
      </c>
      <c r="U14" s="297">
        <f>TruckCost!U14+LoaderCost!U14</f>
        <v>720189.94230857131</v>
      </c>
      <c r="V14" s="297">
        <f>TruckCost!V14+LoaderCost!V14</f>
        <v>757624.34911428555</v>
      </c>
      <c r="W14" s="297">
        <f>TruckCost!W14+LoaderCost!W14</f>
        <v>795058.75591999979</v>
      </c>
      <c r="X14" s="297">
        <f>TruckCost!X14+LoaderCost!X14</f>
        <v>832493.16272571415</v>
      </c>
      <c r="Y14" s="297">
        <f>TruckCost!Y14+LoaderCost!Y14</f>
        <v>869927.56953142839</v>
      </c>
      <c r="Z14" s="297">
        <f>TruckCost!Z14+LoaderCost!Z14</f>
        <v>907361.97633714264</v>
      </c>
      <c r="AA14" s="297">
        <f>TruckCost!AA14+LoaderCost!AA14</f>
        <v>944796.383142857</v>
      </c>
      <c r="AB14" s="297">
        <f>TruckCost!AB14+LoaderCost!AB14</f>
        <v>982230.78994857124</v>
      </c>
      <c r="AC14" s="298">
        <f t="shared" si="1"/>
        <v>231306.25089295817</v>
      </c>
    </row>
    <row r="15" spans="1:29" x14ac:dyDescent="0.2">
      <c r="A15" s="295" t="str">
        <f>Productivity!A17</f>
        <v>Haul cover soil</v>
      </c>
      <c r="B15" s="296" t="str">
        <f>Productivity!B17</f>
        <v>NOBS</v>
      </c>
      <c r="C15" s="296" t="str">
        <f>Productivity!C17</f>
        <v>Hanover Mountain Deposit</v>
      </c>
      <c r="D15" s="296" t="str">
        <f>Productivity!D17</f>
        <v>777F</v>
      </c>
      <c r="E15" s="297">
        <f>TruckCost!E15+LoaderCost!E15</f>
        <v>810412.24264889746</v>
      </c>
      <c r="F15" s="297">
        <f>TruckCost!F15+LoaderCost!F15</f>
        <v>707092.3987922899</v>
      </c>
      <c r="G15" s="297">
        <f>TruckCost!G15+LoaderCost!G15</f>
        <v>740765.15982857137</v>
      </c>
      <c r="H15" s="297">
        <f>TruckCost!H15+LoaderCost!H15</f>
        <v>882167.1903942856</v>
      </c>
      <c r="I15" s="297">
        <f>TruckCost!I15+LoaderCost!I15</f>
        <v>1023569.2209599998</v>
      </c>
      <c r="J15" s="297">
        <f>TruckCost!J15+LoaderCost!J15</f>
        <v>1164971.2515257141</v>
      </c>
      <c r="K15" s="297">
        <f>TruckCost!K15+LoaderCost!K15</f>
        <v>1306373.2820914283</v>
      </c>
      <c r="L15" s="297">
        <f>TruckCost!L15+LoaderCost!L15</f>
        <v>1447775.3126571425</v>
      </c>
      <c r="M15" s="297">
        <f>TruckCost!M15+LoaderCost!M15</f>
        <v>1589177.3432228568</v>
      </c>
      <c r="N15" s="297">
        <f>TruckCost!N15+LoaderCost!N15</f>
        <v>1730579.373788571</v>
      </c>
      <c r="O15" s="297">
        <f>TruckCost!O15+LoaderCost!O15</f>
        <v>1871981.4043542854</v>
      </c>
      <c r="P15" s="297">
        <f>TruckCost!P15+LoaderCost!P15</f>
        <v>2013383.4349199997</v>
      </c>
      <c r="Q15" s="297">
        <f>TruckCost!Q15+LoaderCost!Q15</f>
        <v>2154785.4654857139</v>
      </c>
      <c r="R15" s="297">
        <f>TruckCost!R15+LoaderCost!R15</f>
        <v>2296187.4960514279</v>
      </c>
      <c r="S15" s="297">
        <f>TruckCost!S15+LoaderCost!S15</f>
        <v>2437589.5266171424</v>
      </c>
      <c r="T15" s="297">
        <f>TruckCost!T15+LoaderCost!T15</f>
        <v>2578991.5571828568</v>
      </c>
      <c r="U15" s="297">
        <f>TruckCost!U15+LoaderCost!U15</f>
        <v>2720393.5877485708</v>
      </c>
      <c r="V15" s="297">
        <f>TruckCost!V15+LoaderCost!V15</f>
        <v>2861795.6183142853</v>
      </c>
      <c r="W15" s="297">
        <f>TruckCost!W15+LoaderCost!W15</f>
        <v>3003197.6488799993</v>
      </c>
      <c r="X15" s="297">
        <f>TruckCost!X15+LoaderCost!X15</f>
        <v>3144599.6794457138</v>
      </c>
      <c r="Y15" s="297">
        <f>TruckCost!Y15+LoaderCost!Y15</f>
        <v>3286001.7100114278</v>
      </c>
      <c r="Z15" s="297">
        <f>TruckCost!Z15+LoaderCost!Z15</f>
        <v>3427403.7405771422</v>
      </c>
      <c r="AA15" s="297">
        <f>TruckCost!AA15+LoaderCost!AA15</f>
        <v>3568805.7711428567</v>
      </c>
      <c r="AB15" s="297">
        <f>TruckCost!AB15+LoaderCost!AB15</f>
        <v>3710207.8017085707</v>
      </c>
      <c r="AC15" s="298">
        <f t="shared" si="1"/>
        <v>707092.3987922899</v>
      </c>
    </row>
    <row r="16" spans="1:29" x14ac:dyDescent="0.2">
      <c r="A16" s="295" t="str">
        <f>Productivity!A18</f>
        <v>Haul cover soil</v>
      </c>
      <c r="B16" s="296" t="str">
        <f>Productivity!B18</f>
        <v>OB Stockpile 1 through 3, Topsoil Stockpile, South OB Stockpile</v>
      </c>
      <c r="C16" s="296" t="str">
        <f>Productivity!C18</f>
        <v>Pearson-Barnes Mine Area</v>
      </c>
      <c r="D16" s="296" t="str">
        <f>Productivity!D18</f>
        <v>777F</v>
      </c>
      <c r="E16" s="297">
        <f>TruckCost!E16+LoaderCost!E16</f>
        <v>58410.901120000002</v>
      </c>
      <c r="F16" s="297">
        <f>TruckCost!F16+LoaderCost!F16</f>
        <v>76446.101160000006</v>
      </c>
      <c r="G16" s="297">
        <f>TruckCost!G16+LoaderCost!G16</f>
        <v>94481.301200000002</v>
      </c>
      <c r="H16" s="297">
        <f>TruckCost!H16+LoaderCost!H16</f>
        <v>112516.50124</v>
      </c>
      <c r="I16" s="297">
        <f>TruckCost!I16+LoaderCost!I16</f>
        <v>130551.70128000001</v>
      </c>
      <c r="J16" s="297">
        <f>TruckCost!J16+LoaderCost!J16</f>
        <v>148586.90132</v>
      </c>
      <c r="K16" s="297">
        <f>TruckCost!K16+LoaderCost!K16</f>
        <v>166622.10136</v>
      </c>
      <c r="L16" s="297">
        <f>TruckCost!L16+LoaderCost!L16</f>
        <v>184657.3014</v>
      </c>
      <c r="M16" s="297">
        <f>TruckCost!M16+LoaderCost!M16</f>
        <v>202692.50143999999</v>
      </c>
      <c r="N16" s="297">
        <f>TruckCost!N16+LoaderCost!N16</f>
        <v>220727.70147999999</v>
      </c>
      <c r="O16" s="297">
        <f>TruckCost!O16+LoaderCost!O16</f>
        <v>238762.90152000001</v>
      </c>
      <c r="P16" s="297">
        <f>TruckCost!P16+LoaderCost!P16</f>
        <v>256798.10156000001</v>
      </c>
      <c r="Q16" s="297">
        <f>TruckCost!Q16+LoaderCost!Q16</f>
        <v>274833.30160000001</v>
      </c>
      <c r="R16" s="297">
        <f>TruckCost!R16+LoaderCost!R16</f>
        <v>292868.50163999997</v>
      </c>
      <c r="S16" s="297">
        <f>TruckCost!S16+LoaderCost!S16</f>
        <v>310903.70168</v>
      </c>
      <c r="T16" s="297">
        <f>TruckCost!T16+LoaderCost!T16</f>
        <v>328938.90172000002</v>
      </c>
      <c r="U16" s="297">
        <f>TruckCost!U16+LoaderCost!U16</f>
        <v>346974.10175999999</v>
      </c>
      <c r="V16" s="297">
        <f>TruckCost!V16+LoaderCost!V16</f>
        <v>365009.30180000002</v>
      </c>
      <c r="W16" s="297">
        <f>TruckCost!W16+LoaderCost!W16</f>
        <v>383044.50183999998</v>
      </c>
      <c r="X16" s="297">
        <f>TruckCost!X16+LoaderCost!X16</f>
        <v>401079.70188000001</v>
      </c>
      <c r="Y16" s="297">
        <f>TruckCost!Y16+LoaderCost!Y16</f>
        <v>419114.90191999997</v>
      </c>
      <c r="Z16" s="297">
        <f>TruckCost!Z16+LoaderCost!Z16</f>
        <v>437150.10196</v>
      </c>
      <c r="AA16" s="297">
        <f>TruckCost!AA16+LoaderCost!AA16</f>
        <v>455185.30200000003</v>
      </c>
      <c r="AB16" s="297">
        <f>TruckCost!AB16+LoaderCost!AB16</f>
        <v>473220.50203999999</v>
      </c>
      <c r="AC16" s="298">
        <f>MIN(E16:AB16)</f>
        <v>58410.901120000002</v>
      </c>
    </row>
    <row r="17" spans="1:29" x14ac:dyDescent="0.2">
      <c r="A17" s="295" t="str">
        <f>Productivity!A19</f>
        <v>Haul cover soil</v>
      </c>
      <c r="B17" s="296" t="str">
        <f>Productivity!B19</f>
        <v>OB-4 Stockpile</v>
      </c>
      <c r="C17" s="296" t="str">
        <f>Productivity!C19</f>
        <v>Low Grade WRF</v>
      </c>
      <c r="D17" s="296" t="str">
        <f>Productivity!D19</f>
        <v>777F</v>
      </c>
      <c r="E17" s="297">
        <f>TruckCost!E17+LoaderCost!E17</f>
        <v>45534.324318476181</v>
      </c>
      <c r="F17" s="297">
        <f>TruckCost!F17+LoaderCost!F17</f>
        <v>59593.69734685713</v>
      </c>
      <c r="G17" s="297">
        <f>TruckCost!G17+LoaderCost!G17</f>
        <v>73653.07037523808</v>
      </c>
      <c r="H17" s="297">
        <f>TruckCost!H17+LoaderCost!H17</f>
        <v>87712.443403619021</v>
      </c>
      <c r="I17" s="297">
        <f>TruckCost!I17+LoaderCost!I17</f>
        <v>101771.81643199998</v>
      </c>
      <c r="J17" s="297">
        <f>TruckCost!J17+LoaderCost!J17</f>
        <v>115831.18946038093</v>
      </c>
      <c r="K17" s="297">
        <f>TruckCost!K17+LoaderCost!K17</f>
        <v>129890.56248876188</v>
      </c>
      <c r="L17" s="297">
        <f>TruckCost!L17+LoaderCost!L17</f>
        <v>143949.93551714282</v>
      </c>
      <c r="M17" s="297">
        <f>TruckCost!M17+LoaderCost!M17</f>
        <v>158009.30854552376</v>
      </c>
      <c r="N17" s="297">
        <f>TruckCost!N17+LoaderCost!N17</f>
        <v>172068.68157390473</v>
      </c>
      <c r="O17" s="297">
        <f>TruckCost!O17+LoaderCost!O17</f>
        <v>186128.05460228567</v>
      </c>
      <c r="P17" s="297">
        <f>TruckCost!P17+LoaderCost!P17</f>
        <v>200187.42763066661</v>
      </c>
      <c r="Q17" s="297">
        <f>TruckCost!Q17+LoaderCost!Q17</f>
        <v>214246.80065904759</v>
      </c>
      <c r="R17" s="297">
        <f>TruckCost!R17+LoaderCost!R17</f>
        <v>228306.17368742853</v>
      </c>
      <c r="S17" s="297">
        <f>TruckCost!S17+LoaderCost!S17</f>
        <v>242365.54671580947</v>
      </c>
      <c r="T17" s="297">
        <f>TruckCost!T17+LoaderCost!T17</f>
        <v>256424.91974419041</v>
      </c>
      <c r="U17" s="297">
        <f>TruckCost!U17+LoaderCost!U17</f>
        <v>270484.29277257132</v>
      </c>
      <c r="V17" s="297">
        <f>TruckCost!V17+LoaderCost!V17</f>
        <v>284543.66580095235</v>
      </c>
      <c r="W17" s="297">
        <f>TruckCost!W17+LoaderCost!W17</f>
        <v>298603.03882933327</v>
      </c>
      <c r="X17" s="297">
        <f>TruckCost!X17+LoaderCost!X17</f>
        <v>312662.41185771418</v>
      </c>
      <c r="Y17" s="297">
        <f>TruckCost!Y17+LoaderCost!Y17</f>
        <v>326721.78488609521</v>
      </c>
      <c r="Z17" s="297">
        <f>TruckCost!Z17+LoaderCost!Z17</f>
        <v>340781.15791447612</v>
      </c>
      <c r="AA17" s="297">
        <f>TruckCost!AA17+LoaderCost!AA17</f>
        <v>354840.53094285703</v>
      </c>
      <c r="AB17" s="297">
        <f>TruckCost!AB17+LoaderCost!AB17</f>
        <v>368899.90397123806</v>
      </c>
      <c r="AC17" s="298">
        <f t="shared" si="1"/>
        <v>45534.324318476181</v>
      </c>
    </row>
    <row r="18" spans="1:29" x14ac:dyDescent="0.2">
      <c r="A18" s="295" t="str">
        <f>Productivity!A20</f>
        <v>Haul cover soil</v>
      </c>
      <c r="B18" s="296" t="str">
        <f>Productivity!B20</f>
        <v>NOBS</v>
      </c>
      <c r="C18" s="296" t="str">
        <f>Productivity!C20</f>
        <v>MTI Reclaim Pond</v>
      </c>
      <c r="D18" s="296" t="str">
        <f>Productivity!D20</f>
        <v>777F</v>
      </c>
      <c r="E18" s="297">
        <f>TruckCost!E18+LoaderCost!E18</f>
        <v>302930.82112046971</v>
      </c>
      <c r="F18" s="297">
        <f>TruckCost!F18+LoaderCost!F18</f>
        <v>264310.02606039232</v>
      </c>
      <c r="G18" s="297">
        <f>TruckCost!G18+LoaderCost!G18</f>
        <v>262006.96971428569</v>
      </c>
      <c r="H18" s="297">
        <f>TruckCost!H18+LoaderCost!H18</f>
        <v>312020.54965714284</v>
      </c>
      <c r="I18" s="297">
        <f>TruckCost!I18+LoaderCost!I18</f>
        <v>362034.12959999993</v>
      </c>
      <c r="J18" s="297">
        <f>TruckCost!J18+LoaderCost!J18</f>
        <v>412047.70954285708</v>
      </c>
      <c r="K18" s="297">
        <f>TruckCost!K18+LoaderCost!K18</f>
        <v>462061.28948571422</v>
      </c>
      <c r="L18" s="297">
        <f>TruckCost!L18+LoaderCost!L18</f>
        <v>512074.86942857137</v>
      </c>
      <c r="M18" s="297">
        <f>TruckCost!M18+LoaderCost!M18</f>
        <v>562088.44937142846</v>
      </c>
      <c r="N18" s="297">
        <f>TruckCost!N18+LoaderCost!N18</f>
        <v>612102.02931428561</v>
      </c>
      <c r="O18" s="297">
        <f>TruckCost!O18+LoaderCost!O18</f>
        <v>662115.60925714264</v>
      </c>
      <c r="P18" s="297">
        <f>TruckCost!P18+LoaderCost!P18</f>
        <v>712129.18919999979</v>
      </c>
      <c r="Q18" s="297">
        <f>TruckCost!Q18+LoaderCost!Q18</f>
        <v>762142.76914285694</v>
      </c>
      <c r="R18" s="297">
        <f>TruckCost!R18+LoaderCost!R18</f>
        <v>812156.34908571409</v>
      </c>
      <c r="S18" s="297">
        <f>TruckCost!S18+LoaderCost!S18</f>
        <v>862169.92902857123</v>
      </c>
      <c r="T18" s="297">
        <f>TruckCost!T18+LoaderCost!T18</f>
        <v>912183.50897142838</v>
      </c>
      <c r="U18" s="297">
        <f>TruckCost!U18+LoaderCost!U18</f>
        <v>962197.08891428553</v>
      </c>
      <c r="V18" s="297">
        <f>TruckCost!V18+LoaderCost!V18</f>
        <v>1012210.6688571427</v>
      </c>
      <c r="W18" s="297">
        <f>TruckCost!W18+LoaderCost!W18</f>
        <v>1062224.2487999999</v>
      </c>
      <c r="X18" s="297">
        <f>TruckCost!X18+LoaderCost!X18</f>
        <v>1112237.8287428571</v>
      </c>
      <c r="Y18" s="297">
        <f>TruckCost!Y18+LoaderCost!Y18</f>
        <v>1162251.4086857142</v>
      </c>
      <c r="Z18" s="297">
        <f>TruckCost!Z18+LoaderCost!Z18</f>
        <v>1212264.9886285714</v>
      </c>
      <c r="AA18" s="297">
        <f>TruckCost!AA18+LoaderCost!AA18</f>
        <v>1262278.5685714283</v>
      </c>
      <c r="AB18" s="297">
        <f>TruckCost!AB18+LoaderCost!AB18</f>
        <v>1312292.1485142855</v>
      </c>
      <c r="AC18" s="298">
        <f t="shared" si="1"/>
        <v>262006.96971428569</v>
      </c>
    </row>
    <row r="19" spans="1:29" x14ac:dyDescent="0.2">
      <c r="A19" s="295" t="str">
        <f>Productivity!A21</f>
        <v>Haul cover soil</v>
      </c>
      <c r="B19" s="296" t="str">
        <f>Productivity!B21</f>
        <v>NOBS</v>
      </c>
      <c r="C19" s="296" t="str">
        <f>Productivity!C21</f>
        <v>MTI  Top</v>
      </c>
      <c r="D19" s="296" t="str">
        <f>Productivity!D21</f>
        <v>777F</v>
      </c>
      <c r="E19" s="297">
        <f>TruckCost!E19+LoaderCost!E19</f>
        <v>360899.81629833207</v>
      </c>
      <c r="F19" s="297">
        <f>TruckCost!F19+LoaderCost!F19</f>
        <v>314888.52635786566</v>
      </c>
      <c r="G19" s="297">
        <f>TruckCost!G19+LoaderCost!G19</f>
        <v>312144.75598428579</v>
      </c>
      <c r="H19" s="297">
        <f>TruckCost!H19+LoaderCost!H19</f>
        <v>371728.95988614293</v>
      </c>
      <c r="I19" s="297">
        <f>TruckCost!I19+LoaderCost!I19</f>
        <v>431313.16378800012</v>
      </c>
      <c r="J19" s="297">
        <f>TruckCost!J19+LoaderCost!J19</f>
        <v>490897.36768985726</v>
      </c>
      <c r="K19" s="297">
        <f>TruckCost!K19+LoaderCost!K19</f>
        <v>550481.5715917144</v>
      </c>
      <c r="L19" s="297">
        <f>TruckCost!L19+LoaderCost!L19</f>
        <v>610065.77549357153</v>
      </c>
      <c r="M19" s="297">
        <f>TruckCost!M19+LoaderCost!M19</f>
        <v>669649.97939542867</v>
      </c>
      <c r="N19" s="297">
        <f>TruckCost!N19+LoaderCost!N19</f>
        <v>729234.18329728581</v>
      </c>
      <c r="O19" s="297">
        <f>TruckCost!O19+LoaderCost!O19</f>
        <v>788818.38719914306</v>
      </c>
      <c r="P19" s="297">
        <f>TruckCost!P19+LoaderCost!P19</f>
        <v>848402.5911010002</v>
      </c>
      <c r="Q19" s="297">
        <f>TruckCost!Q19+LoaderCost!Q19</f>
        <v>907986.79500285734</v>
      </c>
      <c r="R19" s="297">
        <f>TruckCost!R19+LoaderCost!R19</f>
        <v>967570.99890471448</v>
      </c>
      <c r="S19" s="297">
        <f>TruckCost!S19+LoaderCost!S19</f>
        <v>1027155.2028065716</v>
      </c>
      <c r="T19" s="297">
        <f>TruckCost!T19+LoaderCost!T19</f>
        <v>1086739.4067084286</v>
      </c>
      <c r="U19" s="297">
        <f>TruckCost!U19+LoaderCost!U19</f>
        <v>1146323.6106102858</v>
      </c>
      <c r="V19" s="297">
        <f>TruckCost!V19+LoaderCost!V19</f>
        <v>1205907.8145121429</v>
      </c>
      <c r="W19" s="297">
        <f>TruckCost!W19+LoaderCost!W19</f>
        <v>1265492.018414</v>
      </c>
      <c r="X19" s="297">
        <f>TruckCost!X19+LoaderCost!X19</f>
        <v>1325076.2223158572</v>
      </c>
      <c r="Y19" s="297">
        <f>TruckCost!Y19+LoaderCost!Y19</f>
        <v>1384660.4262177143</v>
      </c>
      <c r="Z19" s="297">
        <f>TruckCost!Z19+LoaderCost!Z19</f>
        <v>1444244.6301195715</v>
      </c>
      <c r="AA19" s="297">
        <f>TruckCost!AA19+LoaderCost!AA19</f>
        <v>1503828.8340214288</v>
      </c>
      <c r="AB19" s="297">
        <f>TruckCost!AB19+LoaderCost!AB19</f>
        <v>1563413.037923286</v>
      </c>
      <c r="AC19" s="298">
        <f t="shared" si="1"/>
        <v>312144.75598428579</v>
      </c>
    </row>
    <row r="20" spans="1:29" x14ac:dyDescent="0.2">
      <c r="A20" s="295" t="str">
        <f>Productivity!A22</f>
        <v>Haul cover soil</v>
      </c>
      <c r="B20" s="296" t="str">
        <f>Productivity!B22</f>
        <v>NOBS</v>
      </c>
      <c r="C20" s="296" t="str">
        <f>Productivity!C22</f>
        <v>MTI  Outslope</v>
      </c>
      <c r="D20" s="296" t="str">
        <f>Productivity!D22</f>
        <v>777F</v>
      </c>
      <c r="E20" s="297">
        <f>TruckCost!E20+LoaderCost!E20</f>
        <v>333499.2948880808</v>
      </c>
      <c r="F20" s="297">
        <f>TruckCost!F20+LoaderCost!F20</f>
        <v>290981.31050830457</v>
      </c>
      <c r="G20" s="297">
        <f>TruckCost!G20+LoaderCost!G20</f>
        <v>288445.85483999999</v>
      </c>
      <c r="H20" s="297">
        <f>TruckCost!H20+LoaderCost!H20</f>
        <v>343506.25966799998</v>
      </c>
      <c r="I20" s="297">
        <f>TruckCost!I20+LoaderCost!I20</f>
        <v>398566.66449599998</v>
      </c>
      <c r="J20" s="297">
        <f>TruckCost!J20+LoaderCost!J20</f>
        <v>453627.06932399998</v>
      </c>
      <c r="K20" s="297">
        <f>TruckCost!K20+LoaderCost!K20</f>
        <v>508687.47415199998</v>
      </c>
      <c r="L20" s="297">
        <f>TruckCost!L20+LoaderCost!L20</f>
        <v>563747.87898000004</v>
      </c>
      <c r="M20" s="297">
        <f>TruckCost!M20+LoaderCost!M20</f>
        <v>618808.28380800004</v>
      </c>
      <c r="N20" s="297">
        <f>TruckCost!N20+LoaderCost!N20</f>
        <v>673868.68863600004</v>
      </c>
      <c r="O20" s="297">
        <f>TruckCost!O20+LoaderCost!O20</f>
        <v>728929.09346400003</v>
      </c>
      <c r="P20" s="297">
        <f>TruckCost!P20+LoaderCost!P20</f>
        <v>783989.49829200003</v>
      </c>
      <c r="Q20" s="297">
        <f>TruckCost!Q20+LoaderCost!Q20</f>
        <v>839049.90312000003</v>
      </c>
      <c r="R20" s="297">
        <f>TruckCost!R20+LoaderCost!R20</f>
        <v>894110.30794800003</v>
      </c>
      <c r="S20" s="297">
        <f>TruckCost!S20+LoaderCost!S20</f>
        <v>949170.71277600003</v>
      </c>
      <c r="T20" s="297">
        <f>TruckCost!T20+LoaderCost!T20</f>
        <v>1004231.117604</v>
      </c>
      <c r="U20" s="297">
        <f>TruckCost!U20+LoaderCost!U20</f>
        <v>1059291.5224319999</v>
      </c>
      <c r="V20" s="297">
        <f>TruckCost!V20+LoaderCost!V20</f>
        <v>1114351.92726</v>
      </c>
      <c r="W20" s="297">
        <f>TruckCost!W20+LoaderCost!W20</f>
        <v>1169412.3320879999</v>
      </c>
      <c r="X20" s="297">
        <f>TruckCost!X20+LoaderCost!X20</f>
        <v>1224472.7369159998</v>
      </c>
      <c r="Y20" s="297">
        <f>TruckCost!Y20+LoaderCost!Y20</f>
        <v>1279533.1417439999</v>
      </c>
      <c r="Z20" s="297">
        <f>TruckCost!Z20+LoaderCost!Z20</f>
        <v>1334593.546572</v>
      </c>
      <c r="AA20" s="297">
        <f>TruckCost!AA20+LoaderCost!AA20</f>
        <v>1389653.9513999999</v>
      </c>
      <c r="AB20" s="297">
        <f>TruckCost!AB20+LoaderCost!AB20</f>
        <v>1444714.3562279998</v>
      </c>
      <c r="AC20" s="298">
        <f t="shared" ref="AC20" si="2">MIN(E20:AB20)</f>
        <v>288445.85483999999</v>
      </c>
    </row>
    <row r="21" spans="1:29" x14ac:dyDescent="0.2">
      <c r="A21" s="295" t="str">
        <f>Productivity!A23</f>
        <v>Haul cover soil</v>
      </c>
      <c r="B21" s="296" t="str">
        <f>Productivity!B23</f>
        <v>Reclaim Pond Outlet Channel</v>
      </c>
      <c r="C21" s="296" t="str">
        <f>Productivity!C23</f>
        <v>MTI  Top</v>
      </c>
      <c r="D21" s="296" t="str">
        <f>Productivity!D23</f>
        <v>777F</v>
      </c>
      <c r="E21" s="297">
        <f>TruckCost!E21+LoaderCost!E21</f>
        <v>72572.370356571424</v>
      </c>
      <c r="F21" s="297">
        <f>TruckCost!F21+LoaderCost!F21</f>
        <v>94980.126300428572</v>
      </c>
      <c r="G21" s="297">
        <f>TruckCost!G21+LoaderCost!G21</f>
        <v>117387.88224428571</v>
      </c>
      <c r="H21" s="297">
        <f>TruckCost!H21+LoaderCost!H21</f>
        <v>139795.63818814285</v>
      </c>
      <c r="I21" s="297">
        <f>TruckCost!I21+LoaderCost!I21</f>
        <v>162203.39413199999</v>
      </c>
      <c r="J21" s="297">
        <f>TruckCost!J21+LoaderCost!J21</f>
        <v>184611.15007585712</v>
      </c>
      <c r="K21" s="297">
        <f>TruckCost!K21+LoaderCost!K21</f>
        <v>207018.90601971425</v>
      </c>
      <c r="L21" s="297">
        <f>TruckCost!L21+LoaderCost!L21</f>
        <v>229426.66196357139</v>
      </c>
      <c r="M21" s="297">
        <f>TruckCost!M21+LoaderCost!M21</f>
        <v>251834.41790742852</v>
      </c>
      <c r="N21" s="297">
        <f>TruckCost!N21+LoaderCost!N21</f>
        <v>274242.17385128571</v>
      </c>
      <c r="O21" s="297">
        <f>TruckCost!O21+LoaderCost!O21</f>
        <v>296649.92979514285</v>
      </c>
      <c r="P21" s="297">
        <f>TruckCost!P21+LoaderCost!P21</f>
        <v>319057.68573899998</v>
      </c>
      <c r="Q21" s="297">
        <f>TruckCost!Q21+LoaderCost!Q21</f>
        <v>341465.44168285711</v>
      </c>
      <c r="R21" s="297">
        <f>TruckCost!R21+LoaderCost!R21</f>
        <v>363873.19762671425</v>
      </c>
      <c r="S21" s="297">
        <f>TruckCost!S21+LoaderCost!S21</f>
        <v>386280.95357057138</v>
      </c>
      <c r="T21" s="297">
        <f>TruckCost!T21+LoaderCost!T21</f>
        <v>408688.70951442851</v>
      </c>
      <c r="U21" s="297">
        <f>TruckCost!U21+LoaderCost!U21</f>
        <v>431096.46545828565</v>
      </c>
      <c r="V21" s="297">
        <f>TruckCost!V21+LoaderCost!V21</f>
        <v>453504.22140214278</v>
      </c>
      <c r="W21" s="297">
        <f>TruckCost!W21+LoaderCost!W21</f>
        <v>475911.97734599991</v>
      </c>
      <c r="X21" s="297">
        <f>TruckCost!X21+LoaderCost!X21</f>
        <v>498319.7332898571</v>
      </c>
      <c r="Y21" s="297">
        <f>TruckCost!Y21+LoaderCost!Y21</f>
        <v>520727.48923371424</v>
      </c>
      <c r="Z21" s="297">
        <f>TruckCost!Z21+LoaderCost!Z21</f>
        <v>543135.24517757143</v>
      </c>
      <c r="AA21" s="297">
        <f>TruckCost!AA21+LoaderCost!AA21</f>
        <v>565543.00112142856</v>
      </c>
      <c r="AB21" s="297">
        <f>TruckCost!AB21+LoaderCost!AB21</f>
        <v>587950.7570652857</v>
      </c>
      <c r="AC21" s="298">
        <f t="shared" si="1"/>
        <v>72572.370356571424</v>
      </c>
    </row>
    <row r="22" spans="1:29" x14ac:dyDescent="0.2">
      <c r="A22" s="295" t="str">
        <f>Productivity!A24</f>
        <v>Haul cover soil</v>
      </c>
      <c r="B22" s="296" t="str">
        <f>Productivity!B24</f>
        <v>NOBS</v>
      </c>
      <c r="C22" s="296" t="str">
        <f>Productivity!C24</f>
        <v>Tailing Pipeline Corridor</v>
      </c>
      <c r="D22" s="296" t="str">
        <f>Productivity!D24</f>
        <v>777F</v>
      </c>
      <c r="E22" s="297">
        <f>TruckCost!E22+LoaderCost!E22</f>
        <v>13273.877798187857</v>
      </c>
      <c r="F22" s="297">
        <f>TruckCost!F22+LoaderCost!F22</f>
        <v>11581.584778282642</v>
      </c>
      <c r="G22" s="297">
        <f>TruckCost!G22+LoaderCost!G22</f>
        <v>11480.669036571428</v>
      </c>
      <c r="H22" s="297">
        <f>TruckCost!H22+LoaderCost!H22</f>
        <v>13672.173175885713</v>
      </c>
      <c r="I22" s="297">
        <f>TruckCost!I22+LoaderCost!I22</f>
        <v>15863.677315199999</v>
      </c>
      <c r="J22" s="297">
        <f>TruckCost!J22+LoaderCost!J22</f>
        <v>18055.181454514284</v>
      </c>
      <c r="K22" s="297">
        <f>TruckCost!K22+LoaderCost!K22</f>
        <v>20246.68559382857</v>
      </c>
      <c r="L22" s="297">
        <f>TruckCost!L22+LoaderCost!L22</f>
        <v>22438.189733142855</v>
      </c>
      <c r="M22" s="297">
        <f>TruckCost!M22+LoaderCost!M22</f>
        <v>24629.693872457141</v>
      </c>
      <c r="N22" s="297">
        <f>TruckCost!N22+LoaderCost!N22</f>
        <v>26821.198011771427</v>
      </c>
      <c r="O22" s="297">
        <f>TruckCost!O22+LoaderCost!O22</f>
        <v>29012.702151085712</v>
      </c>
      <c r="P22" s="297">
        <f>TruckCost!P22+LoaderCost!P22</f>
        <v>31204.206290399998</v>
      </c>
      <c r="Q22" s="297">
        <f>TruckCost!Q22+LoaderCost!Q22</f>
        <v>33395.710429714287</v>
      </c>
      <c r="R22" s="297">
        <f>TruckCost!R22+LoaderCost!R22</f>
        <v>35587.214569028569</v>
      </c>
      <c r="S22" s="297">
        <f>TruckCost!S22+LoaderCost!S22</f>
        <v>37778.718708342858</v>
      </c>
      <c r="T22" s="297">
        <f>TruckCost!T22+LoaderCost!T22</f>
        <v>39970.222847657147</v>
      </c>
      <c r="U22" s="297">
        <f>TruckCost!U22+LoaderCost!U22</f>
        <v>42161.726986971429</v>
      </c>
      <c r="V22" s="297">
        <f>TruckCost!V22+LoaderCost!V22</f>
        <v>44353.231126285711</v>
      </c>
      <c r="W22" s="297">
        <f>TruckCost!W22+LoaderCost!W22</f>
        <v>46544.7352656</v>
      </c>
      <c r="X22" s="297">
        <f>TruckCost!X22+LoaderCost!X22</f>
        <v>48736.239404914289</v>
      </c>
      <c r="Y22" s="297">
        <f>TruckCost!Y22+LoaderCost!Y22</f>
        <v>50927.743544228571</v>
      </c>
      <c r="Z22" s="297">
        <f>TruckCost!Z22+LoaderCost!Z22</f>
        <v>53119.247683542853</v>
      </c>
      <c r="AA22" s="297">
        <f>TruckCost!AA22+LoaderCost!AA22</f>
        <v>55310.751822857143</v>
      </c>
      <c r="AB22" s="297">
        <f>TruckCost!AB22+LoaderCost!AB22</f>
        <v>57502.255962171432</v>
      </c>
      <c r="AC22" s="298">
        <f>MIN(E22:AB22)</f>
        <v>11480.669036571428</v>
      </c>
    </row>
    <row r="23" spans="1:29" x14ac:dyDescent="0.2">
      <c r="A23" s="295" t="str">
        <f>Productivity!A25</f>
        <v>Haul cover soil</v>
      </c>
      <c r="B23" s="296" t="str">
        <f>Productivity!B25</f>
        <v>NOBS</v>
      </c>
      <c r="C23" s="296" t="str">
        <f>Productivity!C25</f>
        <v>Grape Gulch Pond #3</v>
      </c>
      <c r="D23" s="296" t="str">
        <f>Productivity!D25</f>
        <v>777F</v>
      </c>
      <c r="E23" s="297">
        <f>TruckCost!E23+LoaderCost!E23</f>
        <v>2497.2006377055668</v>
      </c>
      <c r="F23" s="297">
        <f>TruckCost!F23+LoaderCost!F23</f>
        <v>2441.1360034285708</v>
      </c>
      <c r="G23" s="297">
        <f>TruckCost!G23+LoaderCost!G23</f>
        <v>3017.0499542857137</v>
      </c>
      <c r="H23" s="297">
        <f>TruckCost!H23+LoaderCost!H23</f>
        <v>3592.9639051428562</v>
      </c>
      <c r="I23" s="297">
        <f>TruckCost!I23+LoaderCost!I23</f>
        <v>4168.8778559999992</v>
      </c>
      <c r="J23" s="297">
        <f>TruckCost!J23+LoaderCost!J23</f>
        <v>4744.7918068571416</v>
      </c>
      <c r="K23" s="297">
        <f>TruckCost!K23+LoaderCost!K23</f>
        <v>5320.7057577142841</v>
      </c>
      <c r="L23" s="297">
        <f>TruckCost!L23+LoaderCost!L23</f>
        <v>5896.6197085714266</v>
      </c>
      <c r="M23" s="297">
        <f>TruckCost!M23+LoaderCost!M23</f>
        <v>6472.5336594285691</v>
      </c>
      <c r="N23" s="297">
        <f>TruckCost!N23+LoaderCost!N23</f>
        <v>7048.4476102857125</v>
      </c>
      <c r="O23" s="297">
        <f>TruckCost!O23+LoaderCost!O23</f>
        <v>7624.361561142855</v>
      </c>
      <c r="P23" s="297">
        <f>TruckCost!P23+LoaderCost!P23</f>
        <v>8200.2755119999983</v>
      </c>
      <c r="Q23" s="297">
        <f>TruckCost!Q23+LoaderCost!Q23</f>
        <v>8776.1894628571408</v>
      </c>
      <c r="R23" s="297">
        <f>TruckCost!R23+LoaderCost!R23</f>
        <v>9352.1034137142833</v>
      </c>
      <c r="S23" s="297">
        <f>TruckCost!S23+LoaderCost!S23</f>
        <v>9928.0173645714258</v>
      </c>
      <c r="T23" s="297">
        <f>TruckCost!T23+LoaderCost!T23</f>
        <v>10503.931315428568</v>
      </c>
      <c r="U23" s="297">
        <f>TruckCost!U23+LoaderCost!U23</f>
        <v>11079.845266285711</v>
      </c>
      <c r="V23" s="297">
        <f>TruckCost!V23+LoaderCost!V23</f>
        <v>11655.759217142853</v>
      </c>
      <c r="W23" s="297">
        <f>TruckCost!W23+LoaderCost!W23</f>
        <v>12231.673167999996</v>
      </c>
      <c r="X23" s="297">
        <f>TruckCost!X23+LoaderCost!X23</f>
        <v>12807.58711885714</v>
      </c>
      <c r="Y23" s="297">
        <f>TruckCost!Y23+LoaderCost!Y23</f>
        <v>13383.501069714282</v>
      </c>
      <c r="Z23" s="297">
        <f>TruckCost!Z23+LoaderCost!Z23</f>
        <v>13959.415020571425</v>
      </c>
      <c r="AA23" s="297">
        <f>TruckCost!AA23+LoaderCost!AA23</f>
        <v>14535.328971428567</v>
      </c>
      <c r="AB23" s="297">
        <f>TruckCost!AB23+LoaderCost!AB23</f>
        <v>15111.24292228571</v>
      </c>
      <c r="AC23" s="298">
        <f t="shared" ref="AC23:AC28" si="3">MIN(E23:AB23)</f>
        <v>2441.1360034285708</v>
      </c>
    </row>
    <row r="24" spans="1:29" x14ac:dyDescent="0.2">
      <c r="A24" s="295" t="str">
        <f>Productivity!A26</f>
        <v>Haul cover soil</v>
      </c>
      <c r="B24" s="296" t="str">
        <f>Productivity!B26</f>
        <v>NOBS</v>
      </c>
      <c r="C24" s="296" t="str">
        <f>Productivity!C26</f>
        <v>Magnetite Seepage Pond</v>
      </c>
      <c r="D24" s="296" t="str">
        <f>Productivity!D26</f>
        <v>777F</v>
      </c>
      <c r="E24" s="297">
        <f>TruckCost!E24+LoaderCost!E24</f>
        <v>1573.1049544371572</v>
      </c>
      <c r="F24" s="297">
        <f>TruckCost!F24+LoaderCost!F24</f>
        <v>1372.5490525035307</v>
      </c>
      <c r="G24" s="297">
        <f>TruckCost!G24+LoaderCost!G24</f>
        <v>1587.9210285714285</v>
      </c>
      <c r="H24" s="297">
        <f>TruckCost!H24+LoaderCost!H24</f>
        <v>1891.033634285714</v>
      </c>
      <c r="I24" s="297">
        <f>TruckCost!I24+LoaderCost!I24</f>
        <v>2194.14624</v>
      </c>
      <c r="J24" s="297">
        <f>TruckCost!J24+LoaderCost!J24</f>
        <v>2497.2588457142856</v>
      </c>
      <c r="K24" s="297">
        <f>TruckCost!K24+LoaderCost!K24</f>
        <v>2800.3714514285712</v>
      </c>
      <c r="L24" s="297">
        <f>TruckCost!L24+LoaderCost!L24</f>
        <v>3103.4840571428567</v>
      </c>
      <c r="M24" s="297">
        <f>TruckCost!M24+LoaderCost!M24</f>
        <v>3406.5966628571423</v>
      </c>
      <c r="N24" s="297">
        <f>TruckCost!N24+LoaderCost!N24</f>
        <v>3709.7092685714283</v>
      </c>
      <c r="O24" s="297">
        <f>TruckCost!O24+LoaderCost!O24</f>
        <v>4012.8218742857139</v>
      </c>
      <c r="P24" s="297">
        <f>TruckCost!P24+LoaderCost!P24</f>
        <v>4315.9344799999999</v>
      </c>
      <c r="Q24" s="297">
        <f>TruckCost!Q24+LoaderCost!Q24</f>
        <v>4619.0470857142855</v>
      </c>
      <c r="R24" s="297">
        <f>TruckCost!R24+LoaderCost!R24</f>
        <v>4922.159691428571</v>
      </c>
      <c r="S24" s="297">
        <f>TruckCost!S24+LoaderCost!S24</f>
        <v>5225.2722971428566</v>
      </c>
      <c r="T24" s="297">
        <f>TruckCost!T24+LoaderCost!T24</f>
        <v>5528.3849028571422</v>
      </c>
      <c r="U24" s="297">
        <f>TruckCost!U24+LoaderCost!U24</f>
        <v>5831.4975085714277</v>
      </c>
      <c r="V24" s="297">
        <f>TruckCost!V24+LoaderCost!V24</f>
        <v>6134.6101142857133</v>
      </c>
      <c r="W24" s="297">
        <f>TruckCost!W24+LoaderCost!W24</f>
        <v>6437.7227199999988</v>
      </c>
      <c r="X24" s="297">
        <f>TruckCost!X24+LoaderCost!X24</f>
        <v>6740.8353257142853</v>
      </c>
      <c r="Y24" s="297">
        <f>TruckCost!Y24+LoaderCost!Y24</f>
        <v>7043.9479314285709</v>
      </c>
      <c r="Z24" s="297">
        <f>TruckCost!Z24+LoaderCost!Z24</f>
        <v>7347.0605371428564</v>
      </c>
      <c r="AA24" s="297">
        <f>TruckCost!AA24+LoaderCost!AA24</f>
        <v>7650.173142857142</v>
      </c>
      <c r="AB24" s="297">
        <f>TruckCost!AB24+LoaderCost!AB24</f>
        <v>7953.2857485714276</v>
      </c>
      <c r="AC24" s="298">
        <f t="shared" si="3"/>
        <v>1372.5490525035307</v>
      </c>
    </row>
    <row r="25" spans="1:29" x14ac:dyDescent="0.2">
      <c r="A25" s="295" t="str">
        <f>Productivity!A27</f>
        <v>Haul cover soil</v>
      </c>
      <c r="B25" s="296" t="str">
        <f>Productivity!B27</f>
        <v>OB Stockpile 1 through 3, Topsoil Stockpile, South OB Stockpile</v>
      </c>
      <c r="C25" s="296" t="str">
        <f>Productivity!C27</f>
        <v>SWRF Dam 1</v>
      </c>
      <c r="D25" s="296" t="str">
        <f>Productivity!D27</f>
        <v>777F</v>
      </c>
      <c r="E25" s="297">
        <f>TruckCost!E25+LoaderCost!E25</f>
        <v>2931.5753224424261</v>
      </c>
      <c r="F25" s="297">
        <f>TruckCost!F25+LoaderCost!F25</f>
        <v>3340.5018994285711</v>
      </c>
      <c r="G25" s="297">
        <f>TruckCost!G25+LoaderCost!G25</f>
        <v>4128.5946742857132</v>
      </c>
      <c r="H25" s="297">
        <f>TruckCost!H25+LoaderCost!H25</f>
        <v>4916.6874491428562</v>
      </c>
      <c r="I25" s="297">
        <f>TruckCost!I25+LoaderCost!I25</f>
        <v>5704.7802239999992</v>
      </c>
      <c r="J25" s="297">
        <f>TruckCost!J25+LoaderCost!J25</f>
        <v>6492.8729988571413</v>
      </c>
      <c r="K25" s="297">
        <f>TruckCost!K25+LoaderCost!K25</f>
        <v>7280.9657737142843</v>
      </c>
      <c r="L25" s="297">
        <f>TruckCost!L25+LoaderCost!L25</f>
        <v>8069.0585485714273</v>
      </c>
      <c r="M25" s="297">
        <f>TruckCost!M25+LoaderCost!M25</f>
        <v>8857.1513234285685</v>
      </c>
      <c r="N25" s="297">
        <f>TruckCost!N25+LoaderCost!N25</f>
        <v>9645.2440982857115</v>
      </c>
      <c r="O25" s="297">
        <f>TruckCost!O25+LoaderCost!O25</f>
        <v>10433.336873142855</v>
      </c>
      <c r="P25" s="297">
        <f>TruckCost!P25+LoaderCost!P25</f>
        <v>11221.429647999998</v>
      </c>
      <c r="Q25" s="297">
        <f>TruckCost!Q25+LoaderCost!Q25</f>
        <v>12009.522422857139</v>
      </c>
      <c r="R25" s="297">
        <f>TruckCost!R25+LoaderCost!R25</f>
        <v>12797.615197714282</v>
      </c>
      <c r="S25" s="297">
        <f>TruckCost!S25+LoaderCost!S25</f>
        <v>13585.707972571425</v>
      </c>
      <c r="T25" s="297">
        <f>TruckCost!T25+LoaderCost!T25</f>
        <v>14373.800747428568</v>
      </c>
      <c r="U25" s="297">
        <f>TruckCost!U25+LoaderCost!U25</f>
        <v>15161.893522285711</v>
      </c>
      <c r="V25" s="297">
        <f>TruckCost!V25+LoaderCost!V25</f>
        <v>15949.986297142852</v>
      </c>
      <c r="W25" s="297">
        <f>TruckCost!W25+LoaderCost!W25</f>
        <v>16738.079071999997</v>
      </c>
      <c r="X25" s="297">
        <f>TruckCost!X25+LoaderCost!X25</f>
        <v>17526.171846857142</v>
      </c>
      <c r="Y25" s="297">
        <f>TruckCost!Y25+LoaderCost!Y25</f>
        <v>18314.264621714283</v>
      </c>
      <c r="Z25" s="297">
        <f>TruckCost!Z25+LoaderCost!Z25</f>
        <v>19102.357396571424</v>
      </c>
      <c r="AA25" s="297">
        <f>TruckCost!AA25+LoaderCost!AA25</f>
        <v>19890.450171428569</v>
      </c>
      <c r="AB25" s="297">
        <f>TruckCost!AB25+LoaderCost!AB25</f>
        <v>20678.54294628571</v>
      </c>
      <c r="AC25" s="298">
        <f t="shared" si="3"/>
        <v>2931.5753224424261</v>
      </c>
    </row>
    <row r="26" spans="1:29" x14ac:dyDescent="0.2">
      <c r="A26" s="295" t="str">
        <f>Productivity!A28</f>
        <v>Haul cover soil</v>
      </c>
      <c r="B26" s="296" t="str">
        <f>Productivity!B28</f>
        <v>OB Stockpile 1 through 3, Topsoil Stockpile, South OB Stockpile</v>
      </c>
      <c r="C26" s="296" t="str">
        <f>Productivity!C28</f>
        <v>SWRF Dam 2</v>
      </c>
      <c r="D26" s="296" t="str">
        <f>Productivity!D28</f>
        <v>777F</v>
      </c>
      <c r="E26" s="297">
        <f>TruckCost!E26+LoaderCost!E26</f>
        <v>1916.799249289279</v>
      </c>
      <c r="F26" s="297">
        <f>TruckCost!F26+LoaderCost!F26</f>
        <v>2184.1743188571431</v>
      </c>
      <c r="G26" s="297">
        <f>TruckCost!G26+LoaderCost!G26</f>
        <v>2699.4657485714288</v>
      </c>
      <c r="H26" s="297">
        <f>TruckCost!H26+LoaderCost!H26</f>
        <v>3214.7571782857144</v>
      </c>
      <c r="I26" s="297">
        <f>TruckCost!I26+LoaderCost!I26</f>
        <v>3730.0486080000005</v>
      </c>
      <c r="J26" s="297">
        <f>TruckCost!J26+LoaderCost!J26</f>
        <v>4245.3400377142862</v>
      </c>
      <c r="K26" s="297">
        <f>TruckCost!K26+LoaderCost!K26</f>
        <v>4760.6314674285723</v>
      </c>
      <c r="L26" s="297">
        <f>TruckCost!L26+LoaderCost!L26</f>
        <v>5275.9228971428583</v>
      </c>
      <c r="M26" s="297">
        <f>TruckCost!M26+LoaderCost!M26</f>
        <v>5791.2143268571435</v>
      </c>
      <c r="N26" s="297">
        <f>TruckCost!N26+LoaderCost!N26</f>
        <v>6306.5057565714296</v>
      </c>
      <c r="O26" s="297">
        <f>TruckCost!O26+LoaderCost!O26</f>
        <v>6821.7971862857157</v>
      </c>
      <c r="P26" s="297">
        <f>TruckCost!P26+LoaderCost!P26</f>
        <v>7337.0886160000009</v>
      </c>
      <c r="Q26" s="297">
        <f>TruckCost!Q26+LoaderCost!Q26</f>
        <v>7852.380045714287</v>
      </c>
      <c r="R26" s="297">
        <f>TruckCost!R26+LoaderCost!R26</f>
        <v>8367.6714754285713</v>
      </c>
      <c r="S26" s="297">
        <f>TruckCost!S26+LoaderCost!S26</f>
        <v>8882.9629051428583</v>
      </c>
      <c r="T26" s="297">
        <f>TruckCost!T26+LoaderCost!T26</f>
        <v>9398.2543348571435</v>
      </c>
      <c r="U26" s="297">
        <f>TruckCost!U26+LoaderCost!U26</f>
        <v>9913.5457645714305</v>
      </c>
      <c r="V26" s="297">
        <f>TruckCost!V26+LoaderCost!V26</f>
        <v>10428.837194285716</v>
      </c>
      <c r="W26" s="297">
        <f>TruckCost!W26+LoaderCost!W26</f>
        <v>10944.128624000001</v>
      </c>
      <c r="X26" s="297">
        <f>TruckCost!X26+LoaderCost!X26</f>
        <v>11459.420053714288</v>
      </c>
      <c r="Y26" s="297">
        <f>TruckCost!Y26+LoaderCost!Y26</f>
        <v>11974.711483428573</v>
      </c>
      <c r="Z26" s="297">
        <f>TruckCost!Z26+LoaderCost!Z26</f>
        <v>12490.002913142858</v>
      </c>
      <c r="AA26" s="297">
        <f>TruckCost!AA26+LoaderCost!AA26</f>
        <v>13005.294342857145</v>
      </c>
      <c r="AB26" s="297">
        <f>TruckCost!AB26+LoaderCost!AB26</f>
        <v>13520.58577257143</v>
      </c>
      <c r="AC26" s="298">
        <f t="shared" si="3"/>
        <v>1916.799249289279</v>
      </c>
    </row>
    <row r="27" spans="1:29" x14ac:dyDescent="0.2">
      <c r="A27" s="295" t="str">
        <f>Productivity!A29</f>
        <v>Haul cover soil</v>
      </c>
      <c r="B27" s="296" t="str">
        <f>Productivity!B29</f>
        <v>OB Stockpile 1 through 3, Topsoil Stockpile, South OB Stockpile</v>
      </c>
      <c r="C27" s="296" t="str">
        <f>Productivity!C29</f>
        <v>SWRF Dam 3</v>
      </c>
      <c r="D27" s="296" t="str">
        <f>Productivity!D29</f>
        <v>777F</v>
      </c>
      <c r="E27" s="297">
        <f>TruckCost!E27+LoaderCost!E27</f>
        <v>4735.6216747146882</v>
      </c>
      <c r="F27" s="297">
        <f>TruckCost!F27+LoaderCost!F27</f>
        <v>5396.1953759999997</v>
      </c>
      <c r="G27" s="297">
        <f>TruckCost!G27+LoaderCost!G27</f>
        <v>6669.2683199999992</v>
      </c>
      <c r="H27" s="297">
        <f>TruckCost!H27+LoaderCost!H27</f>
        <v>7942.3412639999988</v>
      </c>
      <c r="I27" s="297">
        <f>TruckCost!I27+LoaderCost!I27</f>
        <v>9215.4142079999983</v>
      </c>
      <c r="J27" s="297">
        <f>TruckCost!J27+LoaderCost!J27</f>
        <v>10488.487151999998</v>
      </c>
      <c r="K27" s="297">
        <f>TruckCost!K27+LoaderCost!K27</f>
        <v>11761.560095999997</v>
      </c>
      <c r="L27" s="297">
        <f>TruckCost!L27+LoaderCost!L27</f>
        <v>13034.633039999997</v>
      </c>
      <c r="M27" s="297">
        <f>TruckCost!M27+LoaderCost!M27</f>
        <v>14307.705983999997</v>
      </c>
      <c r="N27" s="297">
        <f>TruckCost!N27+LoaderCost!N27</f>
        <v>15580.778927999996</v>
      </c>
      <c r="O27" s="297">
        <f>TruckCost!O27+LoaderCost!O27</f>
        <v>16853.851871999999</v>
      </c>
      <c r="P27" s="297">
        <f>TruckCost!P27+LoaderCost!P27</f>
        <v>18126.924815999999</v>
      </c>
      <c r="Q27" s="297">
        <f>TruckCost!Q27+LoaderCost!Q27</f>
        <v>19399.997759999998</v>
      </c>
      <c r="R27" s="297">
        <f>TruckCost!R27+LoaderCost!R27</f>
        <v>20673.070703999998</v>
      </c>
      <c r="S27" s="297">
        <f>TruckCost!S27+LoaderCost!S27</f>
        <v>21946.143647999997</v>
      </c>
      <c r="T27" s="297">
        <f>TruckCost!T27+LoaderCost!T27</f>
        <v>23219.216591999997</v>
      </c>
      <c r="U27" s="297">
        <f>TruckCost!U27+LoaderCost!U27</f>
        <v>24492.289535999997</v>
      </c>
      <c r="V27" s="297">
        <f>TruckCost!V27+LoaderCost!V27</f>
        <v>25765.362479999996</v>
      </c>
      <c r="W27" s="297">
        <f>TruckCost!W27+LoaderCost!W27</f>
        <v>27038.435423999996</v>
      </c>
      <c r="X27" s="297">
        <f>TruckCost!X27+LoaderCost!X27</f>
        <v>28311.508367999995</v>
      </c>
      <c r="Y27" s="297">
        <f>TruckCost!Y27+LoaderCost!Y27</f>
        <v>29584.581311999995</v>
      </c>
      <c r="Z27" s="297">
        <f>TruckCost!Z27+LoaderCost!Z27</f>
        <v>30857.654255999994</v>
      </c>
      <c r="AA27" s="297">
        <f>TruckCost!AA27+LoaderCost!AA27</f>
        <v>32130.727199999998</v>
      </c>
      <c r="AB27" s="297">
        <f>TruckCost!AB27+LoaderCost!AB27</f>
        <v>33403.800143999993</v>
      </c>
      <c r="AC27" s="298">
        <f t="shared" si="3"/>
        <v>4735.6216747146882</v>
      </c>
    </row>
    <row r="28" spans="1:29" x14ac:dyDescent="0.2">
      <c r="A28" s="295" t="str">
        <f>Productivity!A30</f>
        <v>Haul cover soil</v>
      </c>
      <c r="B28" s="296" t="str">
        <f>Productivity!B30</f>
        <v>OB-4 Stockpile</v>
      </c>
      <c r="C28" s="296" t="str">
        <f>Productivity!C30</f>
        <v>North Tailings Decant Pond</v>
      </c>
      <c r="D28" s="296" t="str">
        <f>Productivity!D30</f>
        <v>777F</v>
      </c>
      <c r="E28" s="297">
        <f>TruckCost!E28+LoaderCost!E28</f>
        <v>2257.9003794285713</v>
      </c>
      <c r="F28" s="297">
        <f>TruckCost!F28+LoaderCost!F28</f>
        <v>2955.0593725714284</v>
      </c>
      <c r="G28" s="297">
        <f>TruckCost!G28+LoaderCost!G28</f>
        <v>3652.2183657142855</v>
      </c>
      <c r="H28" s="297">
        <f>TruckCost!H28+LoaderCost!H28</f>
        <v>4349.3773588571421</v>
      </c>
      <c r="I28" s="297">
        <f>TruckCost!I28+LoaderCost!I28</f>
        <v>5046.5363519999992</v>
      </c>
      <c r="J28" s="297">
        <f>TruckCost!J28+LoaderCost!J28</f>
        <v>5743.6953451428562</v>
      </c>
      <c r="K28" s="297">
        <f>TruckCost!K28+LoaderCost!K28</f>
        <v>6440.8543382857133</v>
      </c>
      <c r="L28" s="297">
        <f>TruckCost!L28+LoaderCost!L28</f>
        <v>7138.0133314285704</v>
      </c>
      <c r="M28" s="297">
        <f>TruckCost!M28+LoaderCost!M28</f>
        <v>7835.1723245714275</v>
      </c>
      <c r="N28" s="297">
        <f>TruckCost!N28+LoaderCost!N28</f>
        <v>8532.3313177142845</v>
      </c>
      <c r="O28" s="297">
        <f>TruckCost!O28+LoaderCost!O28</f>
        <v>9229.4903108571416</v>
      </c>
      <c r="P28" s="297">
        <f>TruckCost!P28+LoaderCost!P28</f>
        <v>9926.6493039999987</v>
      </c>
      <c r="Q28" s="297">
        <f>TruckCost!Q28+LoaderCost!Q28</f>
        <v>10623.808297142856</v>
      </c>
      <c r="R28" s="297">
        <f>TruckCost!R28+LoaderCost!R28</f>
        <v>11320.967290285713</v>
      </c>
      <c r="S28" s="297">
        <f>TruckCost!S28+LoaderCost!S28</f>
        <v>12018.12628342857</v>
      </c>
      <c r="T28" s="297">
        <f>TruckCost!T28+LoaderCost!T28</f>
        <v>12715.285276571427</v>
      </c>
      <c r="U28" s="297">
        <f>TruckCost!U28+LoaderCost!U28</f>
        <v>13412.444269714284</v>
      </c>
      <c r="V28" s="297">
        <f>TruckCost!V28+LoaderCost!V28</f>
        <v>14109.603262857141</v>
      </c>
      <c r="W28" s="297">
        <f>TruckCost!W28+LoaderCost!W28</f>
        <v>14806.762255999998</v>
      </c>
      <c r="X28" s="297">
        <f>TruckCost!X28+LoaderCost!X28</f>
        <v>15503.921249142855</v>
      </c>
      <c r="Y28" s="297">
        <f>TruckCost!Y28+LoaderCost!Y28</f>
        <v>16201.080242285712</v>
      </c>
      <c r="Z28" s="297">
        <f>TruckCost!Z28+LoaderCost!Z28</f>
        <v>16898.239235428569</v>
      </c>
      <c r="AA28" s="297">
        <f>TruckCost!AA28+LoaderCost!AA28</f>
        <v>17595.398228571426</v>
      </c>
      <c r="AB28" s="297">
        <f>TruckCost!AB28+LoaderCost!AB28</f>
        <v>18292.557221714284</v>
      </c>
      <c r="AC28" s="298">
        <f t="shared" si="3"/>
        <v>2257.9003794285713</v>
      </c>
    </row>
    <row r="29" spans="1:29" x14ac:dyDescent="0.2">
      <c r="A29" s="295" t="str">
        <f>Productivity!A31</f>
        <v>Haul cover soil</v>
      </c>
      <c r="B29" s="296" t="str">
        <f>Productivity!B31</f>
        <v>OB-4 Stockpile</v>
      </c>
      <c r="C29" s="296" t="str">
        <f>Productivity!C31</f>
        <v>East WRF Containment</v>
      </c>
      <c r="D29" s="296" t="str">
        <f>Productivity!D31</f>
        <v>777F</v>
      </c>
      <c r="E29" s="297">
        <f>TruckCost!E29+LoaderCost!E29</f>
        <v>2454.2395428571431</v>
      </c>
      <c r="F29" s="297">
        <f>TruckCost!F29+LoaderCost!F29</f>
        <v>3212.021057142857</v>
      </c>
      <c r="G29" s="297">
        <f>TruckCost!G29+LoaderCost!G29</f>
        <v>3969.8025714285714</v>
      </c>
      <c r="H29" s="297">
        <f>TruckCost!H29+LoaderCost!H29</f>
        <v>4727.5840857142857</v>
      </c>
      <c r="I29" s="297">
        <f>TruckCost!I29+LoaderCost!I29</f>
        <v>5485.3656000000001</v>
      </c>
      <c r="J29" s="297">
        <f>TruckCost!J29+LoaderCost!J29</f>
        <v>6243.1471142857145</v>
      </c>
      <c r="K29" s="297">
        <f>TruckCost!K29+LoaderCost!K29</f>
        <v>7000.9286285714288</v>
      </c>
      <c r="L29" s="297">
        <f>TruckCost!L29+LoaderCost!L29</f>
        <v>7758.7101428571432</v>
      </c>
      <c r="M29" s="297">
        <f>TruckCost!M29+LoaderCost!M29</f>
        <v>8516.4916571428566</v>
      </c>
      <c r="N29" s="297">
        <f>TruckCost!N29+LoaderCost!N29</f>
        <v>9274.273171428571</v>
      </c>
      <c r="O29" s="297">
        <f>TruckCost!O29+LoaderCost!O29</f>
        <v>10032.054685714285</v>
      </c>
      <c r="P29" s="297">
        <f>TruckCost!P29+LoaderCost!P29</f>
        <v>10789.8362</v>
      </c>
      <c r="Q29" s="297">
        <f>TruckCost!Q29+LoaderCost!Q29</f>
        <v>11547.617714285714</v>
      </c>
      <c r="R29" s="297">
        <f>TruckCost!R29+LoaderCost!R29</f>
        <v>12305.399228571428</v>
      </c>
      <c r="S29" s="297">
        <f>TruckCost!S29+LoaderCost!S29</f>
        <v>13063.180742857143</v>
      </c>
      <c r="T29" s="297">
        <f>TruckCost!T29+LoaderCost!T29</f>
        <v>13820.962257142857</v>
      </c>
      <c r="U29" s="297">
        <f>TruckCost!U29+LoaderCost!U29</f>
        <v>14578.743771428572</v>
      </c>
      <c r="V29" s="297">
        <f>TruckCost!V29+LoaderCost!V29</f>
        <v>15336.525285714286</v>
      </c>
      <c r="W29" s="297">
        <f>TruckCost!W29+LoaderCost!W29</f>
        <v>16094.3068</v>
      </c>
      <c r="X29" s="297">
        <f>TruckCost!X29+LoaderCost!X29</f>
        <v>16852.088314285713</v>
      </c>
      <c r="Y29" s="297">
        <f>TruckCost!Y29+LoaderCost!Y29</f>
        <v>17609.869828571427</v>
      </c>
      <c r="Z29" s="297">
        <f>TruckCost!Z29+LoaderCost!Z29</f>
        <v>18367.651342857142</v>
      </c>
      <c r="AA29" s="297">
        <f>TruckCost!AA29+LoaderCost!AA29</f>
        <v>19125.432857142856</v>
      </c>
      <c r="AB29" s="297">
        <f>TruckCost!AB29+LoaderCost!AB29</f>
        <v>19883.21437142857</v>
      </c>
      <c r="AC29" s="298">
        <f>MIN(E29:AB29)</f>
        <v>2454.2395428571431</v>
      </c>
    </row>
    <row r="30" spans="1:29" x14ac:dyDescent="0.2">
      <c r="A30" s="295" t="str">
        <f>Productivity!A32</f>
        <v>Haul cover soil</v>
      </c>
      <c r="B30" s="296" t="str">
        <f>Productivity!B32</f>
        <v>NOBS</v>
      </c>
      <c r="C30" s="296" t="str">
        <f>Productivity!C32</f>
        <v xml:space="preserve">Blackman's Seep (Pond #2) </v>
      </c>
      <c r="D30" s="296" t="str">
        <f>Productivity!D32</f>
        <v>777F</v>
      </c>
      <c r="E30" s="297">
        <f>TruckCost!E30+LoaderCost!E30</f>
        <v>65.71580625540966</v>
      </c>
      <c r="F30" s="297">
        <f>TruckCost!F30+LoaderCost!F30</f>
        <v>64.240421142857144</v>
      </c>
      <c r="G30" s="297">
        <f>TruckCost!G30+LoaderCost!G30</f>
        <v>79.396051428571425</v>
      </c>
      <c r="H30" s="297">
        <f>TruckCost!H30+LoaderCost!H30</f>
        <v>94.551681714285706</v>
      </c>
      <c r="I30" s="297">
        <f>TruckCost!I30+LoaderCost!I30</f>
        <v>109.707312</v>
      </c>
      <c r="J30" s="297">
        <f>TruckCost!J30+LoaderCost!J30</f>
        <v>124.86294228571428</v>
      </c>
      <c r="K30" s="297">
        <f>TruckCost!K30+LoaderCost!K30</f>
        <v>140.01857257142856</v>
      </c>
      <c r="L30" s="297">
        <f>TruckCost!L30+LoaderCost!L30</f>
        <v>155.17420285714286</v>
      </c>
      <c r="M30" s="297">
        <f>TruckCost!M30+LoaderCost!M30</f>
        <v>170.32983314285713</v>
      </c>
      <c r="N30" s="297">
        <f>TruckCost!N30+LoaderCost!N30</f>
        <v>185.48546342857142</v>
      </c>
      <c r="O30" s="297">
        <f>TruckCost!O30+LoaderCost!O30</f>
        <v>200.64109371428572</v>
      </c>
      <c r="P30" s="297">
        <f>TruckCost!P30+LoaderCost!P30</f>
        <v>215.79672399999998</v>
      </c>
      <c r="Q30" s="297">
        <f>TruckCost!Q30+LoaderCost!Q30</f>
        <v>230.95235428571428</v>
      </c>
      <c r="R30" s="297">
        <f>TruckCost!R30+LoaderCost!R30</f>
        <v>246.10798457142855</v>
      </c>
      <c r="S30" s="297">
        <f>TruckCost!S30+LoaderCost!S30</f>
        <v>261.26361485714284</v>
      </c>
      <c r="T30" s="297">
        <f>TruckCost!T30+LoaderCost!T30</f>
        <v>276.41924514285711</v>
      </c>
      <c r="U30" s="297">
        <f>TruckCost!U30+LoaderCost!U30</f>
        <v>291.57487542857143</v>
      </c>
      <c r="V30" s="297">
        <f>TruckCost!V30+LoaderCost!V30</f>
        <v>306.7305057142857</v>
      </c>
      <c r="W30" s="297">
        <f>TruckCost!W30+LoaderCost!W30</f>
        <v>321.88613599999996</v>
      </c>
      <c r="X30" s="297">
        <f>TruckCost!X30+LoaderCost!X30</f>
        <v>337.04176628571429</v>
      </c>
      <c r="Y30" s="297">
        <f>TruckCost!Y30+LoaderCost!Y30</f>
        <v>352.19739657142856</v>
      </c>
      <c r="Z30" s="297">
        <f>TruckCost!Z30+LoaderCost!Z30</f>
        <v>367.35302685714282</v>
      </c>
      <c r="AA30" s="297">
        <f>TruckCost!AA30+LoaderCost!AA30</f>
        <v>382.50865714285715</v>
      </c>
      <c r="AB30" s="297">
        <f>TruckCost!AB30+LoaderCost!AB30</f>
        <v>397.66428742857141</v>
      </c>
      <c r="AC30" s="298">
        <f>MIN(E30:AB30)</f>
        <v>64.240421142857144</v>
      </c>
    </row>
    <row r="31" spans="1:29" x14ac:dyDescent="0.2">
      <c r="A31" s="295" t="str">
        <f>Productivity!A33</f>
        <v>Haul cover soil</v>
      </c>
      <c r="B31" s="296" t="str">
        <f>Productivity!B33</f>
        <v>OB-4 Stockpile</v>
      </c>
      <c r="C31" s="296" t="str">
        <f>Productivity!C33</f>
        <v>Decant Pond #4</v>
      </c>
      <c r="D31" s="296" t="str">
        <f>Productivity!D33</f>
        <v>777F</v>
      </c>
      <c r="E31" s="297">
        <f>TruckCost!E31+LoaderCost!E31</f>
        <v>3043.2570331428569</v>
      </c>
      <c r="F31" s="297">
        <f>TruckCost!F31+LoaderCost!F31</f>
        <v>3982.9061108571427</v>
      </c>
      <c r="G31" s="297">
        <f>TruckCost!G31+LoaderCost!G31</f>
        <v>4922.5551885714285</v>
      </c>
      <c r="H31" s="297">
        <f>TruckCost!H31+LoaderCost!H31</f>
        <v>5862.2042662857148</v>
      </c>
      <c r="I31" s="297">
        <f>TruckCost!I31+LoaderCost!I31</f>
        <v>6801.8533439999992</v>
      </c>
      <c r="J31" s="297">
        <f>TruckCost!J31+LoaderCost!J31</f>
        <v>7741.5024217142854</v>
      </c>
      <c r="K31" s="297">
        <f>TruckCost!K31+LoaderCost!K31</f>
        <v>8681.1514994285717</v>
      </c>
      <c r="L31" s="297">
        <f>TruckCost!L31+LoaderCost!L31</f>
        <v>9620.8005771428561</v>
      </c>
      <c r="M31" s="297">
        <f>TruckCost!M31+LoaderCost!M31</f>
        <v>10560.449654857142</v>
      </c>
      <c r="N31" s="297">
        <f>TruckCost!N31+LoaderCost!N31</f>
        <v>11500.098732571429</v>
      </c>
      <c r="O31" s="297">
        <f>TruckCost!O31+LoaderCost!O31</f>
        <v>12439.747810285713</v>
      </c>
      <c r="P31" s="297">
        <f>TruckCost!P31+LoaderCost!P31</f>
        <v>13379.396887999999</v>
      </c>
      <c r="Q31" s="297">
        <f>TruckCost!Q31+LoaderCost!Q31</f>
        <v>14319.045965714286</v>
      </c>
      <c r="R31" s="297">
        <f>TruckCost!R31+LoaderCost!R31</f>
        <v>15258.69504342857</v>
      </c>
      <c r="S31" s="297">
        <f>TruckCost!S31+LoaderCost!S31</f>
        <v>16198.344121142856</v>
      </c>
      <c r="T31" s="297">
        <f>TruckCost!T31+LoaderCost!T31</f>
        <v>17137.993198857144</v>
      </c>
      <c r="U31" s="297">
        <f>TruckCost!U31+LoaderCost!U31</f>
        <v>18077.642276571427</v>
      </c>
      <c r="V31" s="297">
        <f>TruckCost!V31+LoaderCost!V31</f>
        <v>19017.291354285713</v>
      </c>
      <c r="W31" s="297">
        <f>TruckCost!W31+LoaderCost!W31</f>
        <v>19956.940431999999</v>
      </c>
      <c r="X31" s="297">
        <f>TruckCost!X31+LoaderCost!X31</f>
        <v>20896.589509714286</v>
      </c>
      <c r="Y31" s="297">
        <f>TruckCost!Y31+LoaderCost!Y31</f>
        <v>21836.238587428572</v>
      </c>
      <c r="Z31" s="297">
        <f>TruckCost!Z31+LoaderCost!Z31</f>
        <v>22775.887665142855</v>
      </c>
      <c r="AA31" s="297">
        <f>TruckCost!AA31+LoaderCost!AA31</f>
        <v>23715.536742857141</v>
      </c>
      <c r="AB31" s="297">
        <f>TruckCost!AB31+LoaderCost!AB31</f>
        <v>24655.185820571427</v>
      </c>
      <c r="AC31" s="298">
        <f>MIN(E31:AB31)</f>
        <v>3043.2570331428569</v>
      </c>
    </row>
    <row r="32" spans="1:29" x14ac:dyDescent="0.2">
      <c r="A32" s="295" t="str">
        <f>Productivity!A34</f>
        <v>Haul cover soil</v>
      </c>
      <c r="B32" s="296" t="str">
        <f>Productivity!B34</f>
        <v>NOBS</v>
      </c>
      <c r="C32" s="296" t="str">
        <f>Productivity!C34</f>
        <v xml:space="preserve">Upper Creek Containment Pond 1 </v>
      </c>
      <c r="D32" s="296" t="str">
        <f>Productivity!D34</f>
        <v>777F</v>
      </c>
      <c r="E32" s="297">
        <f>TruckCost!E32+LoaderCost!E32</f>
        <v>7425.8861068612914</v>
      </c>
      <c r="F32" s="297">
        <f>TruckCost!F32+LoaderCost!F32</f>
        <v>7259.1675891428549</v>
      </c>
      <c r="G32" s="297">
        <f>TruckCost!G32+LoaderCost!G32</f>
        <v>8971.753811428569</v>
      </c>
      <c r="H32" s="297">
        <f>TruckCost!H32+LoaderCost!H32</f>
        <v>10684.340033714281</v>
      </c>
      <c r="I32" s="297">
        <f>TruckCost!I32+LoaderCost!I32</f>
        <v>12396.926255999995</v>
      </c>
      <c r="J32" s="297">
        <f>TruckCost!J32+LoaderCost!J32</f>
        <v>14109.512478285709</v>
      </c>
      <c r="K32" s="297">
        <f>TruckCost!K32+LoaderCost!K32</f>
        <v>15822.098700571423</v>
      </c>
      <c r="L32" s="297">
        <f>TruckCost!L32+LoaderCost!L32</f>
        <v>17534.684922857137</v>
      </c>
      <c r="M32" s="297">
        <f>TruckCost!M32+LoaderCost!M32</f>
        <v>19247.271145142851</v>
      </c>
      <c r="N32" s="297">
        <f>TruckCost!N32+LoaderCost!N32</f>
        <v>20959.857367428565</v>
      </c>
      <c r="O32" s="297">
        <f>TruckCost!O32+LoaderCost!O32</f>
        <v>22672.443589714279</v>
      </c>
      <c r="P32" s="297">
        <f>TruckCost!P32+LoaderCost!P32</f>
        <v>24385.029811999993</v>
      </c>
      <c r="Q32" s="297">
        <f>TruckCost!Q32+LoaderCost!Q32</f>
        <v>26097.616034285707</v>
      </c>
      <c r="R32" s="297">
        <f>TruckCost!R32+LoaderCost!R32</f>
        <v>27810.202256571421</v>
      </c>
      <c r="S32" s="297">
        <f>TruckCost!S32+LoaderCost!S32</f>
        <v>29522.788478857135</v>
      </c>
      <c r="T32" s="297">
        <f>TruckCost!T32+LoaderCost!T32</f>
        <v>31235.37470114285</v>
      </c>
      <c r="U32" s="297">
        <f>TruckCost!U32+LoaderCost!U32</f>
        <v>32947.96092342856</v>
      </c>
      <c r="V32" s="297">
        <f>TruckCost!V32+LoaderCost!V32</f>
        <v>34660.547145714278</v>
      </c>
      <c r="W32" s="297">
        <f>TruckCost!W32+LoaderCost!W32</f>
        <v>36373.133367999988</v>
      </c>
      <c r="X32" s="297">
        <f>TruckCost!X32+LoaderCost!X32</f>
        <v>38085.719590285706</v>
      </c>
      <c r="Y32" s="297">
        <f>TruckCost!Y32+LoaderCost!Y32</f>
        <v>39798.305812571416</v>
      </c>
      <c r="Z32" s="297">
        <f>TruckCost!Z32+LoaderCost!Z32</f>
        <v>41510.892034857134</v>
      </c>
      <c r="AA32" s="297">
        <f>TruckCost!AA32+LoaderCost!AA32</f>
        <v>43223.478257142844</v>
      </c>
      <c r="AB32" s="297">
        <f>TruckCost!AB32+LoaderCost!AB32</f>
        <v>44936.064479428562</v>
      </c>
      <c r="AC32" s="298">
        <f>MIN(E32:AB32)</f>
        <v>7259.1675891428549</v>
      </c>
    </row>
  </sheetData>
  <printOptions horizontalCentered="1"/>
  <pageMargins left="0.75" right="0.75" top="1" bottom="1" header="0.5" footer="0.5"/>
  <pageSetup paperSize="17" scale="45" orientation="landscape" r:id="rId1"/>
  <headerFooter alignWithMargins="0">
    <oddFooter>&amp;C&amp;F
&amp;   Stockpile Sheet 9e
&amp;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
  <sheetViews>
    <sheetView zoomScaleNormal="75" zoomScaleSheetLayoutView="100" workbookViewId="0">
      <selection activeCell="A19" sqref="A19:AC20"/>
    </sheetView>
  </sheetViews>
  <sheetFormatPr defaultColWidth="7.21875" defaultRowHeight="12.75" x14ac:dyDescent="0.2"/>
  <cols>
    <col min="1" max="1" width="13" style="275" customWidth="1"/>
    <col min="2" max="2" width="20.5546875" style="275" customWidth="1"/>
    <col min="3" max="3" width="23.33203125" style="275" customWidth="1"/>
    <col min="4" max="4" width="7.21875" style="275" customWidth="1"/>
    <col min="5" max="5" width="5.33203125" style="275" customWidth="1"/>
    <col min="6" max="8" width="3" style="275" customWidth="1"/>
    <col min="9" max="9" width="3.21875" style="275" customWidth="1"/>
    <col min="10" max="24" width="3" style="275" customWidth="1"/>
    <col min="25" max="25" width="3.21875" style="275" customWidth="1"/>
    <col min="26" max="28" width="3" style="275" customWidth="1"/>
    <col min="29" max="29" width="9.109375" style="275" customWidth="1"/>
    <col min="30" max="16384" width="7.21875" style="275"/>
  </cols>
  <sheetData>
    <row r="1" spans="1:31" ht="15" x14ac:dyDescent="0.2">
      <c r="A1" s="1"/>
      <c r="B1" s="290"/>
      <c r="C1" s="290"/>
      <c r="D1" s="290"/>
      <c r="E1" s="290"/>
      <c r="F1" s="290"/>
      <c r="G1" s="290"/>
      <c r="H1" s="290"/>
      <c r="J1" s="286"/>
      <c r="K1" s="286"/>
      <c r="L1" s="286"/>
      <c r="M1" s="286"/>
      <c r="N1" s="286"/>
      <c r="O1" s="286"/>
      <c r="P1" s="286"/>
      <c r="Q1" s="286"/>
      <c r="R1" s="286"/>
      <c r="S1" s="286"/>
      <c r="T1" s="286"/>
      <c r="U1" s="286"/>
      <c r="V1" s="286"/>
      <c r="W1" s="286"/>
      <c r="X1" s="286"/>
      <c r="Z1" s="286"/>
      <c r="AA1" s="286"/>
      <c r="AB1" s="286"/>
      <c r="AC1" s="291" t="str">
        <f>Productivity!J1</f>
        <v>Cobre</v>
      </c>
    </row>
    <row r="2" spans="1:31" ht="15" x14ac:dyDescent="0.2">
      <c r="A2" s="1"/>
      <c r="B2" s="290"/>
      <c r="C2" s="290"/>
      <c r="D2" s="290"/>
      <c r="E2" s="290"/>
      <c r="F2" s="290"/>
      <c r="G2" s="290"/>
      <c r="H2" s="290"/>
      <c r="J2" s="286"/>
      <c r="K2" s="286"/>
      <c r="L2" s="286"/>
      <c r="M2" s="286"/>
      <c r="N2" s="286"/>
      <c r="O2" s="286"/>
      <c r="P2" s="286"/>
      <c r="Q2" s="286"/>
      <c r="R2" s="286"/>
      <c r="S2" s="286"/>
      <c r="T2" s="286"/>
      <c r="U2" s="286"/>
      <c r="V2" s="286"/>
      <c r="W2" s="286"/>
      <c r="X2" s="286"/>
      <c r="Z2" s="286"/>
      <c r="AA2" s="286"/>
      <c r="AB2" s="286"/>
      <c r="AC2" s="280" t="s">
        <v>384</v>
      </c>
    </row>
    <row r="3" spans="1:31" ht="15" x14ac:dyDescent="0.2">
      <c r="A3" s="292" t="s">
        <v>385</v>
      </c>
      <c r="B3" s="292"/>
      <c r="C3" s="292"/>
      <c r="D3" s="292"/>
      <c r="E3" s="290"/>
      <c r="F3" s="290"/>
      <c r="G3" s="290"/>
      <c r="H3" s="290"/>
      <c r="J3" s="286"/>
      <c r="K3" s="286"/>
      <c r="L3" s="286"/>
      <c r="M3" s="286"/>
      <c r="N3" s="286"/>
      <c r="O3" s="286"/>
      <c r="P3" s="286"/>
      <c r="Q3" s="286"/>
      <c r="R3" s="286"/>
      <c r="S3" s="286"/>
      <c r="T3" s="286"/>
      <c r="U3" s="286"/>
      <c r="V3" s="286"/>
      <c r="W3" s="286"/>
      <c r="X3" s="286"/>
      <c r="Z3" s="286"/>
      <c r="AA3" s="286"/>
      <c r="AB3" s="286"/>
      <c r="AC3" s="293">
        <f>Productivity!J3</f>
        <v>41978</v>
      </c>
    </row>
    <row r="4" spans="1:31" x14ac:dyDescent="0.2">
      <c r="A4" s="290"/>
      <c r="B4" s="290"/>
      <c r="C4" s="290"/>
      <c r="D4" s="290"/>
      <c r="E4" s="290"/>
      <c r="F4" s="290"/>
      <c r="G4" s="290"/>
      <c r="H4" s="290"/>
      <c r="I4" s="291"/>
      <c r="J4" s="286"/>
      <c r="K4" s="286"/>
      <c r="L4" s="286"/>
      <c r="M4" s="286"/>
      <c r="N4" s="286"/>
      <c r="O4" s="286"/>
      <c r="P4" s="286"/>
      <c r="Q4" s="286"/>
      <c r="R4" s="286"/>
      <c r="S4" s="286"/>
      <c r="T4" s="286"/>
      <c r="U4" s="286"/>
      <c r="V4" s="286"/>
      <c r="W4" s="286"/>
      <c r="X4" s="286"/>
      <c r="Y4" s="286"/>
      <c r="Z4" s="286"/>
      <c r="AA4" s="286"/>
      <c r="AB4" s="286"/>
    </row>
    <row r="5" spans="1:31" x14ac:dyDescent="0.2">
      <c r="A5" s="290" t="s">
        <v>386</v>
      </c>
      <c r="B5" s="290" t="s">
        <v>387</v>
      </c>
      <c r="C5" s="290"/>
      <c r="D5" s="290"/>
      <c r="E5" s="290"/>
      <c r="F5" s="290"/>
      <c r="G5" s="290"/>
      <c r="H5" s="290"/>
      <c r="I5" s="291"/>
      <c r="J5" s="286"/>
      <c r="K5" s="286"/>
      <c r="L5" s="286"/>
      <c r="M5" s="286"/>
      <c r="N5" s="286"/>
      <c r="O5" s="286"/>
      <c r="P5" s="286"/>
      <c r="Q5" s="286"/>
      <c r="R5" s="286"/>
      <c r="S5" s="286"/>
      <c r="T5" s="286"/>
      <c r="U5" s="286"/>
      <c r="V5" s="286"/>
      <c r="W5" s="286"/>
      <c r="X5" s="286"/>
      <c r="Y5" s="286"/>
      <c r="Z5" s="286"/>
      <c r="AA5" s="286"/>
      <c r="AB5" s="286"/>
      <c r="AC5" s="284"/>
    </row>
    <row r="6" spans="1:31" x14ac:dyDescent="0.2">
      <c r="A6" s="290"/>
      <c r="B6" s="290"/>
      <c r="C6" s="290"/>
      <c r="D6" s="290"/>
      <c r="E6" s="290"/>
      <c r="F6" s="290"/>
      <c r="G6" s="290"/>
      <c r="H6" s="290"/>
      <c r="I6" s="291"/>
      <c r="J6" s="286"/>
      <c r="K6" s="286"/>
      <c r="L6" s="286"/>
      <c r="M6" s="286"/>
      <c r="N6" s="286"/>
      <c r="O6" s="286"/>
      <c r="P6" s="286"/>
      <c r="Q6" s="286"/>
      <c r="R6" s="286"/>
      <c r="S6" s="286"/>
      <c r="T6" s="286"/>
      <c r="U6" s="286"/>
      <c r="V6" s="286"/>
      <c r="W6" s="286"/>
      <c r="X6" s="286"/>
      <c r="Y6" s="286"/>
      <c r="Z6" s="286"/>
      <c r="AA6" s="286"/>
      <c r="AB6" s="286"/>
      <c r="AC6" s="284"/>
    </row>
    <row r="7" spans="1:31" x14ac:dyDescent="0.2">
      <c r="A7" s="290" t="s">
        <v>360</v>
      </c>
      <c r="B7" s="290" t="s">
        <v>388</v>
      </c>
      <c r="C7" s="290"/>
      <c r="D7" s="290"/>
      <c r="E7" s="290"/>
      <c r="F7" s="290"/>
      <c r="G7" s="290"/>
      <c r="H7" s="290"/>
      <c r="I7" s="291"/>
      <c r="J7" s="286"/>
      <c r="K7" s="286"/>
      <c r="L7" s="286"/>
      <c r="M7" s="286"/>
      <c r="N7" s="286"/>
      <c r="O7" s="286"/>
      <c r="P7" s="286"/>
      <c r="Q7" s="286"/>
      <c r="R7" s="286"/>
      <c r="S7" s="286"/>
      <c r="T7" s="286"/>
      <c r="U7" s="286"/>
      <c r="V7" s="286"/>
      <c r="W7" s="286"/>
      <c r="X7" s="286"/>
      <c r="Y7" s="286"/>
      <c r="Z7" s="286"/>
      <c r="AA7" s="286"/>
      <c r="AB7" s="286"/>
      <c r="AC7" s="284"/>
    </row>
    <row r="8" spans="1:31" x14ac:dyDescent="0.2">
      <c r="A8" s="290"/>
      <c r="B8" s="290"/>
      <c r="C8" s="290"/>
      <c r="D8" s="290"/>
      <c r="E8" s="290"/>
      <c r="F8" s="290"/>
      <c r="G8" s="290"/>
      <c r="H8" s="290"/>
      <c r="I8" s="291"/>
      <c r="J8" s="286"/>
      <c r="K8" s="286"/>
      <c r="L8" s="286"/>
      <c r="M8" s="286"/>
      <c r="N8" s="286"/>
      <c r="O8" s="286"/>
      <c r="P8" s="286"/>
      <c r="Q8" s="286"/>
      <c r="R8" s="286"/>
      <c r="S8" s="286"/>
      <c r="T8" s="286"/>
      <c r="U8" s="286"/>
      <c r="V8" s="286"/>
      <c r="W8" s="286"/>
      <c r="X8" s="286"/>
      <c r="Y8" s="286"/>
      <c r="Z8" s="286"/>
      <c r="AA8" s="286"/>
      <c r="AB8" s="286"/>
      <c r="AC8" s="284" t="s">
        <v>145</v>
      </c>
    </row>
    <row r="9" spans="1:31" x14ac:dyDescent="0.2">
      <c r="A9" s="286"/>
      <c r="B9" s="286"/>
      <c r="C9" s="286"/>
      <c r="D9" s="286"/>
      <c r="E9" s="286" t="s">
        <v>362</v>
      </c>
      <c r="F9" s="286"/>
      <c r="G9" s="286"/>
      <c r="H9" s="286"/>
      <c r="I9" s="286"/>
      <c r="J9" s="286"/>
      <c r="K9" s="286"/>
      <c r="L9" s="286"/>
      <c r="M9" s="286"/>
      <c r="N9" s="286"/>
      <c r="O9" s="286"/>
      <c r="P9" s="286"/>
      <c r="Q9" s="286"/>
      <c r="R9" s="286"/>
      <c r="S9" s="286"/>
      <c r="T9" s="286"/>
      <c r="U9" s="286"/>
      <c r="V9" s="286"/>
      <c r="W9" s="286"/>
      <c r="X9" s="286"/>
      <c r="Y9" s="286"/>
      <c r="Z9" s="286"/>
      <c r="AA9" s="286"/>
      <c r="AB9" s="286"/>
      <c r="AC9" s="284" t="s">
        <v>111</v>
      </c>
    </row>
    <row r="10" spans="1:31" x14ac:dyDescent="0.2">
      <c r="A10" s="286" t="s">
        <v>75</v>
      </c>
      <c r="B10" s="286" t="s">
        <v>20</v>
      </c>
      <c r="C10" s="286" t="s">
        <v>21</v>
      </c>
      <c r="D10" s="286" t="s">
        <v>23</v>
      </c>
      <c r="E10" s="286">
        <v>2</v>
      </c>
      <c r="F10" s="286">
        <f>E10+1</f>
        <v>3</v>
      </c>
      <c r="G10" s="286">
        <f t="shared" ref="G10:AB10" si="0">F10+1</f>
        <v>4</v>
      </c>
      <c r="H10" s="286">
        <f t="shared" si="0"/>
        <v>5</v>
      </c>
      <c r="I10" s="286">
        <f t="shared" si="0"/>
        <v>6</v>
      </c>
      <c r="J10" s="286">
        <f t="shared" si="0"/>
        <v>7</v>
      </c>
      <c r="K10" s="286">
        <f t="shared" si="0"/>
        <v>8</v>
      </c>
      <c r="L10" s="286">
        <f t="shared" si="0"/>
        <v>9</v>
      </c>
      <c r="M10" s="286">
        <f t="shared" si="0"/>
        <v>10</v>
      </c>
      <c r="N10" s="286">
        <f t="shared" si="0"/>
        <v>11</v>
      </c>
      <c r="O10" s="286">
        <f t="shared" si="0"/>
        <v>12</v>
      </c>
      <c r="P10" s="286">
        <f t="shared" si="0"/>
        <v>13</v>
      </c>
      <c r="Q10" s="286">
        <f t="shared" si="0"/>
        <v>14</v>
      </c>
      <c r="R10" s="286">
        <f t="shared" si="0"/>
        <v>15</v>
      </c>
      <c r="S10" s="286">
        <f t="shared" si="0"/>
        <v>16</v>
      </c>
      <c r="T10" s="286">
        <f t="shared" si="0"/>
        <v>17</v>
      </c>
      <c r="U10" s="286">
        <f t="shared" si="0"/>
        <v>18</v>
      </c>
      <c r="V10" s="286">
        <f t="shared" si="0"/>
        <v>19</v>
      </c>
      <c r="W10" s="286">
        <f t="shared" si="0"/>
        <v>20</v>
      </c>
      <c r="X10" s="286">
        <f t="shared" si="0"/>
        <v>21</v>
      </c>
      <c r="Y10" s="286">
        <f t="shared" si="0"/>
        <v>22</v>
      </c>
      <c r="Z10" s="286">
        <f t="shared" si="0"/>
        <v>23</v>
      </c>
      <c r="AA10" s="286">
        <f t="shared" si="0"/>
        <v>24</v>
      </c>
      <c r="AB10" s="286">
        <f t="shared" si="0"/>
        <v>25</v>
      </c>
      <c r="AC10" s="284" t="s">
        <v>154</v>
      </c>
    </row>
    <row r="11" spans="1:31" ht="15" x14ac:dyDescent="0.2">
      <c r="A11" s="283"/>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79"/>
      <c r="AE11" s="275">
        <f>'16   Sum'!D26</f>
        <v>16438122.403410455</v>
      </c>
    </row>
    <row r="12" spans="1:31" x14ac:dyDescent="0.2">
      <c r="A12" s="286" t="str">
        <f>Productivity!A14</f>
        <v>Haul cover soil</v>
      </c>
      <c r="B12" s="286" t="str">
        <f>Productivity!B14</f>
        <v>OB Stockpile 1 through 4, Topsoil Stockpile, South OB Stockpile</v>
      </c>
      <c r="C12" s="286" t="str">
        <f>Productivity!C14</f>
        <v xml:space="preserve">SWRDF Top </v>
      </c>
      <c r="D12" s="286" t="str">
        <f>Productivity!D14</f>
        <v>777F</v>
      </c>
      <c r="E12" s="286">
        <f>IF(TotalCost!$AC12&gt;=TotalCost!E12,E$10,0)</f>
        <v>2</v>
      </c>
      <c r="F12" s="286">
        <f>IF(TotalCost!$AC12&gt;=TotalCost!F12,F$10,0)</f>
        <v>0</v>
      </c>
      <c r="G12" s="286">
        <f>IF(TotalCost!$AC12&gt;=TotalCost!G12,G$10,0)</f>
        <v>0</v>
      </c>
      <c r="H12" s="286">
        <f>IF(TotalCost!$AC12&gt;=TotalCost!H12,H$10,0)</f>
        <v>0</v>
      </c>
      <c r="I12" s="286">
        <f>IF(TotalCost!$AC12&gt;=TotalCost!I12,I$10,0)</f>
        <v>0</v>
      </c>
      <c r="J12" s="286">
        <f>IF(TotalCost!$AC12&gt;=TotalCost!J12,J$10,0)</f>
        <v>0</v>
      </c>
      <c r="K12" s="286">
        <f>IF(TotalCost!$AC12&gt;=TotalCost!K12,K$10,0)</f>
        <v>0</v>
      </c>
      <c r="L12" s="286">
        <f>IF(TotalCost!$AC12&gt;=TotalCost!L12,L$10,0)</f>
        <v>0</v>
      </c>
      <c r="M12" s="286">
        <f>IF(TotalCost!$AC12&gt;=TotalCost!M12,M$10,0)</f>
        <v>0</v>
      </c>
      <c r="N12" s="286">
        <f>IF(TotalCost!$AC12&gt;=TotalCost!N12,N$10,0)</f>
        <v>0</v>
      </c>
      <c r="O12" s="286">
        <f>IF(TotalCost!$AC12&gt;=TotalCost!O12,O$10,0)</f>
        <v>0</v>
      </c>
      <c r="P12" s="286">
        <f>IF(TotalCost!$AC12&gt;=TotalCost!P12,P$10,0)</f>
        <v>0</v>
      </c>
      <c r="Q12" s="286">
        <f>IF(TotalCost!$AC12&gt;=TotalCost!Q12,Q$10,0)</f>
        <v>0</v>
      </c>
      <c r="R12" s="286">
        <f>IF(TotalCost!$AC12&gt;=TotalCost!R12,R$10,0)</f>
        <v>0</v>
      </c>
      <c r="S12" s="286">
        <f>IF(TotalCost!$AC12&gt;=TotalCost!S12,S$10,0)</f>
        <v>0</v>
      </c>
      <c r="T12" s="286">
        <f>IF(TotalCost!$AC12&gt;=TotalCost!T12,T$10,0)</f>
        <v>0</v>
      </c>
      <c r="U12" s="286">
        <f>IF(TotalCost!$AC12&gt;=TotalCost!U12,U$10,0)</f>
        <v>0</v>
      </c>
      <c r="V12" s="286">
        <f>IF(TotalCost!$AC12&gt;=TotalCost!V12,V$10,0)</f>
        <v>0</v>
      </c>
      <c r="W12" s="286">
        <f>IF(TotalCost!$AC12&gt;=TotalCost!W12,W$10,0)</f>
        <v>0</v>
      </c>
      <c r="X12" s="286">
        <f>IF(TotalCost!$AC12&gt;=TotalCost!X12,X$10,0)</f>
        <v>0</v>
      </c>
      <c r="Y12" s="286">
        <f>IF(TotalCost!$AC12&gt;=TotalCost!Y12,Y$10,0)</f>
        <v>0</v>
      </c>
      <c r="Z12" s="286">
        <f>IF(TotalCost!$AC12&gt;=TotalCost!Z12,Z$10,0)</f>
        <v>0</v>
      </c>
      <c r="AA12" s="286">
        <f>IF(TotalCost!$AC12&gt;=TotalCost!AA12,AA$10,0)</f>
        <v>0</v>
      </c>
      <c r="AB12" s="286">
        <f>IF(TotalCost!$AC12&gt;=TotalCost!AB12,AB$10,0)</f>
        <v>0</v>
      </c>
      <c r="AC12" s="279">
        <f t="shared" ref="AC12:AC21" si="1">SUM(E12:AB12)</f>
        <v>2</v>
      </c>
    </row>
    <row r="13" spans="1:31" x14ac:dyDescent="0.2">
      <c r="A13" s="286" t="str">
        <f>Productivity!A15</f>
        <v>Haul cover soil</v>
      </c>
      <c r="B13" s="286" t="str">
        <f>Productivity!B15</f>
        <v>OB Stockpile 1 through 4, Topsoil Stockpile, South OB Stockpile</v>
      </c>
      <c r="C13" s="286" t="str">
        <f>Productivity!C15</f>
        <v>SWRDF Outslopes</v>
      </c>
      <c r="D13" s="286" t="str">
        <f>Productivity!D15</f>
        <v>777F</v>
      </c>
      <c r="E13" s="286">
        <f>IF(TotalCost!$AC13&gt;=TotalCost!E13,E$10,0)</f>
        <v>2</v>
      </c>
      <c r="F13" s="286">
        <f>IF(TotalCost!$AC13&gt;=TotalCost!F13,F$10,0)</f>
        <v>0</v>
      </c>
      <c r="G13" s="286">
        <f>IF(TotalCost!$AC13&gt;=TotalCost!G13,G$10,0)</f>
        <v>0</v>
      </c>
      <c r="H13" s="286">
        <f>IF(TotalCost!$AC13&gt;=TotalCost!H13,H$10,0)</f>
        <v>0</v>
      </c>
      <c r="I13" s="286">
        <f>IF(TotalCost!$AC13&gt;=TotalCost!I13,I$10,0)</f>
        <v>0</v>
      </c>
      <c r="J13" s="286">
        <f>IF(TotalCost!$AC13&gt;=TotalCost!J13,J$10,0)</f>
        <v>0</v>
      </c>
      <c r="K13" s="286">
        <f>IF(TotalCost!$AC13&gt;=TotalCost!K13,K$10,0)</f>
        <v>0</v>
      </c>
      <c r="L13" s="286">
        <f>IF(TotalCost!$AC13&gt;=TotalCost!L13,L$10,0)</f>
        <v>0</v>
      </c>
      <c r="M13" s="286">
        <f>IF(TotalCost!$AC13&gt;=TotalCost!M13,M$10,0)</f>
        <v>0</v>
      </c>
      <c r="N13" s="286">
        <f>IF(TotalCost!$AC13&gt;=TotalCost!N13,N$10,0)</f>
        <v>0</v>
      </c>
      <c r="O13" s="286">
        <f>IF(TotalCost!$AC13&gt;=TotalCost!O13,O$10,0)</f>
        <v>0</v>
      </c>
      <c r="P13" s="286">
        <f>IF(TotalCost!$AC13&gt;=TotalCost!P13,P$10,0)</f>
        <v>0</v>
      </c>
      <c r="Q13" s="286">
        <f>IF(TotalCost!$AC13&gt;=TotalCost!Q13,Q$10,0)</f>
        <v>0</v>
      </c>
      <c r="R13" s="286">
        <f>IF(TotalCost!$AC13&gt;=TotalCost!R13,R$10,0)</f>
        <v>0</v>
      </c>
      <c r="S13" s="286">
        <f>IF(TotalCost!$AC13&gt;=TotalCost!S13,S$10,0)</f>
        <v>0</v>
      </c>
      <c r="T13" s="286">
        <f>IF(TotalCost!$AC13&gt;=TotalCost!T13,T$10,0)</f>
        <v>0</v>
      </c>
      <c r="U13" s="286">
        <f>IF(TotalCost!$AC13&gt;=TotalCost!U13,U$10,0)</f>
        <v>0</v>
      </c>
      <c r="V13" s="286">
        <f>IF(TotalCost!$AC13&gt;=TotalCost!V13,V$10,0)</f>
        <v>0</v>
      </c>
      <c r="W13" s="286">
        <f>IF(TotalCost!$AC13&gt;=TotalCost!W13,W$10,0)</f>
        <v>0</v>
      </c>
      <c r="X13" s="286">
        <f>IF(TotalCost!$AC13&gt;=TotalCost!X13,X$10,0)</f>
        <v>0</v>
      </c>
      <c r="Y13" s="286">
        <f>IF(TotalCost!$AC13&gt;=TotalCost!Y13,Y$10,0)</f>
        <v>0</v>
      </c>
      <c r="Z13" s="286">
        <f>IF(TotalCost!$AC13&gt;=TotalCost!Z13,Z$10,0)</f>
        <v>0</v>
      </c>
      <c r="AA13" s="286">
        <f>IF(TotalCost!$AC13&gt;=TotalCost!AA13,AA$10,0)</f>
        <v>0</v>
      </c>
      <c r="AB13" s="286">
        <f>IF(TotalCost!$AC13&gt;=TotalCost!AB13,AB$10,0)</f>
        <v>0</v>
      </c>
      <c r="AC13" s="279">
        <f t="shared" si="1"/>
        <v>2</v>
      </c>
    </row>
    <row r="14" spans="1:31" x14ac:dyDescent="0.2">
      <c r="A14" s="286" t="str">
        <f>Productivity!A16</f>
        <v>Haul cover soil</v>
      </c>
      <c r="B14" s="286" t="str">
        <f>Productivity!B16</f>
        <v>NOBS</v>
      </c>
      <c r="C14" s="286" t="str">
        <f>Productivity!C16</f>
        <v xml:space="preserve">SWRDF Top </v>
      </c>
      <c r="D14" s="286" t="str">
        <f>Productivity!D16</f>
        <v>777F</v>
      </c>
      <c r="E14" s="286">
        <f>IF(TotalCost!$AC14&gt;=TotalCost!E14,E$10,0)</f>
        <v>0</v>
      </c>
      <c r="F14" s="286">
        <f>IF(TotalCost!$AC14&gt;=TotalCost!F14,F$10,0)</f>
        <v>0</v>
      </c>
      <c r="G14" s="286">
        <f>IF(TotalCost!$AC14&gt;=TotalCost!G14,G$10,0)</f>
        <v>4</v>
      </c>
      <c r="H14" s="286">
        <f>IF(TotalCost!$AC14&gt;=TotalCost!H14,H$10,0)</f>
        <v>0</v>
      </c>
      <c r="I14" s="286">
        <f>IF(TotalCost!$AC14&gt;=TotalCost!I14,I$10,0)</f>
        <v>0</v>
      </c>
      <c r="J14" s="286">
        <f>IF(TotalCost!$AC14&gt;=TotalCost!J14,J$10,0)</f>
        <v>0</v>
      </c>
      <c r="K14" s="286">
        <f>IF(TotalCost!$AC14&gt;=TotalCost!K14,K$10,0)</f>
        <v>0</v>
      </c>
      <c r="L14" s="286">
        <f>IF(TotalCost!$AC14&gt;=TotalCost!L14,L$10,0)</f>
        <v>0</v>
      </c>
      <c r="M14" s="286">
        <f>IF(TotalCost!$AC14&gt;=TotalCost!M14,M$10,0)</f>
        <v>0</v>
      </c>
      <c r="N14" s="286">
        <f>IF(TotalCost!$AC14&gt;=TotalCost!N14,N$10,0)</f>
        <v>0</v>
      </c>
      <c r="O14" s="286">
        <f>IF(TotalCost!$AC14&gt;=TotalCost!O14,O$10,0)</f>
        <v>0</v>
      </c>
      <c r="P14" s="286">
        <f>IF(TotalCost!$AC14&gt;=TotalCost!P14,P$10,0)</f>
        <v>0</v>
      </c>
      <c r="Q14" s="286">
        <f>IF(TotalCost!$AC14&gt;=TotalCost!Q14,Q$10,0)</f>
        <v>0</v>
      </c>
      <c r="R14" s="286">
        <f>IF(TotalCost!$AC14&gt;=TotalCost!R14,R$10,0)</f>
        <v>0</v>
      </c>
      <c r="S14" s="286">
        <f>IF(TotalCost!$AC14&gt;=TotalCost!S14,S$10,0)</f>
        <v>0</v>
      </c>
      <c r="T14" s="286">
        <f>IF(TotalCost!$AC14&gt;=TotalCost!T14,T$10,0)</f>
        <v>0</v>
      </c>
      <c r="U14" s="286">
        <f>IF(TotalCost!$AC14&gt;=TotalCost!U14,U$10,0)</f>
        <v>0</v>
      </c>
      <c r="V14" s="286">
        <f>IF(TotalCost!$AC14&gt;=TotalCost!V14,V$10,0)</f>
        <v>0</v>
      </c>
      <c r="W14" s="286">
        <f>IF(TotalCost!$AC14&gt;=TotalCost!W14,W$10,0)</f>
        <v>0</v>
      </c>
      <c r="X14" s="286">
        <f>IF(TotalCost!$AC14&gt;=TotalCost!X14,X$10,0)</f>
        <v>0</v>
      </c>
      <c r="Y14" s="286">
        <f>IF(TotalCost!$AC14&gt;=TotalCost!Y14,Y$10,0)</f>
        <v>0</v>
      </c>
      <c r="Z14" s="286">
        <f>IF(TotalCost!$AC14&gt;=TotalCost!Z14,Z$10,0)</f>
        <v>0</v>
      </c>
      <c r="AA14" s="286">
        <f>IF(TotalCost!$AC14&gt;=TotalCost!AA14,AA$10,0)</f>
        <v>0</v>
      </c>
      <c r="AB14" s="286">
        <f>IF(TotalCost!$AC14&gt;=TotalCost!AB14,AB$10,0)</f>
        <v>0</v>
      </c>
      <c r="AC14" s="279">
        <f t="shared" si="1"/>
        <v>4</v>
      </c>
    </row>
    <row r="15" spans="1:31" x14ac:dyDescent="0.2">
      <c r="A15" s="286" t="str">
        <f>Productivity!A17</f>
        <v>Haul cover soil</v>
      </c>
      <c r="B15" s="286" t="str">
        <f>Productivity!B17</f>
        <v>NOBS</v>
      </c>
      <c r="C15" s="286" t="str">
        <f>Productivity!C17</f>
        <v>Hanover Mountain Deposit</v>
      </c>
      <c r="D15" s="286" t="str">
        <f>Productivity!D17</f>
        <v>777F</v>
      </c>
      <c r="E15" s="286">
        <f>IF(TotalCost!$AC15&gt;=TotalCost!E15,E$10,0)</f>
        <v>0</v>
      </c>
      <c r="F15" s="286">
        <f>IF(TotalCost!$AC15&gt;=TotalCost!F15,F$10,0)</f>
        <v>3</v>
      </c>
      <c r="G15" s="286">
        <f>IF(TotalCost!$AC15&gt;=TotalCost!G15,G$10,0)</f>
        <v>0</v>
      </c>
      <c r="H15" s="286">
        <f>IF(TotalCost!$AC15&gt;=TotalCost!H15,H$10,0)</f>
        <v>0</v>
      </c>
      <c r="I15" s="286">
        <f>IF(TotalCost!$AC15&gt;=TotalCost!I15,I$10,0)</f>
        <v>0</v>
      </c>
      <c r="J15" s="286">
        <f>IF(TotalCost!$AC15&gt;=TotalCost!J15,J$10,0)</f>
        <v>0</v>
      </c>
      <c r="K15" s="286">
        <f>IF(TotalCost!$AC15&gt;=TotalCost!K15,K$10,0)</f>
        <v>0</v>
      </c>
      <c r="L15" s="286">
        <f>IF(TotalCost!$AC15&gt;=TotalCost!L15,L$10,0)</f>
        <v>0</v>
      </c>
      <c r="M15" s="286">
        <f>IF(TotalCost!$AC15&gt;=TotalCost!M15,M$10,0)</f>
        <v>0</v>
      </c>
      <c r="N15" s="286">
        <f>IF(TotalCost!$AC15&gt;=TotalCost!N15,N$10,0)</f>
        <v>0</v>
      </c>
      <c r="O15" s="286">
        <f>IF(TotalCost!$AC15&gt;=TotalCost!O15,O$10,0)</f>
        <v>0</v>
      </c>
      <c r="P15" s="286">
        <f>IF(TotalCost!$AC15&gt;=TotalCost!P15,P$10,0)</f>
        <v>0</v>
      </c>
      <c r="Q15" s="286">
        <f>IF(TotalCost!$AC15&gt;=TotalCost!Q15,Q$10,0)</f>
        <v>0</v>
      </c>
      <c r="R15" s="286">
        <f>IF(TotalCost!$AC15&gt;=TotalCost!R15,R$10,0)</f>
        <v>0</v>
      </c>
      <c r="S15" s="286">
        <f>IF(TotalCost!$AC15&gt;=TotalCost!S15,S$10,0)</f>
        <v>0</v>
      </c>
      <c r="T15" s="286">
        <f>IF(TotalCost!$AC15&gt;=TotalCost!T15,T$10,0)</f>
        <v>0</v>
      </c>
      <c r="U15" s="286">
        <f>IF(TotalCost!$AC15&gt;=TotalCost!U15,U$10,0)</f>
        <v>0</v>
      </c>
      <c r="V15" s="286">
        <f>IF(TotalCost!$AC15&gt;=TotalCost!V15,V$10,0)</f>
        <v>0</v>
      </c>
      <c r="W15" s="286">
        <f>IF(TotalCost!$AC15&gt;=TotalCost!W15,W$10,0)</f>
        <v>0</v>
      </c>
      <c r="X15" s="286">
        <f>IF(TotalCost!$AC15&gt;=TotalCost!X15,X$10,0)</f>
        <v>0</v>
      </c>
      <c r="Y15" s="286">
        <f>IF(TotalCost!$AC15&gt;=TotalCost!Y15,Y$10,0)</f>
        <v>0</v>
      </c>
      <c r="Z15" s="286">
        <f>IF(TotalCost!$AC15&gt;=TotalCost!Z15,Z$10,0)</f>
        <v>0</v>
      </c>
      <c r="AA15" s="286">
        <f>IF(TotalCost!$AC15&gt;=TotalCost!AA15,AA$10,0)</f>
        <v>0</v>
      </c>
      <c r="AB15" s="286">
        <f>IF(TotalCost!$AC15&gt;=TotalCost!AB15,AB$10,0)</f>
        <v>0</v>
      </c>
      <c r="AC15" s="279">
        <f t="shared" si="1"/>
        <v>3</v>
      </c>
    </row>
    <row r="16" spans="1:31" x14ac:dyDescent="0.2">
      <c r="A16" s="286" t="str">
        <f>Productivity!A18</f>
        <v>Haul cover soil</v>
      </c>
      <c r="B16" s="286" t="str">
        <f>Productivity!B18</f>
        <v>OB Stockpile 1 through 3, Topsoil Stockpile, South OB Stockpile</v>
      </c>
      <c r="C16" s="286" t="str">
        <f>Productivity!C18</f>
        <v>Pearson-Barnes Mine Area</v>
      </c>
      <c r="D16" s="286" t="str">
        <f>Productivity!D18</f>
        <v>777F</v>
      </c>
      <c r="E16" s="286">
        <f>IF(TotalCost!$AC16&gt;=TotalCost!E16,E$10,0)</f>
        <v>2</v>
      </c>
      <c r="F16" s="286">
        <f>IF(TotalCost!$AC16&gt;=TotalCost!F16,F$10,0)</f>
        <v>0</v>
      </c>
      <c r="G16" s="286">
        <f>IF(TotalCost!$AC16&gt;=TotalCost!G16,G$10,0)</f>
        <v>0</v>
      </c>
      <c r="H16" s="286">
        <f>IF(TotalCost!$AC16&gt;=TotalCost!H16,H$10,0)</f>
        <v>0</v>
      </c>
      <c r="I16" s="286">
        <f>IF(TotalCost!$AC16&gt;=TotalCost!I16,I$10,0)</f>
        <v>0</v>
      </c>
      <c r="J16" s="286">
        <f>IF(TotalCost!$AC16&gt;=TotalCost!J16,J$10,0)</f>
        <v>0</v>
      </c>
      <c r="K16" s="286">
        <f>IF(TotalCost!$AC16&gt;=TotalCost!K16,K$10,0)</f>
        <v>0</v>
      </c>
      <c r="L16" s="286">
        <f>IF(TotalCost!$AC16&gt;=TotalCost!L16,L$10,0)</f>
        <v>0</v>
      </c>
      <c r="M16" s="286">
        <f>IF(TotalCost!$AC16&gt;=TotalCost!M16,M$10,0)</f>
        <v>0</v>
      </c>
      <c r="N16" s="286">
        <f>IF(TotalCost!$AC16&gt;=TotalCost!N16,N$10,0)</f>
        <v>0</v>
      </c>
      <c r="O16" s="286">
        <f>IF(TotalCost!$AC16&gt;=TotalCost!O16,O$10,0)</f>
        <v>0</v>
      </c>
      <c r="P16" s="286">
        <f>IF(TotalCost!$AC16&gt;=TotalCost!P16,P$10,0)</f>
        <v>0</v>
      </c>
      <c r="Q16" s="286">
        <f>IF(TotalCost!$AC16&gt;=TotalCost!Q16,Q$10,0)</f>
        <v>0</v>
      </c>
      <c r="R16" s="286">
        <f>IF(TotalCost!$AC16&gt;=TotalCost!R16,R$10,0)</f>
        <v>0</v>
      </c>
      <c r="S16" s="286">
        <f>IF(TotalCost!$AC16&gt;=TotalCost!S16,S$10,0)</f>
        <v>0</v>
      </c>
      <c r="T16" s="286">
        <f>IF(TotalCost!$AC16&gt;=TotalCost!T16,T$10,0)</f>
        <v>0</v>
      </c>
      <c r="U16" s="286">
        <f>IF(TotalCost!$AC16&gt;=TotalCost!U16,U$10,0)</f>
        <v>0</v>
      </c>
      <c r="V16" s="286">
        <f>IF(TotalCost!$AC16&gt;=TotalCost!V16,V$10,0)</f>
        <v>0</v>
      </c>
      <c r="W16" s="286">
        <f>IF(TotalCost!$AC16&gt;=TotalCost!W16,W$10,0)</f>
        <v>0</v>
      </c>
      <c r="X16" s="286">
        <f>IF(TotalCost!$AC16&gt;=TotalCost!X16,X$10,0)</f>
        <v>0</v>
      </c>
      <c r="Y16" s="286">
        <f>IF(TotalCost!$AC16&gt;=TotalCost!Y16,Y$10,0)</f>
        <v>0</v>
      </c>
      <c r="Z16" s="286">
        <f>IF(TotalCost!$AC16&gt;=TotalCost!Z16,Z$10,0)</f>
        <v>0</v>
      </c>
      <c r="AA16" s="286">
        <f>IF(TotalCost!$AC16&gt;=TotalCost!AA16,AA$10,0)</f>
        <v>0</v>
      </c>
      <c r="AB16" s="286">
        <f>IF(TotalCost!$AC16&gt;=TotalCost!AB16,AB$10,0)</f>
        <v>0</v>
      </c>
      <c r="AC16" s="279">
        <f>SUM(E16:AB16)</f>
        <v>2</v>
      </c>
    </row>
    <row r="17" spans="1:29" x14ac:dyDescent="0.2">
      <c r="A17" s="286" t="str">
        <f>Productivity!A19</f>
        <v>Haul cover soil</v>
      </c>
      <c r="B17" s="286" t="str">
        <f>Productivity!B19</f>
        <v>OB-4 Stockpile</v>
      </c>
      <c r="C17" s="286" t="str">
        <f>Productivity!C19</f>
        <v>Low Grade WRF</v>
      </c>
      <c r="D17" s="286" t="str">
        <f>Productivity!D19</f>
        <v>777F</v>
      </c>
      <c r="E17" s="286">
        <f>IF(TotalCost!$AC17&gt;=TotalCost!E17,E$10,0)</f>
        <v>2</v>
      </c>
      <c r="F17" s="286">
        <f>IF(TotalCost!$AC17&gt;=TotalCost!F17,F$10,0)</f>
        <v>0</v>
      </c>
      <c r="G17" s="286">
        <f>IF(TotalCost!$AC17&gt;=TotalCost!G17,G$10,0)</f>
        <v>0</v>
      </c>
      <c r="H17" s="286">
        <f>IF(TotalCost!$AC17&gt;=TotalCost!H17,H$10,0)</f>
        <v>0</v>
      </c>
      <c r="I17" s="286">
        <f>IF(TotalCost!$AC17&gt;=TotalCost!I17,I$10,0)</f>
        <v>0</v>
      </c>
      <c r="J17" s="286">
        <f>IF(TotalCost!$AC17&gt;=TotalCost!J17,J$10,0)</f>
        <v>0</v>
      </c>
      <c r="K17" s="286">
        <f>IF(TotalCost!$AC17&gt;=TotalCost!K17,K$10,0)</f>
        <v>0</v>
      </c>
      <c r="L17" s="286">
        <f>IF(TotalCost!$AC17&gt;=TotalCost!L17,L$10,0)</f>
        <v>0</v>
      </c>
      <c r="M17" s="286">
        <f>IF(TotalCost!$AC17&gt;=TotalCost!M17,M$10,0)</f>
        <v>0</v>
      </c>
      <c r="N17" s="286">
        <f>IF(TotalCost!$AC17&gt;=TotalCost!N17,N$10,0)</f>
        <v>0</v>
      </c>
      <c r="O17" s="286">
        <f>IF(TotalCost!$AC17&gt;=TotalCost!O17,O$10,0)</f>
        <v>0</v>
      </c>
      <c r="P17" s="286">
        <f>IF(TotalCost!$AC17&gt;=TotalCost!P17,P$10,0)</f>
        <v>0</v>
      </c>
      <c r="Q17" s="286">
        <f>IF(TotalCost!$AC17&gt;=TotalCost!Q17,Q$10,0)</f>
        <v>0</v>
      </c>
      <c r="R17" s="286">
        <f>IF(TotalCost!$AC17&gt;=TotalCost!R17,R$10,0)</f>
        <v>0</v>
      </c>
      <c r="S17" s="286">
        <f>IF(TotalCost!$AC17&gt;=TotalCost!S17,S$10,0)</f>
        <v>0</v>
      </c>
      <c r="T17" s="286">
        <f>IF(TotalCost!$AC17&gt;=TotalCost!T17,T$10,0)</f>
        <v>0</v>
      </c>
      <c r="U17" s="286">
        <f>IF(TotalCost!$AC17&gt;=TotalCost!U17,U$10,0)</f>
        <v>0</v>
      </c>
      <c r="V17" s="286">
        <f>IF(TotalCost!$AC17&gt;=TotalCost!V17,V$10,0)</f>
        <v>0</v>
      </c>
      <c r="W17" s="286">
        <f>IF(TotalCost!$AC17&gt;=TotalCost!W17,W$10,0)</f>
        <v>0</v>
      </c>
      <c r="X17" s="286">
        <f>IF(TotalCost!$AC17&gt;=TotalCost!X17,X$10,0)</f>
        <v>0</v>
      </c>
      <c r="Y17" s="286">
        <f>IF(TotalCost!$AC17&gt;=TotalCost!Y17,Y$10,0)</f>
        <v>0</v>
      </c>
      <c r="Z17" s="286">
        <f>IF(TotalCost!$AC17&gt;=TotalCost!Z17,Z$10,0)</f>
        <v>0</v>
      </c>
      <c r="AA17" s="286">
        <f>IF(TotalCost!$AC17&gt;=TotalCost!AA17,AA$10,0)</f>
        <v>0</v>
      </c>
      <c r="AB17" s="286">
        <f>IF(TotalCost!$AC17&gt;=TotalCost!AB17,AB$10,0)</f>
        <v>0</v>
      </c>
      <c r="AC17" s="279">
        <f t="shared" si="1"/>
        <v>2</v>
      </c>
    </row>
    <row r="18" spans="1:29" x14ac:dyDescent="0.2">
      <c r="A18" s="286" t="str">
        <f>Productivity!A20</f>
        <v>Haul cover soil</v>
      </c>
      <c r="B18" s="286" t="str">
        <f>Productivity!B20</f>
        <v>NOBS</v>
      </c>
      <c r="C18" s="286" t="str">
        <f>Productivity!C20</f>
        <v>MTI Reclaim Pond</v>
      </c>
      <c r="D18" s="286" t="str">
        <f>Productivity!D20</f>
        <v>777F</v>
      </c>
      <c r="E18" s="286">
        <f>IF(TotalCost!$AC18&gt;=TotalCost!E18,E$10,0)</f>
        <v>0</v>
      </c>
      <c r="F18" s="286">
        <f>IF(TotalCost!$AC18&gt;=TotalCost!F18,F$10,0)</f>
        <v>0</v>
      </c>
      <c r="G18" s="286">
        <f>IF(TotalCost!$AC18&gt;=TotalCost!G18,G$10,0)</f>
        <v>4</v>
      </c>
      <c r="H18" s="286">
        <f>IF(TotalCost!$AC18&gt;=TotalCost!H18,H$10,0)</f>
        <v>0</v>
      </c>
      <c r="I18" s="286">
        <f>IF(TotalCost!$AC18&gt;=TotalCost!I18,I$10,0)</f>
        <v>0</v>
      </c>
      <c r="J18" s="286">
        <f>IF(TotalCost!$AC18&gt;=TotalCost!J18,J$10,0)</f>
        <v>0</v>
      </c>
      <c r="K18" s="286">
        <f>IF(TotalCost!$AC18&gt;=TotalCost!K18,K$10,0)</f>
        <v>0</v>
      </c>
      <c r="L18" s="286">
        <f>IF(TotalCost!$AC18&gt;=TotalCost!L18,L$10,0)</f>
        <v>0</v>
      </c>
      <c r="M18" s="286">
        <f>IF(TotalCost!$AC18&gt;=TotalCost!M18,M$10,0)</f>
        <v>0</v>
      </c>
      <c r="N18" s="286">
        <f>IF(TotalCost!$AC18&gt;=TotalCost!N18,N$10,0)</f>
        <v>0</v>
      </c>
      <c r="O18" s="286">
        <f>IF(TotalCost!$AC18&gt;=TotalCost!O18,O$10,0)</f>
        <v>0</v>
      </c>
      <c r="P18" s="286">
        <f>IF(TotalCost!$AC18&gt;=TotalCost!P18,P$10,0)</f>
        <v>0</v>
      </c>
      <c r="Q18" s="286">
        <f>IF(TotalCost!$AC18&gt;=TotalCost!Q18,Q$10,0)</f>
        <v>0</v>
      </c>
      <c r="R18" s="286">
        <f>IF(TotalCost!$AC18&gt;=TotalCost!R18,R$10,0)</f>
        <v>0</v>
      </c>
      <c r="S18" s="286">
        <f>IF(TotalCost!$AC18&gt;=TotalCost!S18,S$10,0)</f>
        <v>0</v>
      </c>
      <c r="T18" s="286">
        <f>IF(TotalCost!$AC18&gt;=TotalCost!T18,T$10,0)</f>
        <v>0</v>
      </c>
      <c r="U18" s="286">
        <f>IF(TotalCost!$AC18&gt;=TotalCost!U18,U$10,0)</f>
        <v>0</v>
      </c>
      <c r="V18" s="286">
        <f>IF(TotalCost!$AC18&gt;=TotalCost!V18,V$10,0)</f>
        <v>0</v>
      </c>
      <c r="W18" s="286">
        <f>IF(TotalCost!$AC18&gt;=TotalCost!W18,W$10,0)</f>
        <v>0</v>
      </c>
      <c r="X18" s="286">
        <f>IF(TotalCost!$AC18&gt;=TotalCost!X18,X$10,0)</f>
        <v>0</v>
      </c>
      <c r="Y18" s="286">
        <f>IF(TotalCost!$AC18&gt;=TotalCost!Y18,Y$10,0)</f>
        <v>0</v>
      </c>
      <c r="Z18" s="286">
        <f>IF(TotalCost!$AC18&gt;=TotalCost!Z18,Z$10,0)</f>
        <v>0</v>
      </c>
      <c r="AA18" s="286">
        <f>IF(TotalCost!$AC18&gt;=TotalCost!AA18,AA$10,0)</f>
        <v>0</v>
      </c>
      <c r="AB18" s="286">
        <f>IF(TotalCost!$AC18&gt;=TotalCost!AB18,AB$10,0)</f>
        <v>0</v>
      </c>
      <c r="AC18" s="279">
        <f t="shared" si="1"/>
        <v>4</v>
      </c>
    </row>
    <row r="19" spans="1:29" x14ac:dyDescent="0.2">
      <c r="A19" s="286" t="str">
        <f>Productivity!A21</f>
        <v>Haul cover soil</v>
      </c>
      <c r="B19" s="286" t="str">
        <f>Productivity!B21</f>
        <v>NOBS</v>
      </c>
      <c r="C19" s="286" t="str">
        <f>Productivity!C21</f>
        <v>MTI  Top</v>
      </c>
      <c r="D19" s="286" t="str">
        <f>Productivity!D21</f>
        <v>777F</v>
      </c>
      <c r="E19" s="286">
        <f>IF(TotalCost!$AC19&gt;=TotalCost!E19,E$10,0)</f>
        <v>0</v>
      </c>
      <c r="F19" s="286">
        <f>IF(TotalCost!$AC19&gt;=TotalCost!F19,F$10,0)</f>
        <v>0</v>
      </c>
      <c r="G19" s="286">
        <f>IF(TotalCost!$AC19&gt;=TotalCost!G19,G$10,0)</f>
        <v>4</v>
      </c>
      <c r="H19" s="286">
        <f>IF(TotalCost!$AC19&gt;=TotalCost!H19,H$10,0)</f>
        <v>0</v>
      </c>
      <c r="I19" s="286">
        <f>IF(TotalCost!$AC19&gt;=TotalCost!I19,I$10,0)</f>
        <v>0</v>
      </c>
      <c r="J19" s="286">
        <f>IF(TotalCost!$AC19&gt;=TotalCost!J19,J$10,0)</f>
        <v>0</v>
      </c>
      <c r="K19" s="286">
        <f>IF(TotalCost!$AC19&gt;=TotalCost!K19,K$10,0)</f>
        <v>0</v>
      </c>
      <c r="L19" s="286">
        <f>IF(TotalCost!$AC19&gt;=TotalCost!L19,L$10,0)</f>
        <v>0</v>
      </c>
      <c r="M19" s="286">
        <f>IF(TotalCost!$AC19&gt;=TotalCost!M19,M$10,0)</f>
        <v>0</v>
      </c>
      <c r="N19" s="286">
        <f>IF(TotalCost!$AC19&gt;=TotalCost!N19,N$10,0)</f>
        <v>0</v>
      </c>
      <c r="O19" s="286">
        <f>IF(TotalCost!$AC19&gt;=TotalCost!O19,O$10,0)</f>
        <v>0</v>
      </c>
      <c r="P19" s="286">
        <f>IF(TotalCost!$AC19&gt;=TotalCost!P19,P$10,0)</f>
        <v>0</v>
      </c>
      <c r="Q19" s="286">
        <f>IF(TotalCost!$AC19&gt;=TotalCost!Q19,Q$10,0)</f>
        <v>0</v>
      </c>
      <c r="R19" s="286">
        <f>IF(TotalCost!$AC19&gt;=TotalCost!R19,R$10,0)</f>
        <v>0</v>
      </c>
      <c r="S19" s="286">
        <f>IF(TotalCost!$AC19&gt;=TotalCost!S19,S$10,0)</f>
        <v>0</v>
      </c>
      <c r="T19" s="286">
        <f>IF(TotalCost!$AC19&gt;=TotalCost!T19,T$10,0)</f>
        <v>0</v>
      </c>
      <c r="U19" s="286">
        <f>IF(TotalCost!$AC19&gt;=TotalCost!U19,U$10,0)</f>
        <v>0</v>
      </c>
      <c r="V19" s="286">
        <f>IF(TotalCost!$AC19&gt;=TotalCost!V19,V$10,0)</f>
        <v>0</v>
      </c>
      <c r="W19" s="286">
        <f>IF(TotalCost!$AC19&gt;=TotalCost!W19,W$10,0)</f>
        <v>0</v>
      </c>
      <c r="X19" s="286">
        <f>IF(TotalCost!$AC19&gt;=TotalCost!X19,X$10,0)</f>
        <v>0</v>
      </c>
      <c r="Y19" s="286">
        <f>IF(TotalCost!$AC19&gt;=TotalCost!Y19,Y$10,0)</f>
        <v>0</v>
      </c>
      <c r="Z19" s="286">
        <f>IF(TotalCost!$AC19&gt;=TotalCost!Z19,Z$10,0)</f>
        <v>0</v>
      </c>
      <c r="AA19" s="286">
        <f>IF(TotalCost!$AC19&gt;=TotalCost!AA19,AA$10,0)</f>
        <v>0</v>
      </c>
      <c r="AB19" s="286">
        <f>IF(TotalCost!$AC19&gt;=TotalCost!AB19,AB$10,0)</f>
        <v>0</v>
      </c>
      <c r="AC19" s="279">
        <f t="shared" si="1"/>
        <v>4</v>
      </c>
    </row>
    <row r="20" spans="1:29" x14ac:dyDescent="0.2">
      <c r="A20" s="286" t="str">
        <f>Productivity!A22</f>
        <v>Haul cover soil</v>
      </c>
      <c r="B20" s="286" t="str">
        <f>Productivity!B22</f>
        <v>NOBS</v>
      </c>
      <c r="C20" s="286" t="str">
        <f>Productivity!C22</f>
        <v>MTI  Outslope</v>
      </c>
      <c r="D20" s="286" t="str">
        <f>Productivity!D22</f>
        <v>777F</v>
      </c>
      <c r="E20" s="286">
        <f>IF(TotalCost!$AC20&gt;=TotalCost!E20,E$10,0)</f>
        <v>0</v>
      </c>
      <c r="F20" s="286">
        <f>IF(TotalCost!$AC20&gt;=TotalCost!F20,F$10,0)</f>
        <v>0</v>
      </c>
      <c r="G20" s="286">
        <f>IF(TotalCost!$AC20&gt;=TotalCost!G20,G$10,0)</f>
        <v>4</v>
      </c>
      <c r="H20" s="286">
        <f>IF(TotalCost!$AC20&gt;=TotalCost!H20,H$10,0)</f>
        <v>0</v>
      </c>
      <c r="I20" s="286">
        <f>IF(TotalCost!$AC20&gt;=TotalCost!I20,I$10,0)</f>
        <v>0</v>
      </c>
      <c r="J20" s="286">
        <f>IF(TotalCost!$AC20&gt;=TotalCost!J20,J$10,0)</f>
        <v>0</v>
      </c>
      <c r="K20" s="286">
        <f>IF(TotalCost!$AC20&gt;=TotalCost!K20,K$10,0)</f>
        <v>0</v>
      </c>
      <c r="L20" s="286">
        <f>IF(TotalCost!$AC20&gt;=TotalCost!L20,L$10,0)</f>
        <v>0</v>
      </c>
      <c r="M20" s="286">
        <f>IF(TotalCost!$AC20&gt;=TotalCost!M20,M$10,0)</f>
        <v>0</v>
      </c>
      <c r="N20" s="286">
        <f>IF(TotalCost!$AC20&gt;=TotalCost!N20,N$10,0)</f>
        <v>0</v>
      </c>
      <c r="O20" s="286">
        <f>IF(TotalCost!$AC20&gt;=TotalCost!O20,O$10,0)</f>
        <v>0</v>
      </c>
      <c r="P20" s="286">
        <f>IF(TotalCost!$AC20&gt;=TotalCost!P20,P$10,0)</f>
        <v>0</v>
      </c>
      <c r="Q20" s="286">
        <f>IF(TotalCost!$AC20&gt;=TotalCost!Q20,Q$10,0)</f>
        <v>0</v>
      </c>
      <c r="R20" s="286">
        <f>IF(TotalCost!$AC20&gt;=TotalCost!R20,R$10,0)</f>
        <v>0</v>
      </c>
      <c r="S20" s="286">
        <f>IF(TotalCost!$AC20&gt;=TotalCost!S20,S$10,0)</f>
        <v>0</v>
      </c>
      <c r="T20" s="286">
        <f>IF(TotalCost!$AC20&gt;=TotalCost!T20,T$10,0)</f>
        <v>0</v>
      </c>
      <c r="U20" s="286">
        <f>IF(TotalCost!$AC20&gt;=TotalCost!U20,U$10,0)</f>
        <v>0</v>
      </c>
      <c r="V20" s="286">
        <f>IF(TotalCost!$AC20&gt;=TotalCost!V20,V$10,0)</f>
        <v>0</v>
      </c>
      <c r="W20" s="286">
        <f>IF(TotalCost!$AC20&gt;=TotalCost!W20,W$10,0)</f>
        <v>0</v>
      </c>
      <c r="X20" s="286">
        <f>IF(TotalCost!$AC20&gt;=TotalCost!X20,X$10,0)</f>
        <v>0</v>
      </c>
      <c r="Y20" s="286">
        <f>IF(TotalCost!$AC20&gt;=TotalCost!Y20,Y$10,0)</f>
        <v>0</v>
      </c>
      <c r="Z20" s="286">
        <f>IF(TotalCost!$AC20&gt;=TotalCost!Z20,Z$10,0)</f>
        <v>0</v>
      </c>
      <c r="AA20" s="286">
        <f>IF(TotalCost!$AC20&gt;=TotalCost!AA20,AA$10,0)</f>
        <v>0</v>
      </c>
      <c r="AB20" s="286">
        <f>IF(TotalCost!$AC20&gt;=TotalCost!AB20,AB$10,0)</f>
        <v>0</v>
      </c>
      <c r="AC20" s="279">
        <f t="shared" ref="AC20" si="2">SUM(E20:AB20)</f>
        <v>4</v>
      </c>
    </row>
    <row r="21" spans="1:29" x14ac:dyDescent="0.2">
      <c r="A21" s="286" t="str">
        <f>Productivity!A23</f>
        <v>Haul cover soil</v>
      </c>
      <c r="B21" s="286" t="str">
        <f>Productivity!B23</f>
        <v>Reclaim Pond Outlet Channel</v>
      </c>
      <c r="C21" s="286" t="str">
        <f>Productivity!C23</f>
        <v>MTI  Top</v>
      </c>
      <c r="D21" s="286" t="str">
        <f>Productivity!D23</f>
        <v>777F</v>
      </c>
      <c r="E21" s="286">
        <f>IF(TotalCost!$AC21&gt;=TotalCost!E21,E$10,0)</f>
        <v>2</v>
      </c>
      <c r="F21" s="286">
        <f>IF(TotalCost!$AC21&gt;=TotalCost!F21,F$10,0)</f>
        <v>0</v>
      </c>
      <c r="G21" s="286">
        <f>IF(TotalCost!$AC21&gt;=TotalCost!G21,G$10,0)</f>
        <v>0</v>
      </c>
      <c r="H21" s="286">
        <f>IF(TotalCost!$AC21&gt;=TotalCost!H21,H$10,0)</f>
        <v>0</v>
      </c>
      <c r="I21" s="286">
        <f>IF(TotalCost!$AC21&gt;=TotalCost!I21,I$10,0)</f>
        <v>0</v>
      </c>
      <c r="J21" s="286">
        <f>IF(TotalCost!$AC21&gt;=TotalCost!J21,J$10,0)</f>
        <v>0</v>
      </c>
      <c r="K21" s="286">
        <f>IF(TotalCost!$AC21&gt;=TotalCost!K21,K$10,0)</f>
        <v>0</v>
      </c>
      <c r="L21" s="286">
        <f>IF(TotalCost!$AC21&gt;=TotalCost!L21,L$10,0)</f>
        <v>0</v>
      </c>
      <c r="M21" s="286">
        <f>IF(TotalCost!$AC21&gt;=TotalCost!M21,M$10,0)</f>
        <v>0</v>
      </c>
      <c r="N21" s="286">
        <f>IF(TotalCost!$AC21&gt;=TotalCost!N21,N$10,0)</f>
        <v>0</v>
      </c>
      <c r="O21" s="286">
        <f>IF(TotalCost!$AC21&gt;=TotalCost!O21,O$10,0)</f>
        <v>0</v>
      </c>
      <c r="P21" s="286">
        <f>IF(TotalCost!$AC21&gt;=TotalCost!P21,P$10,0)</f>
        <v>0</v>
      </c>
      <c r="Q21" s="286">
        <f>IF(TotalCost!$AC21&gt;=TotalCost!Q21,Q$10,0)</f>
        <v>0</v>
      </c>
      <c r="R21" s="286">
        <f>IF(TotalCost!$AC21&gt;=TotalCost!R21,R$10,0)</f>
        <v>0</v>
      </c>
      <c r="S21" s="286">
        <f>IF(TotalCost!$AC21&gt;=TotalCost!S21,S$10,0)</f>
        <v>0</v>
      </c>
      <c r="T21" s="286">
        <f>IF(TotalCost!$AC21&gt;=TotalCost!T21,T$10,0)</f>
        <v>0</v>
      </c>
      <c r="U21" s="286">
        <f>IF(TotalCost!$AC21&gt;=TotalCost!U21,U$10,0)</f>
        <v>0</v>
      </c>
      <c r="V21" s="286">
        <f>IF(TotalCost!$AC21&gt;=TotalCost!V21,V$10,0)</f>
        <v>0</v>
      </c>
      <c r="W21" s="286">
        <f>IF(TotalCost!$AC21&gt;=TotalCost!W21,W$10,0)</f>
        <v>0</v>
      </c>
      <c r="X21" s="286">
        <f>IF(TotalCost!$AC21&gt;=TotalCost!X21,X$10,0)</f>
        <v>0</v>
      </c>
      <c r="Y21" s="286">
        <f>IF(TotalCost!$AC21&gt;=TotalCost!Y21,Y$10,0)</f>
        <v>0</v>
      </c>
      <c r="Z21" s="286">
        <f>IF(TotalCost!$AC21&gt;=TotalCost!Z21,Z$10,0)</f>
        <v>0</v>
      </c>
      <c r="AA21" s="286">
        <f>IF(TotalCost!$AC21&gt;=TotalCost!AA21,AA$10,0)</f>
        <v>0</v>
      </c>
      <c r="AB21" s="286">
        <f>IF(TotalCost!$AC21&gt;=TotalCost!AB21,AB$10,0)</f>
        <v>0</v>
      </c>
      <c r="AC21" s="279">
        <f t="shared" si="1"/>
        <v>2</v>
      </c>
    </row>
    <row r="22" spans="1:29" x14ac:dyDescent="0.2">
      <c r="A22" s="286" t="str">
        <f>Productivity!A24</f>
        <v>Haul cover soil</v>
      </c>
      <c r="B22" s="286" t="str">
        <f>Productivity!B24</f>
        <v>NOBS</v>
      </c>
      <c r="C22" s="286" t="str">
        <f>Productivity!C24</f>
        <v>Tailing Pipeline Corridor</v>
      </c>
      <c r="D22" s="286" t="str">
        <f>Productivity!D24</f>
        <v>777F</v>
      </c>
      <c r="E22" s="286">
        <f>IF(TotalCost!$AC22&gt;=TotalCost!E22,E$10,0)</f>
        <v>0</v>
      </c>
      <c r="F22" s="286">
        <f>IF(TotalCost!$AC22&gt;=TotalCost!F22,F$10,0)</f>
        <v>0</v>
      </c>
      <c r="G22" s="286">
        <f>IF(TotalCost!$AC22&gt;=TotalCost!G22,G$10,0)</f>
        <v>4</v>
      </c>
      <c r="H22" s="286">
        <f>IF(TotalCost!$AC22&gt;=TotalCost!H22,H$10,0)</f>
        <v>0</v>
      </c>
      <c r="I22" s="286">
        <f>IF(TotalCost!$AC22&gt;=TotalCost!I22,I$10,0)</f>
        <v>0</v>
      </c>
      <c r="J22" s="286">
        <f>IF(TotalCost!$AC22&gt;=TotalCost!J22,J$10,0)</f>
        <v>0</v>
      </c>
      <c r="K22" s="286">
        <f>IF(TotalCost!$AC22&gt;=TotalCost!K22,K$10,0)</f>
        <v>0</v>
      </c>
      <c r="L22" s="286">
        <f>IF(TotalCost!$AC22&gt;=TotalCost!L22,L$10,0)</f>
        <v>0</v>
      </c>
      <c r="M22" s="286">
        <f>IF(TotalCost!$AC22&gt;=TotalCost!M22,M$10,0)</f>
        <v>0</v>
      </c>
      <c r="N22" s="286">
        <f>IF(TotalCost!$AC22&gt;=TotalCost!N22,N$10,0)</f>
        <v>0</v>
      </c>
      <c r="O22" s="286">
        <f>IF(TotalCost!$AC22&gt;=TotalCost!O22,O$10,0)</f>
        <v>0</v>
      </c>
      <c r="P22" s="286">
        <f>IF(TotalCost!$AC22&gt;=TotalCost!P22,P$10,0)</f>
        <v>0</v>
      </c>
      <c r="Q22" s="286">
        <f>IF(TotalCost!$AC22&gt;=TotalCost!Q22,Q$10,0)</f>
        <v>0</v>
      </c>
      <c r="R22" s="286">
        <f>IF(TotalCost!$AC22&gt;=TotalCost!R22,R$10,0)</f>
        <v>0</v>
      </c>
      <c r="S22" s="286">
        <f>IF(TotalCost!$AC22&gt;=TotalCost!S22,S$10,0)</f>
        <v>0</v>
      </c>
      <c r="T22" s="286">
        <f>IF(TotalCost!$AC22&gt;=TotalCost!T22,T$10,0)</f>
        <v>0</v>
      </c>
      <c r="U22" s="286">
        <f>IF(TotalCost!$AC22&gt;=TotalCost!U22,U$10,0)</f>
        <v>0</v>
      </c>
      <c r="V22" s="286">
        <f>IF(TotalCost!$AC22&gt;=TotalCost!V22,V$10,0)</f>
        <v>0</v>
      </c>
      <c r="W22" s="286">
        <f>IF(TotalCost!$AC22&gt;=TotalCost!W22,W$10,0)</f>
        <v>0</v>
      </c>
      <c r="X22" s="286">
        <f>IF(TotalCost!$AC22&gt;=TotalCost!X22,X$10,0)</f>
        <v>0</v>
      </c>
      <c r="Y22" s="286">
        <f>IF(TotalCost!$AC22&gt;=TotalCost!Y22,Y$10,0)</f>
        <v>0</v>
      </c>
      <c r="Z22" s="286">
        <f>IF(TotalCost!$AC22&gt;=TotalCost!Z22,Z$10,0)</f>
        <v>0</v>
      </c>
      <c r="AA22" s="286">
        <f>IF(TotalCost!$AC22&gt;=TotalCost!AA22,AA$10,0)</f>
        <v>0</v>
      </c>
      <c r="AB22" s="286">
        <f>IF(TotalCost!$AC22&gt;=TotalCost!AB22,AB$10,0)</f>
        <v>0</v>
      </c>
      <c r="AC22" s="279">
        <f>SUM(E22:AB22)</f>
        <v>4</v>
      </c>
    </row>
    <row r="23" spans="1:29" x14ac:dyDescent="0.2">
      <c r="A23" s="286" t="str">
        <f>Productivity!A25</f>
        <v>Haul cover soil</v>
      </c>
      <c r="B23" s="286" t="str">
        <f>Productivity!B25</f>
        <v>NOBS</v>
      </c>
      <c r="C23" s="286" t="str">
        <f>Productivity!C25</f>
        <v>Grape Gulch Pond #3</v>
      </c>
      <c r="D23" s="286" t="str">
        <f>Productivity!D25</f>
        <v>777F</v>
      </c>
      <c r="E23" s="286">
        <f>IF(TotalCost!$AC23&gt;=TotalCost!E23,E$10,0)</f>
        <v>0</v>
      </c>
      <c r="F23" s="286">
        <f>IF(TotalCost!$AC23&gt;=TotalCost!F23,F$10,0)</f>
        <v>3</v>
      </c>
      <c r="G23" s="286">
        <f>IF(TotalCost!$AC23&gt;=TotalCost!G23,G$10,0)</f>
        <v>0</v>
      </c>
      <c r="H23" s="286">
        <f>IF(TotalCost!$AC23&gt;=TotalCost!H23,H$10,0)</f>
        <v>0</v>
      </c>
      <c r="I23" s="286">
        <f>IF(TotalCost!$AC23&gt;=TotalCost!I23,I$10,0)</f>
        <v>0</v>
      </c>
      <c r="J23" s="286">
        <f>IF(TotalCost!$AC23&gt;=TotalCost!J23,J$10,0)</f>
        <v>0</v>
      </c>
      <c r="K23" s="286">
        <f>IF(TotalCost!$AC23&gt;=TotalCost!K23,K$10,0)</f>
        <v>0</v>
      </c>
      <c r="L23" s="286">
        <f>IF(TotalCost!$AC23&gt;=TotalCost!L23,L$10,0)</f>
        <v>0</v>
      </c>
      <c r="M23" s="286">
        <f>IF(TotalCost!$AC23&gt;=TotalCost!M23,M$10,0)</f>
        <v>0</v>
      </c>
      <c r="N23" s="286">
        <f>IF(TotalCost!$AC23&gt;=TotalCost!N23,N$10,0)</f>
        <v>0</v>
      </c>
      <c r="O23" s="286">
        <f>IF(TotalCost!$AC23&gt;=TotalCost!O23,O$10,0)</f>
        <v>0</v>
      </c>
      <c r="P23" s="286">
        <f>IF(TotalCost!$AC23&gt;=TotalCost!P23,P$10,0)</f>
        <v>0</v>
      </c>
      <c r="Q23" s="286">
        <f>IF(TotalCost!$AC23&gt;=TotalCost!Q23,Q$10,0)</f>
        <v>0</v>
      </c>
      <c r="R23" s="286">
        <f>IF(TotalCost!$AC23&gt;=TotalCost!R23,R$10,0)</f>
        <v>0</v>
      </c>
      <c r="S23" s="286">
        <f>IF(TotalCost!$AC23&gt;=TotalCost!S23,S$10,0)</f>
        <v>0</v>
      </c>
      <c r="T23" s="286">
        <f>IF(TotalCost!$AC23&gt;=TotalCost!T23,T$10,0)</f>
        <v>0</v>
      </c>
      <c r="U23" s="286">
        <f>IF(TotalCost!$AC23&gt;=TotalCost!U23,U$10,0)</f>
        <v>0</v>
      </c>
      <c r="V23" s="286">
        <f>IF(TotalCost!$AC23&gt;=TotalCost!V23,V$10,0)</f>
        <v>0</v>
      </c>
      <c r="W23" s="286">
        <f>IF(TotalCost!$AC23&gt;=TotalCost!W23,W$10,0)</f>
        <v>0</v>
      </c>
      <c r="X23" s="286">
        <f>IF(TotalCost!$AC23&gt;=TotalCost!X23,X$10,0)</f>
        <v>0</v>
      </c>
      <c r="Y23" s="286">
        <f>IF(TotalCost!$AC23&gt;=TotalCost!Y23,Y$10,0)</f>
        <v>0</v>
      </c>
      <c r="Z23" s="286">
        <f>IF(TotalCost!$AC23&gt;=TotalCost!Z23,Z$10,0)</f>
        <v>0</v>
      </c>
      <c r="AA23" s="286">
        <f>IF(TotalCost!$AC23&gt;=TotalCost!AA23,AA$10,0)</f>
        <v>0</v>
      </c>
      <c r="AB23" s="286">
        <f>IF(TotalCost!$AC23&gt;=TotalCost!AB23,AB$10,0)</f>
        <v>0</v>
      </c>
      <c r="AC23" s="279">
        <f t="shared" ref="AC23:AC28" si="3">SUM(E23:AB23)</f>
        <v>3</v>
      </c>
    </row>
    <row r="24" spans="1:29" x14ac:dyDescent="0.2">
      <c r="A24" s="286" t="str">
        <f>Productivity!A26</f>
        <v>Haul cover soil</v>
      </c>
      <c r="B24" s="286" t="str">
        <f>Productivity!B26</f>
        <v>NOBS</v>
      </c>
      <c r="C24" s="286" t="str">
        <f>Productivity!C26</f>
        <v>Magnetite Seepage Pond</v>
      </c>
      <c r="D24" s="286" t="str">
        <f>Productivity!D26</f>
        <v>777F</v>
      </c>
      <c r="E24" s="286">
        <f>IF(TotalCost!$AC24&gt;=TotalCost!E24,E$10,0)</f>
        <v>0</v>
      </c>
      <c r="F24" s="286">
        <f>IF(TotalCost!$AC24&gt;=TotalCost!F24,F$10,0)</f>
        <v>3</v>
      </c>
      <c r="G24" s="286">
        <f>IF(TotalCost!$AC24&gt;=TotalCost!G24,G$10,0)</f>
        <v>0</v>
      </c>
      <c r="H24" s="286">
        <f>IF(TotalCost!$AC24&gt;=TotalCost!H24,H$10,0)</f>
        <v>0</v>
      </c>
      <c r="I24" s="286">
        <f>IF(TotalCost!$AC24&gt;=TotalCost!I24,I$10,0)</f>
        <v>0</v>
      </c>
      <c r="J24" s="286">
        <f>IF(TotalCost!$AC24&gt;=TotalCost!J24,J$10,0)</f>
        <v>0</v>
      </c>
      <c r="K24" s="286">
        <f>IF(TotalCost!$AC24&gt;=TotalCost!K24,K$10,0)</f>
        <v>0</v>
      </c>
      <c r="L24" s="286">
        <f>IF(TotalCost!$AC24&gt;=TotalCost!L24,L$10,0)</f>
        <v>0</v>
      </c>
      <c r="M24" s="286">
        <f>IF(TotalCost!$AC24&gt;=TotalCost!M24,M$10,0)</f>
        <v>0</v>
      </c>
      <c r="N24" s="286">
        <f>IF(TotalCost!$AC24&gt;=TotalCost!N24,N$10,0)</f>
        <v>0</v>
      </c>
      <c r="O24" s="286">
        <f>IF(TotalCost!$AC24&gt;=TotalCost!O24,O$10,0)</f>
        <v>0</v>
      </c>
      <c r="P24" s="286">
        <f>IF(TotalCost!$AC24&gt;=TotalCost!P24,P$10,0)</f>
        <v>0</v>
      </c>
      <c r="Q24" s="286">
        <f>IF(TotalCost!$AC24&gt;=TotalCost!Q24,Q$10,0)</f>
        <v>0</v>
      </c>
      <c r="R24" s="286">
        <f>IF(TotalCost!$AC24&gt;=TotalCost!R24,R$10,0)</f>
        <v>0</v>
      </c>
      <c r="S24" s="286">
        <f>IF(TotalCost!$AC24&gt;=TotalCost!S24,S$10,0)</f>
        <v>0</v>
      </c>
      <c r="T24" s="286">
        <f>IF(TotalCost!$AC24&gt;=TotalCost!T24,T$10,0)</f>
        <v>0</v>
      </c>
      <c r="U24" s="286">
        <f>IF(TotalCost!$AC24&gt;=TotalCost!U24,U$10,0)</f>
        <v>0</v>
      </c>
      <c r="V24" s="286">
        <f>IF(TotalCost!$AC24&gt;=TotalCost!V24,V$10,0)</f>
        <v>0</v>
      </c>
      <c r="W24" s="286">
        <f>IF(TotalCost!$AC24&gt;=TotalCost!W24,W$10,0)</f>
        <v>0</v>
      </c>
      <c r="X24" s="286">
        <f>IF(TotalCost!$AC24&gt;=TotalCost!X24,X$10,0)</f>
        <v>0</v>
      </c>
      <c r="Y24" s="286">
        <f>IF(TotalCost!$AC24&gt;=TotalCost!Y24,Y$10,0)</f>
        <v>0</v>
      </c>
      <c r="Z24" s="286">
        <f>IF(TotalCost!$AC24&gt;=TotalCost!Z24,Z$10,0)</f>
        <v>0</v>
      </c>
      <c r="AA24" s="286">
        <f>IF(TotalCost!$AC24&gt;=TotalCost!AA24,AA$10,0)</f>
        <v>0</v>
      </c>
      <c r="AB24" s="286">
        <f>IF(TotalCost!$AC24&gt;=TotalCost!AB24,AB$10,0)</f>
        <v>0</v>
      </c>
      <c r="AC24" s="279">
        <f t="shared" si="3"/>
        <v>3</v>
      </c>
    </row>
    <row r="25" spans="1:29" x14ac:dyDescent="0.2">
      <c r="A25" s="286" t="str">
        <f>Productivity!A27</f>
        <v>Haul cover soil</v>
      </c>
      <c r="B25" s="286" t="str">
        <f>Productivity!B27</f>
        <v>OB Stockpile 1 through 3, Topsoil Stockpile, South OB Stockpile</v>
      </c>
      <c r="C25" s="286" t="str">
        <f>Productivity!C27</f>
        <v>SWRF Dam 1</v>
      </c>
      <c r="D25" s="286" t="str">
        <f>Productivity!D27</f>
        <v>777F</v>
      </c>
      <c r="E25" s="286">
        <f>IF(TotalCost!$AC25&gt;=TotalCost!E25,E$10,0)</f>
        <v>2</v>
      </c>
      <c r="F25" s="286">
        <f>IF(TotalCost!$AC25&gt;=TotalCost!F25,F$10,0)</f>
        <v>0</v>
      </c>
      <c r="G25" s="286">
        <f>IF(TotalCost!$AC25&gt;=TotalCost!G25,G$10,0)</f>
        <v>0</v>
      </c>
      <c r="H25" s="286">
        <f>IF(TotalCost!$AC25&gt;=TotalCost!H25,H$10,0)</f>
        <v>0</v>
      </c>
      <c r="I25" s="286">
        <f>IF(TotalCost!$AC25&gt;=TotalCost!I25,I$10,0)</f>
        <v>0</v>
      </c>
      <c r="J25" s="286">
        <f>IF(TotalCost!$AC25&gt;=TotalCost!J25,J$10,0)</f>
        <v>0</v>
      </c>
      <c r="K25" s="286">
        <f>IF(TotalCost!$AC25&gt;=TotalCost!K25,K$10,0)</f>
        <v>0</v>
      </c>
      <c r="L25" s="286">
        <f>IF(TotalCost!$AC25&gt;=TotalCost!L25,L$10,0)</f>
        <v>0</v>
      </c>
      <c r="M25" s="286">
        <f>IF(TotalCost!$AC25&gt;=TotalCost!M25,M$10,0)</f>
        <v>0</v>
      </c>
      <c r="N25" s="286">
        <f>IF(TotalCost!$AC25&gt;=TotalCost!N25,N$10,0)</f>
        <v>0</v>
      </c>
      <c r="O25" s="286">
        <f>IF(TotalCost!$AC25&gt;=TotalCost!O25,O$10,0)</f>
        <v>0</v>
      </c>
      <c r="P25" s="286">
        <f>IF(TotalCost!$AC25&gt;=TotalCost!P25,P$10,0)</f>
        <v>0</v>
      </c>
      <c r="Q25" s="286">
        <f>IF(TotalCost!$AC25&gt;=TotalCost!Q25,Q$10,0)</f>
        <v>0</v>
      </c>
      <c r="R25" s="286">
        <f>IF(TotalCost!$AC25&gt;=TotalCost!R25,R$10,0)</f>
        <v>0</v>
      </c>
      <c r="S25" s="286">
        <f>IF(TotalCost!$AC25&gt;=TotalCost!S25,S$10,0)</f>
        <v>0</v>
      </c>
      <c r="T25" s="286">
        <f>IF(TotalCost!$AC25&gt;=TotalCost!T25,T$10,0)</f>
        <v>0</v>
      </c>
      <c r="U25" s="286">
        <f>IF(TotalCost!$AC25&gt;=TotalCost!U25,U$10,0)</f>
        <v>0</v>
      </c>
      <c r="V25" s="286">
        <f>IF(TotalCost!$AC25&gt;=TotalCost!V25,V$10,0)</f>
        <v>0</v>
      </c>
      <c r="W25" s="286">
        <f>IF(TotalCost!$AC25&gt;=TotalCost!W25,W$10,0)</f>
        <v>0</v>
      </c>
      <c r="X25" s="286">
        <f>IF(TotalCost!$AC25&gt;=TotalCost!X25,X$10,0)</f>
        <v>0</v>
      </c>
      <c r="Y25" s="286">
        <f>IF(TotalCost!$AC25&gt;=TotalCost!Y25,Y$10,0)</f>
        <v>0</v>
      </c>
      <c r="Z25" s="286">
        <f>IF(TotalCost!$AC25&gt;=TotalCost!Z25,Z$10,0)</f>
        <v>0</v>
      </c>
      <c r="AA25" s="286">
        <f>IF(TotalCost!$AC25&gt;=TotalCost!AA25,AA$10,0)</f>
        <v>0</v>
      </c>
      <c r="AB25" s="286">
        <f>IF(TotalCost!$AC25&gt;=TotalCost!AB25,AB$10,0)</f>
        <v>0</v>
      </c>
      <c r="AC25" s="279">
        <f t="shared" si="3"/>
        <v>2</v>
      </c>
    </row>
    <row r="26" spans="1:29" x14ac:dyDescent="0.2">
      <c r="A26" s="286" t="str">
        <f>Productivity!A28</f>
        <v>Haul cover soil</v>
      </c>
      <c r="B26" s="286" t="str">
        <f>Productivity!B28</f>
        <v>OB Stockpile 1 through 3, Topsoil Stockpile, South OB Stockpile</v>
      </c>
      <c r="C26" s="286" t="str">
        <f>Productivity!C28</f>
        <v>SWRF Dam 2</v>
      </c>
      <c r="D26" s="286" t="str">
        <f>Productivity!D28</f>
        <v>777F</v>
      </c>
      <c r="E26" s="286">
        <f>IF(TotalCost!$AC26&gt;=TotalCost!E26,E$10,0)</f>
        <v>2</v>
      </c>
      <c r="F26" s="286">
        <f>IF(TotalCost!$AC26&gt;=TotalCost!F26,F$10,0)</f>
        <v>0</v>
      </c>
      <c r="G26" s="286">
        <f>IF(TotalCost!$AC26&gt;=TotalCost!G26,G$10,0)</f>
        <v>0</v>
      </c>
      <c r="H26" s="286">
        <f>IF(TotalCost!$AC26&gt;=TotalCost!H26,H$10,0)</f>
        <v>0</v>
      </c>
      <c r="I26" s="286">
        <f>IF(TotalCost!$AC26&gt;=TotalCost!I26,I$10,0)</f>
        <v>0</v>
      </c>
      <c r="J26" s="286">
        <f>IF(TotalCost!$AC26&gt;=TotalCost!J26,J$10,0)</f>
        <v>0</v>
      </c>
      <c r="K26" s="286">
        <f>IF(TotalCost!$AC26&gt;=TotalCost!K26,K$10,0)</f>
        <v>0</v>
      </c>
      <c r="L26" s="286">
        <f>IF(TotalCost!$AC26&gt;=TotalCost!L26,L$10,0)</f>
        <v>0</v>
      </c>
      <c r="M26" s="286">
        <f>IF(TotalCost!$AC26&gt;=TotalCost!M26,M$10,0)</f>
        <v>0</v>
      </c>
      <c r="N26" s="286">
        <f>IF(TotalCost!$AC26&gt;=TotalCost!N26,N$10,0)</f>
        <v>0</v>
      </c>
      <c r="O26" s="286">
        <f>IF(TotalCost!$AC26&gt;=TotalCost!O26,O$10,0)</f>
        <v>0</v>
      </c>
      <c r="P26" s="286">
        <f>IF(TotalCost!$AC26&gt;=TotalCost!P26,P$10,0)</f>
        <v>0</v>
      </c>
      <c r="Q26" s="286">
        <f>IF(TotalCost!$AC26&gt;=TotalCost!Q26,Q$10,0)</f>
        <v>0</v>
      </c>
      <c r="R26" s="286">
        <f>IF(TotalCost!$AC26&gt;=TotalCost!R26,R$10,0)</f>
        <v>0</v>
      </c>
      <c r="S26" s="286">
        <f>IF(TotalCost!$AC26&gt;=TotalCost!S26,S$10,0)</f>
        <v>0</v>
      </c>
      <c r="T26" s="286">
        <f>IF(TotalCost!$AC26&gt;=TotalCost!T26,T$10,0)</f>
        <v>0</v>
      </c>
      <c r="U26" s="286">
        <f>IF(TotalCost!$AC26&gt;=TotalCost!U26,U$10,0)</f>
        <v>0</v>
      </c>
      <c r="V26" s="286">
        <f>IF(TotalCost!$AC26&gt;=TotalCost!V26,V$10,0)</f>
        <v>0</v>
      </c>
      <c r="W26" s="286">
        <f>IF(TotalCost!$AC26&gt;=TotalCost!W26,W$10,0)</f>
        <v>0</v>
      </c>
      <c r="X26" s="286">
        <f>IF(TotalCost!$AC26&gt;=TotalCost!X26,X$10,0)</f>
        <v>0</v>
      </c>
      <c r="Y26" s="286">
        <f>IF(TotalCost!$AC26&gt;=TotalCost!Y26,Y$10,0)</f>
        <v>0</v>
      </c>
      <c r="Z26" s="286">
        <f>IF(TotalCost!$AC26&gt;=TotalCost!Z26,Z$10,0)</f>
        <v>0</v>
      </c>
      <c r="AA26" s="286">
        <f>IF(TotalCost!$AC26&gt;=TotalCost!AA26,AA$10,0)</f>
        <v>0</v>
      </c>
      <c r="AB26" s="286">
        <f>IF(TotalCost!$AC26&gt;=TotalCost!AB26,AB$10,0)</f>
        <v>0</v>
      </c>
      <c r="AC26" s="279">
        <f t="shared" si="3"/>
        <v>2</v>
      </c>
    </row>
    <row r="27" spans="1:29" x14ac:dyDescent="0.2">
      <c r="A27" s="286" t="str">
        <f>Productivity!A29</f>
        <v>Haul cover soil</v>
      </c>
      <c r="B27" s="286" t="str">
        <f>Productivity!B29</f>
        <v>OB Stockpile 1 through 3, Topsoil Stockpile, South OB Stockpile</v>
      </c>
      <c r="C27" s="286" t="str">
        <f>Productivity!C29</f>
        <v>SWRF Dam 3</v>
      </c>
      <c r="D27" s="286" t="str">
        <f>Productivity!D29</f>
        <v>777F</v>
      </c>
      <c r="E27" s="286">
        <f>IF(TotalCost!$AC27&gt;=TotalCost!E27,E$10,0)</f>
        <v>2</v>
      </c>
      <c r="F27" s="286">
        <f>IF(TotalCost!$AC27&gt;=TotalCost!F27,F$10,0)</f>
        <v>0</v>
      </c>
      <c r="G27" s="286">
        <f>IF(TotalCost!$AC27&gt;=TotalCost!G27,G$10,0)</f>
        <v>0</v>
      </c>
      <c r="H27" s="286">
        <f>IF(TotalCost!$AC27&gt;=TotalCost!H27,H$10,0)</f>
        <v>0</v>
      </c>
      <c r="I27" s="286">
        <f>IF(TotalCost!$AC27&gt;=TotalCost!I27,I$10,0)</f>
        <v>0</v>
      </c>
      <c r="J27" s="286">
        <f>IF(TotalCost!$AC27&gt;=TotalCost!J27,J$10,0)</f>
        <v>0</v>
      </c>
      <c r="K27" s="286">
        <f>IF(TotalCost!$AC27&gt;=TotalCost!K27,K$10,0)</f>
        <v>0</v>
      </c>
      <c r="L27" s="286">
        <f>IF(TotalCost!$AC27&gt;=TotalCost!L27,L$10,0)</f>
        <v>0</v>
      </c>
      <c r="M27" s="286">
        <f>IF(TotalCost!$AC27&gt;=TotalCost!M27,M$10,0)</f>
        <v>0</v>
      </c>
      <c r="N27" s="286">
        <f>IF(TotalCost!$AC27&gt;=TotalCost!N27,N$10,0)</f>
        <v>0</v>
      </c>
      <c r="O27" s="286">
        <f>IF(TotalCost!$AC27&gt;=TotalCost!O27,O$10,0)</f>
        <v>0</v>
      </c>
      <c r="P27" s="286">
        <f>IF(TotalCost!$AC27&gt;=TotalCost!P27,P$10,0)</f>
        <v>0</v>
      </c>
      <c r="Q27" s="286">
        <f>IF(TotalCost!$AC27&gt;=TotalCost!Q27,Q$10,0)</f>
        <v>0</v>
      </c>
      <c r="R27" s="286">
        <f>IF(TotalCost!$AC27&gt;=TotalCost!R27,R$10,0)</f>
        <v>0</v>
      </c>
      <c r="S27" s="286">
        <f>IF(TotalCost!$AC27&gt;=TotalCost!S27,S$10,0)</f>
        <v>0</v>
      </c>
      <c r="T27" s="286">
        <f>IF(TotalCost!$AC27&gt;=TotalCost!T27,T$10,0)</f>
        <v>0</v>
      </c>
      <c r="U27" s="286">
        <f>IF(TotalCost!$AC27&gt;=TotalCost!U27,U$10,0)</f>
        <v>0</v>
      </c>
      <c r="V27" s="286">
        <f>IF(TotalCost!$AC27&gt;=TotalCost!V27,V$10,0)</f>
        <v>0</v>
      </c>
      <c r="W27" s="286">
        <f>IF(TotalCost!$AC27&gt;=TotalCost!W27,W$10,0)</f>
        <v>0</v>
      </c>
      <c r="X27" s="286">
        <f>IF(TotalCost!$AC27&gt;=TotalCost!X27,X$10,0)</f>
        <v>0</v>
      </c>
      <c r="Y27" s="286">
        <f>IF(TotalCost!$AC27&gt;=TotalCost!Y27,Y$10,0)</f>
        <v>0</v>
      </c>
      <c r="Z27" s="286">
        <f>IF(TotalCost!$AC27&gt;=TotalCost!Z27,Z$10,0)</f>
        <v>0</v>
      </c>
      <c r="AA27" s="286">
        <f>IF(TotalCost!$AC27&gt;=TotalCost!AA27,AA$10,0)</f>
        <v>0</v>
      </c>
      <c r="AB27" s="286">
        <f>IF(TotalCost!$AC27&gt;=TotalCost!AB27,AB$10,0)</f>
        <v>0</v>
      </c>
      <c r="AC27" s="279">
        <f t="shared" si="3"/>
        <v>2</v>
      </c>
    </row>
    <row r="28" spans="1:29" x14ac:dyDescent="0.2">
      <c r="A28" s="286" t="str">
        <f>Productivity!A30</f>
        <v>Haul cover soil</v>
      </c>
      <c r="B28" s="286" t="str">
        <f>Productivity!B30</f>
        <v>OB-4 Stockpile</v>
      </c>
      <c r="C28" s="286" t="str">
        <f>Productivity!C30</f>
        <v>North Tailings Decant Pond</v>
      </c>
      <c r="D28" s="286" t="str">
        <f>Productivity!D30</f>
        <v>777F</v>
      </c>
      <c r="E28" s="286">
        <f>IF(TotalCost!$AC28&gt;=TotalCost!E28,E$10,0)</f>
        <v>2</v>
      </c>
      <c r="F28" s="286">
        <f>IF(TotalCost!$AC28&gt;=TotalCost!F28,F$10,0)</f>
        <v>0</v>
      </c>
      <c r="G28" s="286">
        <f>IF(TotalCost!$AC28&gt;=TotalCost!G28,G$10,0)</f>
        <v>0</v>
      </c>
      <c r="H28" s="286">
        <f>IF(TotalCost!$AC28&gt;=TotalCost!H28,H$10,0)</f>
        <v>0</v>
      </c>
      <c r="I28" s="286">
        <f>IF(TotalCost!$AC28&gt;=TotalCost!I28,I$10,0)</f>
        <v>0</v>
      </c>
      <c r="J28" s="286">
        <f>IF(TotalCost!$AC28&gt;=TotalCost!J28,J$10,0)</f>
        <v>0</v>
      </c>
      <c r="K28" s="286">
        <f>IF(TotalCost!$AC28&gt;=TotalCost!K28,K$10,0)</f>
        <v>0</v>
      </c>
      <c r="L28" s="286">
        <f>IF(TotalCost!$AC28&gt;=TotalCost!L28,L$10,0)</f>
        <v>0</v>
      </c>
      <c r="M28" s="286">
        <f>IF(TotalCost!$AC28&gt;=TotalCost!M28,M$10,0)</f>
        <v>0</v>
      </c>
      <c r="N28" s="286">
        <f>IF(TotalCost!$AC28&gt;=TotalCost!N28,N$10,0)</f>
        <v>0</v>
      </c>
      <c r="O28" s="286">
        <f>IF(TotalCost!$AC28&gt;=TotalCost!O28,O$10,0)</f>
        <v>0</v>
      </c>
      <c r="P28" s="286">
        <f>IF(TotalCost!$AC28&gt;=TotalCost!P28,P$10,0)</f>
        <v>0</v>
      </c>
      <c r="Q28" s="286">
        <f>IF(TotalCost!$AC28&gt;=TotalCost!Q28,Q$10,0)</f>
        <v>0</v>
      </c>
      <c r="R28" s="286">
        <f>IF(TotalCost!$AC28&gt;=TotalCost!R28,R$10,0)</f>
        <v>0</v>
      </c>
      <c r="S28" s="286">
        <f>IF(TotalCost!$AC28&gt;=TotalCost!S28,S$10,0)</f>
        <v>0</v>
      </c>
      <c r="T28" s="286">
        <f>IF(TotalCost!$AC28&gt;=TotalCost!T28,T$10,0)</f>
        <v>0</v>
      </c>
      <c r="U28" s="286">
        <f>IF(TotalCost!$AC28&gt;=TotalCost!U28,U$10,0)</f>
        <v>0</v>
      </c>
      <c r="V28" s="286">
        <f>IF(TotalCost!$AC28&gt;=TotalCost!V28,V$10,0)</f>
        <v>0</v>
      </c>
      <c r="W28" s="286">
        <f>IF(TotalCost!$AC28&gt;=TotalCost!W28,W$10,0)</f>
        <v>0</v>
      </c>
      <c r="X28" s="286">
        <f>IF(TotalCost!$AC28&gt;=TotalCost!X28,X$10,0)</f>
        <v>0</v>
      </c>
      <c r="Y28" s="286">
        <f>IF(TotalCost!$AC28&gt;=TotalCost!Y28,Y$10,0)</f>
        <v>0</v>
      </c>
      <c r="Z28" s="286">
        <f>IF(TotalCost!$AC28&gt;=TotalCost!Z28,Z$10,0)</f>
        <v>0</v>
      </c>
      <c r="AA28" s="286">
        <f>IF(TotalCost!$AC28&gt;=TotalCost!AA28,AA$10,0)</f>
        <v>0</v>
      </c>
      <c r="AB28" s="286">
        <f>IF(TotalCost!$AC28&gt;=TotalCost!AB28,AB$10,0)</f>
        <v>0</v>
      </c>
      <c r="AC28" s="279">
        <f t="shared" si="3"/>
        <v>2</v>
      </c>
    </row>
    <row r="29" spans="1:29" x14ac:dyDescent="0.2">
      <c r="A29" s="286" t="str">
        <f>Productivity!A31</f>
        <v>Haul cover soil</v>
      </c>
      <c r="B29" s="286" t="str">
        <f>Productivity!B31</f>
        <v>OB-4 Stockpile</v>
      </c>
      <c r="C29" s="286" t="str">
        <f>Productivity!C31</f>
        <v>East WRF Containment</v>
      </c>
      <c r="D29" s="286" t="str">
        <f>Productivity!D31</f>
        <v>777F</v>
      </c>
      <c r="E29" s="286">
        <f>IF(TotalCost!$AC29&gt;=TotalCost!E29,E$10,0)</f>
        <v>2</v>
      </c>
      <c r="F29" s="286">
        <f>IF(TotalCost!$AC29&gt;=TotalCost!F29,F$10,0)</f>
        <v>0</v>
      </c>
      <c r="G29" s="286">
        <f>IF(TotalCost!$AC29&gt;=TotalCost!G29,G$10,0)</f>
        <v>0</v>
      </c>
      <c r="H29" s="286">
        <f>IF(TotalCost!$AC29&gt;=TotalCost!H29,H$10,0)</f>
        <v>0</v>
      </c>
      <c r="I29" s="286">
        <f>IF(TotalCost!$AC29&gt;=TotalCost!I29,I$10,0)</f>
        <v>0</v>
      </c>
      <c r="J29" s="286">
        <f>IF(TotalCost!$AC29&gt;=TotalCost!J29,J$10,0)</f>
        <v>0</v>
      </c>
      <c r="K29" s="286">
        <f>IF(TotalCost!$AC29&gt;=TotalCost!K29,K$10,0)</f>
        <v>0</v>
      </c>
      <c r="L29" s="286">
        <f>IF(TotalCost!$AC29&gt;=TotalCost!L29,L$10,0)</f>
        <v>0</v>
      </c>
      <c r="M29" s="286">
        <f>IF(TotalCost!$AC29&gt;=TotalCost!M29,M$10,0)</f>
        <v>0</v>
      </c>
      <c r="N29" s="286">
        <f>IF(TotalCost!$AC29&gt;=TotalCost!N29,N$10,0)</f>
        <v>0</v>
      </c>
      <c r="O29" s="286">
        <f>IF(TotalCost!$AC29&gt;=TotalCost!O29,O$10,0)</f>
        <v>0</v>
      </c>
      <c r="P29" s="286">
        <f>IF(TotalCost!$AC29&gt;=TotalCost!P29,P$10,0)</f>
        <v>0</v>
      </c>
      <c r="Q29" s="286">
        <f>IF(TotalCost!$AC29&gt;=TotalCost!Q29,Q$10,0)</f>
        <v>0</v>
      </c>
      <c r="R29" s="286">
        <f>IF(TotalCost!$AC29&gt;=TotalCost!R29,R$10,0)</f>
        <v>0</v>
      </c>
      <c r="S29" s="286">
        <f>IF(TotalCost!$AC29&gt;=TotalCost!S29,S$10,0)</f>
        <v>0</v>
      </c>
      <c r="T29" s="286">
        <f>IF(TotalCost!$AC29&gt;=TotalCost!T29,T$10,0)</f>
        <v>0</v>
      </c>
      <c r="U29" s="286">
        <f>IF(TotalCost!$AC29&gt;=TotalCost!U29,U$10,0)</f>
        <v>0</v>
      </c>
      <c r="V29" s="286">
        <f>IF(TotalCost!$AC29&gt;=TotalCost!V29,V$10,0)</f>
        <v>0</v>
      </c>
      <c r="W29" s="286">
        <f>IF(TotalCost!$AC29&gt;=TotalCost!W29,W$10,0)</f>
        <v>0</v>
      </c>
      <c r="X29" s="286">
        <f>IF(TotalCost!$AC29&gt;=TotalCost!X29,X$10,0)</f>
        <v>0</v>
      </c>
      <c r="Y29" s="286">
        <f>IF(TotalCost!$AC29&gt;=TotalCost!Y29,Y$10,0)</f>
        <v>0</v>
      </c>
      <c r="Z29" s="286">
        <f>IF(TotalCost!$AC29&gt;=TotalCost!Z29,Z$10,0)</f>
        <v>0</v>
      </c>
      <c r="AA29" s="286">
        <f>IF(TotalCost!$AC29&gt;=TotalCost!AA29,AA$10,0)</f>
        <v>0</v>
      </c>
      <c r="AB29" s="286">
        <f>IF(TotalCost!$AC29&gt;=TotalCost!AB29,AB$10,0)</f>
        <v>0</v>
      </c>
      <c r="AC29" s="279">
        <f>SUM(E29:AB29)</f>
        <v>2</v>
      </c>
    </row>
    <row r="30" spans="1:29" x14ac:dyDescent="0.2">
      <c r="A30" s="286" t="str">
        <f>Productivity!A32</f>
        <v>Haul cover soil</v>
      </c>
      <c r="B30" s="286" t="str">
        <f>Productivity!B32</f>
        <v>NOBS</v>
      </c>
      <c r="C30" s="286" t="str">
        <f>Productivity!C32</f>
        <v xml:space="preserve">Blackman's Seep (Pond #2) </v>
      </c>
      <c r="D30" s="286" t="str">
        <f>Productivity!D32</f>
        <v>777F</v>
      </c>
      <c r="E30" s="286">
        <f>IF(TotalCost!$AC30&gt;=TotalCost!E30,E$10,0)</f>
        <v>0</v>
      </c>
      <c r="F30" s="286">
        <f>IF(TotalCost!$AC30&gt;=TotalCost!F30,F$10,0)</f>
        <v>3</v>
      </c>
      <c r="G30" s="286">
        <f>IF(TotalCost!$AC30&gt;=TotalCost!G30,G$10,0)</f>
        <v>0</v>
      </c>
      <c r="H30" s="286">
        <f>IF(TotalCost!$AC30&gt;=TotalCost!H30,H$10,0)</f>
        <v>0</v>
      </c>
      <c r="I30" s="286">
        <f>IF(TotalCost!$AC30&gt;=TotalCost!I30,I$10,0)</f>
        <v>0</v>
      </c>
      <c r="J30" s="286">
        <f>IF(TotalCost!$AC30&gt;=TotalCost!J30,J$10,0)</f>
        <v>0</v>
      </c>
      <c r="K30" s="286">
        <f>IF(TotalCost!$AC30&gt;=TotalCost!K30,K$10,0)</f>
        <v>0</v>
      </c>
      <c r="L30" s="286">
        <f>IF(TotalCost!$AC30&gt;=TotalCost!L30,L$10,0)</f>
        <v>0</v>
      </c>
      <c r="M30" s="286">
        <f>IF(TotalCost!$AC30&gt;=TotalCost!M30,M$10,0)</f>
        <v>0</v>
      </c>
      <c r="N30" s="286">
        <f>IF(TotalCost!$AC30&gt;=TotalCost!N30,N$10,0)</f>
        <v>0</v>
      </c>
      <c r="O30" s="286">
        <f>IF(TotalCost!$AC30&gt;=TotalCost!O30,O$10,0)</f>
        <v>0</v>
      </c>
      <c r="P30" s="286">
        <f>IF(TotalCost!$AC30&gt;=TotalCost!P30,P$10,0)</f>
        <v>0</v>
      </c>
      <c r="Q30" s="286">
        <f>IF(TotalCost!$AC30&gt;=TotalCost!Q30,Q$10,0)</f>
        <v>0</v>
      </c>
      <c r="R30" s="286">
        <f>IF(TotalCost!$AC30&gt;=TotalCost!R30,R$10,0)</f>
        <v>0</v>
      </c>
      <c r="S30" s="286">
        <f>IF(TotalCost!$AC30&gt;=TotalCost!S30,S$10,0)</f>
        <v>0</v>
      </c>
      <c r="T30" s="286">
        <f>IF(TotalCost!$AC30&gt;=TotalCost!T30,T$10,0)</f>
        <v>0</v>
      </c>
      <c r="U30" s="286">
        <f>IF(TotalCost!$AC30&gt;=TotalCost!U30,U$10,0)</f>
        <v>0</v>
      </c>
      <c r="V30" s="286">
        <f>IF(TotalCost!$AC30&gt;=TotalCost!V30,V$10,0)</f>
        <v>0</v>
      </c>
      <c r="W30" s="286">
        <f>IF(TotalCost!$AC30&gt;=TotalCost!W30,W$10,0)</f>
        <v>0</v>
      </c>
      <c r="X30" s="286">
        <f>IF(TotalCost!$AC30&gt;=TotalCost!X30,X$10,0)</f>
        <v>0</v>
      </c>
      <c r="Y30" s="286">
        <f>IF(TotalCost!$AC30&gt;=TotalCost!Y30,Y$10,0)</f>
        <v>0</v>
      </c>
      <c r="Z30" s="286">
        <f>IF(TotalCost!$AC30&gt;=TotalCost!Z30,Z$10,0)</f>
        <v>0</v>
      </c>
      <c r="AA30" s="286">
        <f>IF(TotalCost!$AC30&gt;=TotalCost!AA30,AA$10,0)</f>
        <v>0</v>
      </c>
      <c r="AB30" s="286">
        <f>IF(TotalCost!$AC30&gt;=TotalCost!AB30,AB$10,0)</f>
        <v>0</v>
      </c>
      <c r="AC30" s="279">
        <f>SUM(E30:AB30)</f>
        <v>3</v>
      </c>
    </row>
    <row r="31" spans="1:29" x14ac:dyDescent="0.2">
      <c r="A31" s="286" t="str">
        <f>Productivity!A33</f>
        <v>Haul cover soil</v>
      </c>
      <c r="B31" s="286" t="str">
        <f>Productivity!B33</f>
        <v>OB-4 Stockpile</v>
      </c>
      <c r="C31" s="286" t="str">
        <f>Productivity!C33</f>
        <v>Decant Pond #4</v>
      </c>
      <c r="D31" s="286" t="str">
        <f>Productivity!D33</f>
        <v>777F</v>
      </c>
      <c r="E31" s="286">
        <f>IF(TotalCost!$AC31&gt;=TotalCost!E31,E$10,0)</f>
        <v>2</v>
      </c>
      <c r="F31" s="286">
        <f>IF(TotalCost!$AC31&gt;=TotalCost!F31,F$10,0)</f>
        <v>0</v>
      </c>
      <c r="G31" s="286">
        <f>IF(TotalCost!$AC31&gt;=TotalCost!G31,G$10,0)</f>
        <v>0</v>
      </c>
      <c r="H31" s="286">
        <f>IF(TotalCost!$AC31&gt;=TotalCost!H31,H$10,0)</f>
        <v>0</v>
      </c>
      <c r="I31" s="286">
        <f>IF(TotalCost!$AC31&gt;=TotalCost!I31,I$10,0)</f>
        <v>0</v>
      </c>
      <c r="J31" s="286">
        <f>IF(TotalCost!$AC31&gt;=TotalCost!J31,J$10,0)</f>
        <v>0</v>
      </c>
      <c r="K31" s="286">
        <f>IF(TotalCost!$AC31&gt;=TotalCost!K31,K$10,0)</f>
        <v>0</v>
      </c>
      <c r="L31" s="286">
        <f>IF(TotalCost!$AC31&gt;=TotalCost!L31,L$10,0)</f>
        <v>0</v>
      </c>
      <c r="M31" s="286">
        <f>IF(TotalCost!$AC31&gt;=TotalCost!M31,M$10,0)</f>
        <v>0</v>
      </c>
      <c r="N31" s="286">
        <f>IF(TotalCost!$AC31&gt;=TotalCost!N31,N$10,0)</f>
        <v>0</v>
      </c>
      <c r="O31" s="286">
        <f>IF(TotalCost!$AC31&gt;=TotalCost!O31,O$10,0)</f>
        <v>0</v>
      </c>
      <c r="P31" s="286">
        <f>IF(TotalCost!$AC31&gt;=TotalCost!P31,P$10,0)</f>
        <v>0</v>
      </c>
      <c r="Q31" s="286">
        <f>IF(TotalCost!$AC31&gt;=TotalCost!Q31,Q$10,0)</f>
        <v>0</v>
      </c>
      <c r="R31" s="286">
        <f>IF(TotalCost!$AC31&gt;=TotalCost!R31,R$10,0)</f>
        <v>0</v>
      </c>
      <c r="S31" s="286">
        <f>IF(TotalCost!$AC31&gt;=TotalCost!S31,S$10,0)</f>
        <v>0</v>
      </c>
      <c r="T31" s="286">
        <f>IF(TotalCost!$AC31&gt;=TotalCost!T31,T$10,0)</f>
        <v>0</v>
      </c>
      <c r="U31" s="286">
        <f>IF(TotalCost!$AC31&gt;=TotalCost!U31,U$10,0)</f>
        <v>0</v>
      </c>
      <c r="V31" s="286">
        <f>IF(TotalCost!$AC31&gt;=TotalCost!V31,V$10,0)</f>
        <v>0</v>
      </c>
      <c r="W31" s="286">
        <f>IF(TotalCost!$AC31&gt;=TotalCost!W31,W$10,0)</f>
        <v>0</v>
      </c>
      <c r="X31" s="286">
        <f>IF(TotalCost!$AC31&gt;=TotalCost!X31,X$10,0)</f>
        <v>0</v>
      </c>
      <c r="Y31" s="286">
        <f>IF(TotalCost!$AC31&gt;=TotalCost!Y31,Y$10,0)</f>
        <v>0</v>
      </c>
      <c r="Z31" s="286">
        <f>IF(TotalCost!$AC31&gt;=TotalCost!Z31,Z$10,0)</f>
        <v>0</v>
      </c>
      <c r="AA31" s="286">
        <f>IF(TotalCost!$AC31&gt;=TotalCost!AA31,AA$10,0)</f>
        <v>0</v>
      </c>
      <c r="AB31" s="286">
        <f>IF(TotalCost!$AC31&gt;=TotalCost!AB31,AB$10,0)</f>
        <v>0</v>
      </c>
      <c r="AC31" s="279">
        <f>SUM(E31:AB31)</f>
        <v>2</v>
      </c>
    </row>
    <row r="32" spans="1:29" x14ac:dyDescent="0.2">
      <c r="A32" s="286" t="str">
        <f>Productivity!A34</f>
        <v>Haul cover soil</v>
      </c>
      <c r="B32" s="286" t="str">
        <f>Productivity!B34</f>
        <v>NOBS</v>
      </c>
      <c r="C32" s="286" t="str">
        <f>Productivity!C34</f>
        <v xml:space="preserve">Upper Creek Containment Pond 1 </v>
      </c>
      <c r="D32" s="286" t="str">
        <f>Productivity!D34</f>
        <v>777F</v>
      </c>
      <c r="E32" s="286">
        <f>IF(TotalCost!$AC32&gt;=TotalCost!E32,E$10,0)</f>
        <v>0</v>
      </c>
      <c r="F32" s="286">
        <f>IF(TotalCost!$AC32&gt;=TotalCost!F32,F$10,0)</f>
        <v>3</v>
      </c>
      <c r="G32" s="286">
        <f>IF(TotalCost!$AC32&gt;=TotalCost!G32,G$10,0)</f>
        <v>0</v>
      </c>
      <c r="H32" s="286">
        <f>IF(TotalCost!$AC32&gt;=TotalCost!H32,H$10,0)</f>
        <v>0</v>
      </c>
      <c r="I32" s="286">
        <f>IF(TotalCost!$AC32&gt;=TotalCost!I32,I$10,0)</f>
        <v>0</v>
      </c>
      <c r="J32" s="286">
        <f>IF(TotalCost!$AC32&gt;=TotalCost!J32,J$10,0)</f>
        <v>0</v>
      </c>
      <c r="K32" s="286">
        <f>IF(TotalCost!$AC32&gt;=TotalCost!K32,K$10,0)</f>
        <v>0</v>
      </c>
      <c r="L32" s="286">
        <f>IF(TotalCost!$AC32&gt;=TotalCost!L32,L$10,0)</f>
        <v>0</v>
      </c>
      <c r="M32" s="286">
        <f>IF(TotalCost!$AC32&gt;=TotalCost!M32,M$10,0)</f>
        <v>0</v>
      </c>
      <c r="N32" s="286">
        <f>IF(TotalCost!$AC32&gt;=TotalCost!N32,N$10,0)</f>
        <v>0</v>
      </c>
      <c r="O32" s="286">
        <f>IF(TotalCost!$AC32&gt;=TotalCost!O32,O$10,0)</f>
        <v>0</v>
      </c>
      <c r="P32" s="286">
        <f>IF(TotalCost!$AC32&gt;=TotalCost!P32,P$10,0)</f>
        <v>0</v>
      </c>
      <c r="Q32" s="286">
        <f>IF(TotalCost!$AC32&gt;=TotalCost!Q32,Q$10,0)</f>
        <v>0</v>
      </c>
      <c r="R32" s="286">
        <f>IF(TotalCost!$AC32&gt;=TotalCost!R32,R$10,0)</f>
        <v>0</v>
      </c>
      <c r="S32" s="286">
        <f>IF(TotalCost!$AC32&gt;=TotalCost!S32,S$10,0)</f>
        <v>0</v>
      </c>
      <c r="T32" s="286">
        <f>IF(TotalCost!$AC32&gt;=TotalCost!T32,T$10,0)</f>
        <v>0</v>
      </c>
      <c r="U32" s="286">
        <f>IF(TotalCost!$AC32&gt;=TotalCost!U32,U$10,0)</f>
        <v>0</v>
      </c>
      <c r="V32" s="286">
        <f>IF(TotalCost!$AC32&gt;=TotalCost!V32,V$10,0)</f>
        <v>0</v>
      </c>
      <c r="W32" s="286">
        <f>IF(TotalCost!$AC32&gt;=TotalCost!W32,W$10,0)</f>
        <v>0</v>
      </c>
      <c r="X32" s="286">
        <f>IF(TotalCost!$AC32&gt;=TotalCost!X32,X$10,0)</f>
        <v>0</v>
      </c>
      <c r="Y32" s="286">
        <f>IF(TotalCost!$AC32&gt;=TotalCost!Y32,Y$10,0)</f>
        <v>0</v>
      </c>
      <c r="Z32" s="286">
        <f>IF(TotalCost!$AC32&gt;=TotalCost!Z32,Z$10,0)</f>
        <v>0</v>
      </c>
      <c r="AA32" s="286">
        <f>IF(TotalCost!$AC32&gt;=TotalCost!AA32,AA$10,0)</f>
        <v>0</v>
      </c>
      <c r="AB32" s="286">
        <f>IF(TotalCost!$AC32&gt;=TotalCost!AB32,AB$10,0)</f>
        <v>0</v>
      </c>
      <c r="AC32" s="279">
        <f>SUM(E32:AB32)</f>
        <v>3</v>
      </c>
    </row>
  </sheetData>
  <printOptions horizontalCentered="1"/>
  <pageMargins left="0.75" right="0.75" top="1" bottom="1" header="0.5" footer="0.5"/>
  <pageSetup paperSize="17" scale="81" orientation="landscape" r:id="rId1"/>
  <headerFooter alignWithMargins="0">
    <oddFooter>&amp;C&amp;F
&amp;   Stockpile Sheet 9f
&amp;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defaultColWidth="8.77734375" defaultRowHeight="15" x14ac:dyDescent="0.2"/>
  <cols>
    <col min="1" max="16384" width="8.77734375" style="4"/>
  </cols>
  <sheetData/>
  <printOptions horizontalCentered="1"/>
  <pageMargins left="0.75" right="0.75" top="1" bottom="1" header="0.5" footer="0.5"/>
  <pageSetup scale="75" orientation="landscape" r:id="rId1"/>
  <headerFooter alignWithMargins="0">
    <oddFooter>&amp;C&amp;F&amp;A (Page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75" workbookViewId="0">
      <selection activeCell="B30" sqref="B30"/>
    </sheetView>
  </sheetViews>
  <sheetFormatPr defaultColWidth="7.21875" defaultRowHeight="12.75" x14ac:dyDescent="0.2"/>
  <cols>
    <col min="1" max="1" width="21.44140625" style="299" customWidth="1"/>
    <col min="2" max="2" width="31.33203125" style="299" customWidth="1"/>
    <col min="3" max="3" width="10.6640625" style="299" customWidth="1"/>
    <col min="4" max="4" width="7.21875" style="299" customWidth="1"/>
    <col min="5" max="5" width="9.21875" style="299" customWidth="1"/>
    <col min="6" max="6" width="46" style="299" bestFit="1" customWidth="1"/>
    <col min="7" max="16384" width="7.21875" style="299"/>
  </cols>
  <sheetData>
    <row r="1" spans="1:9" ht="15" x14ac:dyDescent="0.2">
      <c r="A1" s="1"/>
      <c r="C1" s="300"/>
      <c r="E1" s="301" t="str">
        <f>'1 General'!$C$1</f>
        <v>Cobre</v>
      </c>
    </row>
    <row r="2" spans="1:9" ht="15" x14ac:dyDescent="0.2">
      <c r="A2" s="1"/>
      <c r="E2" s="302" t="s">
        <v>389</v>
      </c>
    </row>
    <row r="3" spans="1:9" x14ac:dyDescent="0.2">
      <c r="A3" s="299" t="s">
        <v>47</v>
      </c>
      <c r="D3" s="303"/>
      <c r="E3" s="304">
        <f>'1 General'!$C$3</f>
        <v>41978</v>
      </c>
    </row>
    <row r="5" spans="1:9" x14ac:dyDescent="0.2">
      <c r="B5" s="305"/>
    </row>
    <row r="7" spans="1:9" x14ac:dyDescent="0.2">
      <c r="A7" s="299" t="s">
        <v>390</v>
      </c>
      <c r="D7" s="302"/>
      <c r="E7" s="306"/>
    </row>
    <row r="8" spans="1:9" x14ac:dyDescent="0.2">
      <c r="D8" s="327" t="s">
        <v>391</v>
      </c>
      <c r="E8" s="302"/>
    </row>
    <row r="9" spans="1:9" x14ac:dyDescent="0.2">
      <c r="A9" s="299" t="s">
        <v>19</v>
      </c>
      <c r="B9" s="299" t="s">
        <v>20</v>
      </c>
      <c r="C9" s="299" t="s">
        <v>21</v>
      </c>
      <c r="D9" s="327" t="s">
        <v>71</v>
      </c>
      <c r="E9" s="327" t="s">
        <v>53</v>
      </c>
    </row>
    <row r="10" spans="1:9" x14ac:dyDescent="0.2">
      <c r="A10" s="307"/>
      <c r="B10" s="307"/>
      <c r="C10" s="307"/>
      <c r="D10" s="329" t="s">
        <v>91</v>
      </c>
      <c r="E10" s="328" t="s">
        <v>406</v>
      </c>
    </row>
    <row r="11" spans="1:9" x14ac:dyDescent="0.2">
      <c r="A11" s="308"/>
      <c r="B11" s="309"/>
      <c r="C11" s="309"/>
      <c r="D11" s="310"/>
      <c r="E11" s="309"/>
    </row>
    <row r="12" spans="1:9" ht="15" x14ac:dyDescent="0.2">
      <c r="A12" s="311"/>
      <c r="B12" s="311"/>
      <c r="C12" s="311"/>
      <c r="D12" s="312"/>
      <c r="E12" s="313"/>
    </row>
    <row r="13" spans="1:9" x14ac:dyDescent="0.2">
      <c r="A13" s="311" t="str">
        <f>'3   Material'!$B10</f>
        <v>Regrade Top</v>
      </c>
      <c r="B13" s="316" t="str">
        <f>'3   Material'!$C10</f>
        <v>SWRDF</v>
      </c>
      <c r="C13" s="311" t="str">
        <f>'3   Material'!$D10</f>
        <v>-</v>
      </c>
      <c r="D13" s="314">
        <v>540</v>
      </c>
      <c r="E13" s="453">
        <v>666680</v>
      </c>
      <c r="F13" s="314"/>
      <c r="G13" s="315"/>
      <c r="H13" s="315"/>
      <c r="I13" s="314"/>
    </row>
    <row r="14" spans="1:9" x14ac:dyDescent="0.2">
      <c r="A14" s="311" t="str">
        <f>'3   Material'!$B11</f>
        <v>Regrade Top</v>
      </c>
      <c r="B14" s="316" t="str">
        <f>'3   Material'!$C11</f>
        <v xml:space="preserve">MTI </v>
      </c>
      <c r="C14" s="311" t="str">
        <f>'3   Material'!$D11</f>
        <v>-</v>
      </c>
      <c r="D14" s="314">
        <v>200</v>
      </c>
      <c r="E14" s="453">
        <v>50794.5</v>
      </c>
      <c r="F14" s="314"/>
      <c r="G14" s="315"/>
      <c r="H14" s="315"/>
      <c r="I14" s="314"/>
    </row>
    <row r="15" spans="1:9" x14ac:dyDescent="0.2">
      <c r="A15" s="311" t="str">
        <f>'3   Material'!$B12</f>
        <v>Regrade Outslope</v>
      </c>
      <c r="B15" s="316" t="str">
        <f>'3   Material'!$C12</f>
        <v xml:space="preserve">MTI Reclaim Pond </v>
      </c>
      <c r="C15" s="311" t="str">
        <f>'3   Material'!$D12</f>
        <v>-</v>
      </c>
      <c r="D15" s="326">
        <v>200</v>
      </c>
      <c r="E15" s="466">
        <v>67765</v>
      </c>
    </row>
    <row r="16" spans="1:9" x14ac:dyDescent="0.2">
      <c r="A16" s="311" t="str">
        <f>'3   Material'!$B13</f>
        <v>Regrade Outslope</v>
      </c>
      <c r="B16" s="316" t="str">
        <f>'3   Material'!$C13</f>
        <v xml:space="preserve">MTI </v>
      </c>
      <c r="C16" s="311" t="str">
        <f>'3   Material'!$D13</f>
        <v>-</v>
      </c>
      <c r="D16" s="314">
        <v>250</v>
      </c>
      <c r="E16" s="467">
        <v>170294</v>
      </c>
    </row>
    <row r="17" spans="1:5" x14ac:dyDescent="0.2">
      <c r="A17" s="316" t="str">
        <f>'3   Material'!C23</f>
        <v>Reclaim Pond Outlet Channel</v>
      </c>
      <c r="B17" s="316" t="str">
        <f>'3   Material'!D23</f>
        <v>MTI  Top</v>
      </c>
      <c r="C17" s="452" t="s">
        <v>26</v>
      </c>
      <c r="D17" s="326" t="s">
        <v>26</v>
      </c>
      <c r="E17" s="467">
        <v>62226</v>
      </c>
    </row>
    <row r="18" spans="1:5" x14ac:dyDescent="0.2">
      <c r="A18" s="311"/>
      <c r="B18" s="311"/>
      <c r="C18" s="311"/>
      <c r="D18" s="314"/>
    </row>
    <row r="19" spans="1:5" x14ac:dyDescent="0.2">
      <c r="A19" s="311"/>
      <c r="B19" s="311"/>
      <c r="C19" s="311"/>
      <c r="D19" s="314"/>
    </row>
    <row r="20" spans="1:5" x14ac:dyDescent="0.2">
      <c r="A20" s="311"/>
      <c r="B20" s="311"/>
      <c r="C20" s="311"/>
      <c r="D20" s="314"/>
      <c r="E20" s="468"/>
    </row>
    <row r="24" spans="1:5" x14ac:dyDescent="0.2">
      <c r="A24" s="303"/>
    </row>
  </sheetData>
  <printOptions horizontalCentered="1"/>
  <pageMargins left="0.75" right="0.75" top="1" bottom="1" header="0.5" footer="0.5"/>
  <pageSetup scale="48" orientation="portrait" r:id="rId1"/>
  <headerFooter alignWithMargins="0">
    <oddFooter>&amp;C&amp;F
&amp;   Stockpile Sheet 4a
&amp;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1 General</vt:lpstr>
      <vt:lpstr>2   Demo</vt:lpstr>
      <vt:lpstr>3   Material</vt:lpstr>
      <vt:lpstr>4   Earthwork</vt:lpstr>
      <vt:lpstr>5   Dozer</vt:lpstr>
      <vt:lpstr>6   Grading</vt:lpstr>
      <vt:lpstr>7   Ripper</vt:lpstr>
      <vt:lpstr>8  Excavator</vt:lpstr>
      <vt:lpstr>9   Trucks</vt:lpstr>
      <vt:lpstr>10   Loader</vt:lpstr>
      <vt:lpstr>11   Scraper</vt:lpstr>
      <vt:lpstr>12   M'grader</vt:lpstr>
      <vt:lpstr>13   EarthSum</vt:lpstr>
      <vt:lpstr>14   Reveg</vt:lpstr>
      <vt:lpstr>15   Other</vt:lpstr>
      <vt:lpstr>16   Sum</vt:lpstr>
      <vt:lpstr>17 Detailed Sum</vt:lpstr>
      <vt:lpstr>18 Facility Characteristics</vt:lpstr>
      <vt:lpstr>          </vt:lpstr>
      <vt:lpstr>Trucks.xls</vt:lpstr>
      <vt:lpstr>Productivity</vt:lpstr>
      <vt:lpstr>Time</vt:lpstr>
      <vt:lpstr>TruckCost</vt:lpstr>
      <vt:lpstr>LoaderCost</vt:lpstr>
      <vt:lpstr>TotalCost</vt:lpstr>
      <vt:lpstr>Optimum</vt:lpstr>
      <vt:lpstr>           </vt:lpstr>
      <vt:lpstr>Earthwork.xls</vt:lpstr>
      <vt:lpstr>'1 General'!Print_Area</vt:lpstr>
      <vt:lpstr>'10   Loader'!Print_Area</vt:lpstr>
      <vt:lpstr>'11   Scraper'!Print_Area</vt:lpstr>
      <vt:lpstr>'13   EarthSum'!Print_Area</vt:lpstr>
      <vt:lpstr>'14   Reveg'!Print_Area</vt:lpstr>
      <vt:lpstr>'15   Other'!Print_Area</vt:lpstr>
      <vt:lpstr>'16   Sum'!Print_Area</vt:lpstr>
      <vt:lpstr>'17 Detailed Sum'!Print_Area</vt:lpstr>
      <vt:lpstr>'18 Facility Characteristics'!Print_Area</vt:lpstr>
      <vt:lpstr>'2   Demo'!Print_Area</vt:lpstr>
      <vt:lpstr>'3   Material'!Print_Area</vt:lpstr>
      <vt:lpstr>'4   Earthwork'!Print_Area</vt:lpstr>
      <vt:lpstr>'5   Dozer'!Print_Area</vt:lpstr>
      <vt:lpstr>'6   Grading'!Print_Area</vt:lpstr>
      <vt:lpstr>'8  Excavator'!Print_Area</vt:lpstr>
      <vt:lpstr>'9   Trucks'!Print_Area</vt:lpstr>
      <vt:lpstr>Earthwork.xls!Print_Area</vt:lpstr>
      <vt:lpstr>LoaderCost!Print_Area</vt:lpstr>
      <vt:lpstr>Optimum!Print_Area</vt:lpstr>
      <vt:lpstr>Productivity!Print_Area</vt:lpstr>
      <vt:lpstr>Time!Print_Area</vt:lpstr>
      <vt:lpstr>TotalCost!Print_Area</vt:lpstr>
      <vt:lpstr>TruckCost!Print_Area</vt:lpstr>
      <vt:lpstr>'13   EarthSum'!Print_Titles</vt:lpstr>
      <vt:lpstr>'14   Reveg'!Print_Titles</vt:lpstr>
      <vt:lpstr>'15   Other'!Print_Titles</vt:lpstr>
      <vt:lpstr>'17 Detailed Sum'!Print_Titles</vt:lpstr>
      <vt:lpstr>'18 Facility Characteristics'!Print_Titles</vt:lpstr>
      <vt:lpstr>'2   Demo'!Print_Titles</vt:lpstr>
      <vt:lpstr>'3   Material'!Print_Titles</vt:lpstr>
      <vt:lpstr>'4   Earthwork'!Print_Titles</vt:lpstr>
      <vt:lpstr>'5   Dozer'!Print_Titles</vt:lpstr>
      <vt:lpstr>'6   Grading'!Print_Titles</vt:lpstr>
      <vt:lpstr>'7   Ripper'!Print_Titles</vt:lpstr>
      <vt:lpstr>'8  Excavator'!Print_Titles</vt:lpstr>
      <vt:lpstr>'9   Trucks'!Print_Titles</vt:lpstr>
      <vt:lpstr>Earthwork.xls!Print_Titles</vt:lpstr>
      <vt:lpstr>LoaderCost!Print_Titles</vt:lpstr>
      <vt:lpstr>Optimum!Print_Titles</vt:lpstr>
      <vt:lpstr>Productivity!Print_Titles</vt:lpstr>
      <vt:lpstr>Time!Print_Titles</vt:lpstr>
      <vt:lpstr>TotalCost!Print_Titles</vt:lpstr>
      <vt:lpstr>TruckCost!Print_Titles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Tischer</dc:creator>
  <cp:lastModifiedBy>April Tischer</cp:lastModifiedBy>
  <cp:lastPrinted>2014-12-09T17:53:00Z</cp:lastPrinted>
  <dcterms:created xsi:type="dcterms:W3CDTF">2014-09-10T20:51:46Z</dcterms:created>
  <dcterms:modified xsi:type="dcterms:W3CDTF">2014-12-10T21:13:33Z</dcterms:modified>
</cp:coreProperties>
</file>