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726" yWindow="1185" windowWidth="24360" windowHeight="4830" tabRatio="805" activeTab="0"/>
  </bookViews>
  <sheets>
    <sheet name="1 Reclamation and O&amp;M costs" sheetId="55" r:id="rId1"/>
    <sheet name="2 Sampling Cost" sheetId="65" r:id="rId2"/>
    <sheet name="3 WM cash flow" sheetId="57" r:id="rId3"/>
    <sheet name="4 Summary" sheetId="66" r:id="rId4"/>
    <sheet name="Unit Cost Table" sheetId="60" r:id="rId5"/>
    <sheet name="Summary Table" sheetId="64" r:id="rId6"/>
  </sheets>
  <definedNames>
    <definedName name="_xlnm.Print_Area" localSheetId="0">'1 Reclamation and O&amp;M costs'!$D$1:$V$136</definedName>
    <definedName name="_xlnm.Print_Area" localSheetId="1">'2 Sampling Cost'!$B$1:$O$44</definedName>
    <definedName name="_xlnm.Print_Area" localSheetId="2">'3 WM cash flow'!$B$2:$X$120</definedName>
    <definedName name="_xlnm.Print_Area" localSheetId="5">'Summary Table'!$A$1:$E$29</definedName>
    <definedName name="_xlnm.Print_Area" localSheetId="4">'Unit Cost Table'!$A$1:$I$46</definedName>
    <definedName name="_xlnm.Print_Titles" localSheetId="0">'1 Reclamation and O&amp;M costs'!$D:$E,'1 Reclamation and O&amp;M costs'!$1:$3</definedName>
    <definedName name="_xlnm.Print_Titles" localSheetId="2">'3 WM cash flow'!$2:$15</definedName>
  </definedNames>
  <calcPr calcId="145621"/>
</workbook>
</file>

<file path=xl/comments1.xml><?xml version="1.0" encoding="utf-8"?>
<comments xmlns="http://schemas.openxmlformats.org/spreadsheetml/2006/main">
  <authors>
    <author>jcullor</author>
    <author>April Tischer</author>
    <author>tfairbanks</author>
  </authors>
  <commentList>
    <comment ref="P32" authorId="0">
      <text>
        <r>
          <rPr>
            <b/>
            <sz val="8"/>
            <rFont val="Tahoma"/>
            <family val="2"/>
          </rPr>
          <t xml:space="preserve">assume double lined
assume soil volume = 33% pond capacity
</t>
        </r>
      </text>
    </comment>
    <comment ref="P33" authorId="0">
      <text>
        <r>
          <rPr>
            <b/>
            <sz val="8"/>
            <rFont val="Tahoma"/>
            <family val="2"/>
          </rPr>
          <t xml:space="preserve">assume double lined
assume soil volume = 33% pond capacity
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assume double lined
assume soil volume = 33% pond capacity
</t>
        </r>
      </text>
    </comment>
    <comment ref="H35" authorId="0">
      <text>
        <r>
          <rPr>
            <b/>
            <sz val="8"/>
            <rFont val="Tahoma"/>
            <family val="2"/>
          </rPr>
          <t>unknown, assumed</t>
        </r>
      </text>
    </comment>
    <comment ref="P35" authorId="0">
      <text>
        <r>
          <rPr>
            <b/>
            <sz val="8"/>
            <rFont val="Tahoma"/>
            <family val="2"/>
          </rPr>
          <t xml:space="preserve">
assume soil volume = 33% pond capacity
</t>
        </r>
      </text>
    </comment>
    <comment ref="P36" authorId="0">
      <text>
        <r>
          <rPr>
            <b/>
            <sz val="8"/>
            <rFont val="Tahoma"/>
            <family val="2"/>
          </rPr>
          <t xml:space="preserve">250,000 gallon steel tank
</t>
        </r>
      </text>
    </comment>
    <comment ref="H37" authorId="1">
      <text>
        <r>
          <rPr>
            <b/>
            <sz val="9"/>
            <rFont val="Tahoma"/>
            <family val="2"/>
          </rPr>
          <t>April Tischer:</t>
        </r>
        <r>
          <rPr>
            <sz val="9"/>
            <rFont val="Tahoma"/>
            <family val="2"/>
          </rPr>
          <t xml:space="preserve">
assumed</t>
        </r>
      </text>
    </comment>
    <comment ref="P37" authorId="0">
      <text>
        <r>
          <rPr>
            <b/>
            <sz val="8"/>
            <rFont val="Tahoma"/>
            <family val="2"/>
          </rPr>
          <t xml:space="preserve">assume double lined
assume soil volume = 33% pond capacity
</t>
        </r>
      </text>
    </comment>
    <comment ref="P38" authorId="0">
      <text>
        <r>
          <rPr>
            <b/>
            <sz val="8"/>
            <rFont val="Tahoma"/>
            <family val="2"/>
          </rPr>
          <t>100 $/ft for earthen dam construction, assume 200 ft, based on professional judgment, see earthwork</t>
        </r>
      </text>
    </comment>
    <comment ref="Q45" authorId="2">
      <text>
        <r>
          <rPr>
            <b/>
            <sz val="8"/>
            <rFont val="Tahoma"/>
            <family val="2"/>
          </rPr>
          <t xml:space="preserve">HP divided by pump efficiency.
</t>
        </r>
      </text>
    </comment>
    <comment ref="R45" authorId="2">
      <text>
        <r>
          <rPr>
            <b/>
            <sz val="8"/>
            <rFont val="Tahoma"/>
            <family val="2"/>
          </rPr>
          <t>1 HP = 745.7 Watts
= .7457 kWatts</t>
        </r>
      </text>
    </comment>
    <comment ref="S45" authorId="1">
      <text>
        <r>
          <rPr>
            <b/>
            <sz val="9"/>
            <rFont val="Tahoma"/>
            <family val="2"/>
          </rPr>
          <t>April Tischer:</t>
        </r>
        <r>
          <rPr>
            <sz val="9"/>
            <rFont val="Tahoma"/>
            <family val="2"/>
          </rPr>
          <t xml:space="preserve">
MPO stormwater basins, adjusted to match 2019 Mine Plan</t>
        </r>
      </text>
    </comment>
    <comment ref="T45" authorId="1">
      <text>
        <r>
          <rPr>
            <b/>
            <sz val="9"/>
            <rFont val="Tahoma"/>
            <family val="2"/>
          </rPr>
          <t>April Tischer:</t>
        </r>
        <r>
          <rPr>
            <sz val="9"/>
            <rFont val="Tahoma"/>
            <family val="2"/>
          </rPr>
          <t xml:space="preserve">
Golder, April 2014 Cumulative Seep and Spring Flow Measurements, Totals for 2013.</t>
        </r>
      </text>
    </comment>
    <comment ref="T58" authorId="1">
      <text>
        <r>
          <rPr>
            <b/>
            <sz val="9"/>
            <rFont val="Tahoma"/>
            <family val="2"/>
          </rPr>
          <t>April Tischer:</t>
        </r>
        <r>
          <rPr>
            <sz val="9"/>
            <rFont val="Tahoma"/>
            <family val="2"/>
          </rPr>
          <t xml:space="preserve">
included in Upper Creek volume</t>
        </r>
      </text>
    </comment>
    <comment ref="L63" authorId="0">
      <text>
        <r>
          <rPr>
            <b/>
            <sz val="8"/>
            <rFont val="Tahoma"/>
            <family val="2"/>
          </rPr>
          <t>assuming 21" ID line flowing at 4 ft/s to move tailing</t>
        </r>
      </text>
    </comment>
    <comment ref="L64" authorId="0">
      <text>
        <r>
          <rPr>
            <b/>
            <sz val="8"/>
            <rFont val="Tahoma"/>
            <family val="2"/>
          </rPr>
          <t>assuming 21" ID line flowing at 4 ft/s to move tailing</t>
        </r>
      </text>
    </comment>
    <comment ref="G70" authorId="2">
      <text>
        <r>
          <rPr>
            <b/>
            <sz val="8"/>
            <rFont val="Tahoma"/>
            <family val="2"/>
          </rPr>
          <t>gal/yr * 1/(gal/min-pump  * 60 min/hr) = hr/yr</t>
        </r>
      </text>
    </comment>
    <comment ref="L70" authorId="2">
      <text>
        <r>
          <rPr>
            <b/>
            <sz val="8"/>
            <rFont val="Tahoma"/>
            <family val="2"/>
          </rPr>
          <t>gal/yr * 1/(gal/min-pump  * 60 min/hr) = hr/yr</t>
        </r>
      </text>
    </comment>
    <comment ref="H85" authorId="0">
      <text>
        <r>
          <rPr>
            <b/>
            <sz val="8"/>
            <rFont val="Tahoma"/>
            <family val="2"/>
          </rPr>
          <t>diesel pump</t>
        </r>
      </text>
    </comment>
    <comment ref="I85" authorId="0">
      <text>
        <r>
          <rPr>
            <b/>
            <sz val="8"/>
            <rFont val="Tahoma"/>
            <family val="2"/>
          </rPr>
          <t>diesel pump - cost of fuel consumption</t>
        </r>
      </text>
    </comment>
    <comment ref="F88" authorId="0">
      <text>
        <r>
          <rPr>
            <b/>
            <sz val="8"/>
            <rFont val="Tahoma"/>
            <family val="2"/>
          </rPr>
          <t>one time pumping rate for flushing lines</t>
        </r>
      </text>
    </comment>
    <comment ref="H88" authorId="0">
      <text>
        <r>
          <rPr>
            <b/>
            <sz val="8"/>
            <rFont val="Tahoma"/>
            <family val="2"/>
          </rPr>
          <t>one time removal usage, not annual operational, see costs to right</t>
        </r>
      </text>
    </comment>
    <comment ref="P88" authorId="0">
      <text>
        <r>
          <rPr>
            <b/>
            <sz val="8"/>
            <rFont val="Tahoma"/>
            <family val="2"/>
          </rPr>
          <t>electrical cost for pipeline flushing only, other costs in earthwork</t>
        </r>
      </text>
    </comment>
    <comment ref="F89" authorId="0">
      <text>
        <r>
          <rPr>
            <b/>
            <sz val="8"/>
            <rFont val="Tahoma"/>
            <family val="2"/>
          </rPr>
          <t>one time pumping rate for flushing lines</t>
        </r>
      </text>
    </comment>
    <comment ref="H89" authorId="0">
      <text>
        <r>
          <rPr>
            <b/>
            <sz val="8"/>
            <rFont val="Tahoma"/>
            <family val="2"/>
          </rPr>
          <t>one time removal usage, not annual operational</t>
        </r>
      </text>
    </comment>
    <comment ref="P89" authorId="0">
      <text>
        <r>
          <rPr>
            <b/>
            <sz val="8"/>
            <rFont val="Tahoma"/>
            <family val="2"/>
          </rPr>
          <t>electrical cost for pipeline flushing only, other costs in earthwork</t>
        </r>
      </text>
    </comment>
  </commentList>
</comments>
</file>

<file path=xl/sharedStrings.xml><?xml version="1.0" encoding="utf-8"?>
<sst xmlns="http://schemas.openxmlformats.org/spreadsheetml/2006/main" count="667" uniqueCount="369">
  <si>
    <t>Cost</t>
  </si>
  <si>
    <t>Number</t>
  </si>
  <si>
    <t>Shipping and Analysis</t>
  </si>
  <si>
    <t>Reporting</t>
  </si>
  <si>
    <t>Quarterly</t>
  </si>
  <si>
    <t>Annual</t>
  </si>
  <si>
    <t>Location</t>
  </si>
  <si>
    <t>SWRF Dam 1 (181-2003-Dam 1)</t>
  </si>
  <si>
    <t>SWRF Dam 2 (181-2003-Dam 2)</t>
  </si>
  <si>
    <t>SWRF Dam 3 (181-2003-Dam 3)</t>
  </si>
  <si>
    <t>Magnetite Interceptor Trench</t>
  </si>
  <si>
    <t>Union Hill Adit Seep</t>
  </si>
  <si>
    <t>Upper Creek Containment Pond 1</t>
  </si>
  <si>
    <t>Grape Gulch Pond #3</t>
  </si>
  <si>
    <t>Age Today (yr)</t>
  </si>
  <si>
    <t>Blackman's Seep (Pond #2)</t>
  </si>
  <si>
    <t>Surge Tank</t>
  </si>
  <si>
    <t>Magnetite Tailings Seepage Pond</t>
  </si>
  <si>
    <t>Reclaim Pond</t>
  </si>
  <si>
    <t>Capacity (gallons)</t>
  </si>
  <si>
    <t>Steel Tank Life Expectancy (yr)</t>
  </si>
  <si>
    <t>Material</t>
  </si>
  <si>
    <t>Construction Type</t>
  </si>
  <si>
    <t>concrete</t>
  </si>
  <si>
    <t>steel</t>
  </si>
  <si>
    <t>unlined</t>
  </si>
  <si>
    <t>Pipelines</t>
  </si>
  <si>
    <t>To</t>
  </si>
  <si>
    <t>From</t>
  </si>
  <si>
    <t>HDPE</t>
  </si>
  <si>
    <t>Ponds / Tanks</t>
  </si>
  <si>
    <t>Variables</t>
  </si>
  <si>
    <t>Booster Pump 2</t>
  </si>
  <si>
    <t>Chezy Head Loss Coefficient</t>
  </si>
  <si>
    <t>Inside Diameter (in)</t>
  </si>
  <si>
    <t>Power Pole Spacing (ft)</t>
  </si>
  <si>
    <t>RSMeans NM Discount Rate</t>
  </si>
  <si>
    <t>Electrical Infrastructure</t>
  </si>
  <si>
    <t>Annual Pipeline Maintenance to Capital Factor</t>
  </si>
  <si>
    <t>Removal Year</t>
  </si>
  <si>
    <t>Removal Year (yr)</t>
  </si>
  <si>
    <t>Office Area</t>
  </si>
  <si>
    <t>Number of Poles</t>
  </si>
  <si>
    <t>Annual Electrical Usage    (kWh/yr)</t>
  </si>
  <si>
    <t>Head on Pump            (ft)</t>
  </si>
  <si>
    <t>Removal Year               (yr)</t>
  </si>
  <si>
    <t>Annual Electrical Infrastructure Maintenance to Capital Factor</t>
  </si>
  <si>
    <t>Annual Pump Maintenance to Capital Factor</t>
  </si>
  <si>
    <t>Annual Pond Maintenance to Capital Factor</t>
  </si>
  <si>
    <t>Year</t>
  </si>
  <si>
    <t>($)</t>
  </si>
  <si>
    <t>PIPELINES</t>
  </si>
  <si>
    <t>PONDS &amp; TANKS</t>
  </si>
  <si>
    <t>ELECTRICAL INFRASTRUCTURE</t>
  </si>
  <si>
    <t>ENVIROMENTAL SAMPLING</t>
  </si>
  <si>
    <t>Capital</t>
  </si>
  <si>
    <t>Removal</t>
  </si>
  <si>
    <t>O&amp;M</t>
  </si>
  <si>
    <t>Maintenance</t>
  </si>
  <si>
    <t>Pond Area (acres)</t>
  </si>
  <si>
    <t>-</t>
  </si>
  <si>
    <t>First
Replacement
Year
(yr)</t>
  </si>
  <si>
    <t>Pump / Motor Efficiency</t>
  </si>
  <si>
    <t>HDPE Pipeline Life Expectancy (yr)</t>
  </si>
  <si>
    <t>Number of Replacements</t>
  </si>
  <si>
    <t xml:space="preserve">    Semi-Annual Sampling Cost</t>
  </si>
  <si>
    <t xml:space="preserve">    Annual Sampling Cost</t>
  </si>
  <si>
    <t>Sampling Schedule and Cost</t>
  </si>
  <si>
    <t>Tailings</t>
  </si>
  <si>
    <t>Stockpiles</t>
  </si>
  <si>
    <t>Semi-</t>
  </si>
  <si>
    <t>Total Well</t>
  </si>
  <si>
    <t>Yearly</t>
  </si>
  <si>
    <t>Locations</t>
  </si>
  <si>
    <t>Intercept Wells</t>
  </si>
  <si>
    <t>Capacity (cy)</t>
  </si>
  <si>
    <t>Diesel Fuel Cost ($/gall)</t>
  </si>
  <si>
    <t>Water Treatment Unit Costs</t>
  </si>
  <si>
    <t>Activity</t>
  </si>
  <si>
    <t>Units</t>
  </si>
  <si>
    <t>Scaled Cost</t>
  </si>
  <si>
    <t>Means</t>
  </si>
  <si>
    <t>Reference</t>
  </si>
  <si>
    <t>Unit Cost $/unit</t>
  </si>
  <si>
    <t>Line Item</t>
  </si>
  <si>
    <t>Page</t>
  </si>
  <si>
    <t>Utility Pole Demo</t>
  </si>
  <si>
    <t>ea</t>
  </si>
  <si>
    <t>024113.80 0100</t>
  </si>
  <si>
    <t>Cross Arm Demo</t>
  </si>
  <si>
    <t>024113.80 0300</t>
  </si>
  <si>
    <t>337116.33 7600</t>
  </si>
  <si>
    <t>Utility Pole Installation b.)</t>
  </si>
  <si>
    <t>Utility Pole Installation c.)</t>
  </si>
  <si>
    <t>Electrical Wiring Installation a.)</t>
  </si>
  <si>
    <t>wire mi</t>
  </si>
  <si>
    <t>337139.13 0110</t>
  </si>
  <si>
    <t>Electrical Wiring Installation b.)</t>
  </si>
  <si>
    <t>337139.13 0150</t>
  </si>
  <si>
    <t>Conductors, per wire, 210-636 kcmil</t>
  </si>
  <si>
    <t>Potential Transformers</t>
  </si>
  <si>
    <t>337126.26 4100</t>
  </si>
  <si>
    <t>13 to 26 kV</t>
  </si>
  <si>
    <t>sf</t>
  </si>
  <si>
    <t>Pipe Removal</t>
  </si>
  <si>
    <t>cy</t>
  </si>
  <si>
    <t>Excavation of Soil</t>
  </si>
  <si>
    <t>G1030120 1600</t>
  </si>
  <si>
    <t>Reservoir Liners HDPE</t>
  </si>
  <si>
    <t>334713.53 1200</t>
  </si>
  <si>
    <t>Membrane lining, 2X60 mil thick</t>
  </si>
  <si>
    <t>Water Treatment Tank</t>
  </si>
  <si>
    <t>331613.13 1000</t>
  </si>
  <si>
    <t>lf</t>
  </si>
  <si>
    <t>024113.38-1700</t>
  </si>
  <si>
    <t>024113.38-1800</t>
  </si>
  <si>
    <t>Water Supply Piping</t>
  </si>
  <si>
    <t>331113.35 0200</t>
  </si>
  <si>
    <t>331113.35 0300</t>
  </si>
  <si>
    <t>331113.35 0400</t>
  </si>
  <si>
    <t>331113.35 0500</t>
  </si>
  <si>
    <t>331113.35 0600</t>
  </si>
  <si>
    <t>331113.35 0700</t>
  </si>
  <si>
    <t>Mill No 1</t>
  </si>
  <si>
    <t>Tailings Impoundment Top</t>
  </si>
  <si>
    <t>Mill No 2</t>
  </si>
  <si>
    <t>Road</t>
  </si>
  <si>
    <t>Number Transformer Stations</t>
  </si>
  <si>
    <t>aluminum</t>
  </si>
  <si>
    <t>arsenic</t>
  </si>
  <si>
    <t>bicarbonate</t>
  </si>
  <si>
    <t>cadmium</t>
  </si>
  <si>
    <t>calcium</t>
  </si>
  <si>
    <t>carbonate</t>
  </si>
  <si>
    <t>included w/ bicarbonate</t>
  </si>
  <si>
    <t>chloride</t>
  </si>
  <si>
    <t>chromium</t>
  </si>
  <si>
    <t>cobalt</t>
  </si>
  <si>
    <t>copper</t>
  </si>
  <si>
    <t>fluoride</t>
  </si>
  <si>
    <t>iron</t>
  </si>
  <si>
    <t>lead</t>
  </si>
  <si>
    <t>magnesium</t>
  </si>
  <si>
    <t>manganese</t>
  </si>
  <si>
    <t>nickel</t>
  </si>
  <si>
    <t>nitrate</t>
  </si>
  <si>
    <t>potassium</t>
  </si>
  <si>
    <t>selenium</t>
  </si>
  <si>
    <t>sodium</t>
  </si>
  <si>
    <t>sulfate</t>
  </si>
  <si>
    <t>total dissolved solids</t>
  </si>
  <si>
    <t>zinc</t>
  </si>
  <si>
    <t>Environmental Sampling</t>
  </si>
  <si>
    <t>Facility Water Distribution Piping</t>
  </si>
  <si>
    <t>Steel Pipe Schedule 40, black 24'' diameter (221113.48 1210) without coupling and hanger</t>
  </si>
  <si>
    <t>Sampling</t>
  </si>
  <si>
    <t>Energy Labs Unit Rates:</t>
  </si>
  <si>
    <t>Item</t>
  </si>
  <si>
    <t xml:space="preserve">     Description Notes:</t>
  </si>
  <si>
    <t xml:space="preserve">          1) Overhead and Profit are added in with the indirect costs.</t>
  </si>
  <si>
    <t>Pumps</t>
  </si>
  <si>
    <t>Decant Pond #4</t>
  </si>
  <si>
    <t>First Replacement Year
(yr)</t>
  </si>
  <si>
    <t>Starting Elevation
(ft)</t>
  </si>
  <si>
    <t>Maximum Elevation
(ft)</t>
  </si>
  <si>
    <t>Head Loss
(ft)</t>
  </si>
  <si>
    <t>Operating Time
(hr/yr)</t>
  </si>
  <si>
    <t>Length
(ft)</t>
  </si>
  <si>
    <t>Reclamation 
Replacement 
Year
(yr)</t>
  </si>
  <si>
    <t>Total Estimated Cost</t>
  </si>
  <si>
    <t>Selective Demo, utility poles, wood, 20'-30' high</t>
  </si>
  <si>
    <t>Selective Demo, cross arms, wood, 4'-6' long</t>
  </si>
  <si>
    <t>221113.48 1780 and 1210</t>
  </si>
  <si>
    <t>337116.33 6020</t>
  </si>
  <si>
    <t>Wood, class 1 type C, CCA/ACA-treated, 30' high, excludes excavation, backfill and cast-in-place concrete</t>
  </si>
  <si>
    <t>337116.23 6010</t>
  </si>
  <si>
    <t>Digging holes in rock</t>
  </si>
  <si>
    <t>337116.33  9000</t>
  </si>
  <si>
    <t>337139.13 0810</t>
  </si>
  <si>
    <t>Disposal of surplus material, high voltage conductors</t>
  </si>
  <si>
    <t xml:space="preserve">3/4 C.Y. backhoe, three 8 C.Y. dump trucks, 1 mi round trip. This value removes the overhead and profit (34% based on RS Means Crews O&amp;P markup) </t>
  </si>
  <si>
    <t xml:space="preserve">          2) City Cost Index Las Cruces-Total 84.7% (weighted average) R.S. Means Heavy Construction Cost Data, 28th Annual Edition, 2014, pg. 594.</t>
  </si>
  <si>
    <r>
      <t>Base</t>
    </r>
    <r>
      <rPr>
        <b/>
        <vertAlign val="superscript"/>
        <sz val="9"/>
        <color indexed="8"/>
        <rFont val="Times New Roman"/>
        <family val="1"/>
      </rPr>
      <t>1</t>
    </r>
  </si>
  <si>
    <r>
      <t>Las Cruces 84.7%</t>
    </r>
    <r>
      <rPr>
        <b/>
        <vertAlign val="superscript"/>
        <sz val="9"/>
        <color indexed="8"/>
        <rFont val="Times New Roman"/>
        <family val="1"/>
      </rPr>
      <t>2</t>
    </r>
  </si>
  <si>
    <t>Wood Electrical Utility Poles a.)</t>
  </si>
  <si>
    <t>Reclaim Pond Pump Fuel Consumption Rate (gal/hr)</t>
  </si>
  <si>
    <t>Western Refining Quote, Lordsburg NM (June 18, 2014).</t>
  </si>
  <si>
    <t>gal</t>
  </si>
  <si>
    <t>Description</t>
  </si>
  <si>
    <t>Variable</t>
  </si>
  <si>
    <t>Shipping Cost ($/sample)</t>
  </si>
  <si>
    <t>Review Work per Sample (hours)</t>
  </si>
  <si>
    <t>Review Work Rate ($/hour)</t>
  </si>
  <si>
    <t>Reporting Cost ($/sample)</t>
  </si>
  <si>
    <t>Reporting (hour/sample)</t>
  </si>
  <si>
    <t>Shipping Cost ($/cooler)</t>
  </si>
  <si>
    <t>Rate ($/hour)</t>
  </si>
  <si>
    <t>Total Sample Cost ($/sample)</t>
  </si>
  <si>
    <t>Events</t>
  </si>
  <si>
    <t>Per Year</t>
  </si>
  <si>
    <t xml:space="preserve">    Quarterly Sampling Cost </t>
  </si>
  <si>
    <t>Environmental Sampler</t>
  </si>
  <si>
    <t>Environmental Sampling Reviewer</t>
  </si>
  <si>
    <t>sample</t>
  </si>
  <si>
    <t xml:space="preserve">23 Constituents.  Energy Laboratories, Inc., 2013.  Published price list (www.energylab.com).  </t>
  </si>
  <si>
    <t>Shipping Environmental Sampling</t>
  </si>
  <si>
    <t>cooler</t>
  </si>
  <si>
    <r>
      <t>Energy Labs prepaid shipping  Overnight UPS or FedEx $</t>
    </r>
    <r>
      <rPr>
        <sz val="9"/>
        <color rgb="FF000000"/>
        <rFont val="Times New Roman"/>
        <family val="1"/>
      </rPr>
      <t>70</t>
    </r>
    <r>
      <rPr>
        <sz val="9"/>
        <rFont val="Times New Roman"/>
        <family val="1"/>
      </rPr>
      <t xml:space="preserve"> for a 10 lb. package 30”x18”x18” Silver City, NM to any Energy Labs location; Quote 11/26/2013.</t>
    </r>
  </si>
  <si>
    <t>hr</t>
  </si>
  <si>
    <t>$10/2 only need to sample twice per year as opposed to each quarter</t>
  </si>
  <si>
    <t>kWh</t>
  </si>
  <si>
    <t>Electric Rate</t>
  </si>
  <si>
    <t xml:space="preserve">Analysis ($/sample) </t>
  </si>
  <si>
    <t>Disposal of pole and hardware surplus material, assumes 100 feet of wire per pole</t>
  </si>
  <si>
    <t>Estrada Seep</t>
  </si>
  <si>
    <r>
      <t>Bullfrog pipeline</t>
    </r>
    <r>
      <rPr>
        <sz val="12"/>
        <color rgb="FFFF0000"/>
        <rFont val="Times New Roman"/>
        <family val="1"/>
      </rPr>
      <t xml:space="preserve"> </t>
    </r>
  </si>
  <si>
    <t>Upper Creek Containment Pond #1</t>
  </si>
  <si>
    <t>Upper Creek Containment Pond #1, Grape Gulch Pond #3, and Blackman's Seep (Pond #2)</t>
  </si>
  <si>
    <t>*Reclaim Pond and North Tailings Decant require no maintenance beyond what is already included in the Earthwork cost estimate for the site as a whole.</t>
  </si>
  <si>
    <t>Removal Year**               (yr)</t>
  </si>
  <si>
    <t>Direct Cost Subtotals:</t>
  </si>
  <si>
    <t>Direct Annual Costs:</t>
  </si>
  <si>
    <t>HDPE lined</t>
  </si>
  <si>
    <t>concrete dam, unlined</t>
  </si>
  <si>
    <t>331113.35 0100</t>
  </si>
  <si>
    <t>024113.38-1600</t>
  </si>
  <si>
    <t>Cross arms 4' long, includes hardware and insulators</t>
  </si>
  <si>
    <t>Utility Pole Installation d.)</t>
  </si>
  <si>
    <t>*Surge tank to bullfrog pipeline is gravity fed and thus pumping costs are not included.</t>
  </si>
  <si>
    <t>Average Combined Operational Pumping Rate
(gpm)</t>
  </si>
  <si>
    <t>Average Pumping Rate (gal/yr)</t>
  </si>
  <si>
    <t>Total Cost</t>
  </si>
  <si>
    <t>PUMPS</t>
  </si>
  <si>
    <t>Total Direct Cost</t>
  </si>
  <si>
    <t>Pump Life Expectancy (yr)</t>
  </si>
  <si>
    <t>Spreadsheet Year (2014)</t>
  </si>
  <si>
    <t>Pump</t>
  </si>
  <si>
    <t>Professional Judgment 15 to 30 gpm - includes pump control, control panel, installation, and flow meter.</t>
  </si>
  <si>
    <t>Professional Judgment 50 gpm - includes pump control, control panel, installation, and flow meter.</t>
  </si>
  <si>
    <t>Professional Judgment 100 to 700 gpm - includes pump control, control panel, installation, and flow meter.</t>
  </si>
  <si>
    <t>Professional Judgment 800 to 2000 gpm - includes pump control, control panel, installation, and flow meter.</t>
  </si>
  <si>
    <t>Q/A</t>
  </si>
  <si>
    <t>Small Concrete Dam Life Expectancy (yr)</t>
  </si>
  <si>
    <t>Age at Reclamation (yr)</t>
  </si>
  <si>
    <t>Small Concrete Dam</t>
  </si>
  <si>
    <t>323213.10 3100</t>
  </si>
  <si>
    <t>Lined Pond Life Expectancy (yr)</t>
  </si>
  <si>
    <t>Engineering Judgment</t>
  </si>
  <si>
    <t>Material handling and spotting-conductors, primary circuits</t>
  </si>
  <si>
    <t>250,000 gallon steel tank, not including foundation., height/diameter Less than 1</t>
  </si>
  <si>
    <t>Butt fusion joints, SDR 21, HDPE 40' lengths not including excavation or backfill, 4'' diameter</t>
  </si>
  <si>
    <t>Butt fusion joints, SDR 21, HDPE 40' lengths not including excavation or backfill, 6'' diameter</t>
  </si>
  <si>
    <t>Butt fusion joints, SDR 21, HDPE 40' lengths not including excavation or backfill, 8'' diameter</t>
  </si>
  <si>
    <t>Butt fusion joints, SDR 21, HDPE 40' lengths not including excavation or backfill, 10'' diameter</t>
  </si>
  <si>
    <t>Butt fusion joints, SDR 21, HDPE 40' lengths not including excavation or backfill, 12'' diameter</t>
  </si>
  <si>
    <t>Butt fusion joints, SDR 21, HDPE 40' lengths not including excavation or backfill, 14'' diameter</t>
  </si>
  <si>
    <t>Butt fusion joints, SDR 21, HDPE 40' lengths not including excavation or backfill, 16'' diameter</t>
  </si>
  <si>
    <t>Industrial rate date looked up 9/11/2014  ( http://www.electricitylocal.com/states/new-mexico/silver-city/)</t>
  </si>
  <si>
    <t>Site Demo, pipe removal, sewer/water no excavation, plastic pipe, 3/4''-4'' diameter</t>
  </si>
  <si>
    <t>Site Demo, pipe removal, sewer/water no excavation, plastic pipe, 6''-8'' diameter</t>
  </si>
  <si>
    <t>Site Demo, pipe removal, sewer/water no excavation, plastic pipe, 10''-18'' diameter</t>
  </si>
  <si>
    <t>Assume similar to 10' high 33 degree slope concrete retaining wall, cast concrete reinforced concrete cantilever, including excavation, backfill &amp; reinforced.</t>
  </si>
  <si>
    <r>
      <t xml:space="preserve">Environmental Sampling, Analysis and Reporting </t>
    </r>
    <r>
      <rPr>
        <b/>
        <vertAlign val="superscript"/>
        <sz val="10"/>
        <rFont val="Times New Roman"/>
        <family val="1"/>
      </rPr>
      <t>(1)</t>
    </r>
  </si>
  <si>
    <t>Shipping 
(coolers per sample)</t>
  </si>
  <si>
    <t>Analysis and Shipping Cost ($/sample)</t>
  </si>
  <si>
    <t>Labor (hours/sample)</t>
  </si>
  <si>
    <t>($/sample)</t>
  </si>
  <si>
    <t>Total Cost Years 0-99</t>
  </si>
  <si>
    <t>Subtotal, Direct Costs</t>
  </si>
  <si>
    <t>Subtotal, Indirect Costs</t>
  </si>
  <si>
    <t>Capital and Replacement</t>
  </si>
  <si>
    <t>Ponds and Tanks</t>
  </si>
  <si>
    <t>Electrical</t>
  </si>
  <si>
    <t>Operations and Maintenance</t>
  </si>
  <si>
    <t>**Removal costs are included in earthwork portion of the cost estimate.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</si>
  <si>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Removal costs for ponds and tanks is included in the earthwork portion of the cost estimate.</t>
    </r>
  </si>
  <si>
    <r>
      <t>Removal</t>
    </r>
    <r>
      <rPr>
        <vertAlign val="superscript"/>
        <sz val="12"/>
        <rFont val="Times New Roman"/>
        <family val="1"/>
      </rPr>
      <t>1</t>
    </r>
  </si>
  <si>
    <t>Electricity and Fuel</t>
  </si>
  <si>
    <t>Capital Indirect Costs Percentage</t>
  </si>
  <si>
    <t>O&amp;M Indirect Costs Percentage</t>
  </si>
  <si>
    <t>Electricity, Fuel, and Environmental Sampling Indirect Costs Percentage</t>
  </si>
  <si>
    <t>Subtotal</t>
  </si>
  <si>
    <t>Estimated average stormwater runoff, after 12-year vegetation establishment period (Condition 87 CN=62, gal/year/acre)</t>
  </si>
  <si>
    <t>Direct Cost ($)</t>
  </si>
  <si>
    <t>tailings pipeline flushing</t>
  </si>
  <si>
    <t xml:space="preserve">tailings pipeline flushing </t>
  </si>
  <si>
    <t>Age Today 
(yr)</t>
  </si>
  <si>
    <t>Age at Reclamation 
(yr)</t>
  </si>
  <si>
    <t>Operational Kilowatts 
(kW)</t>
  </si>
  <si>
    <t>Average Pumping Rate 
(gal/yr)</t>
  </si>
  <si>
    <t>Line 
(ft)</t>
  </si>
  <si>
    <t>Direct Cost 
($)</t>
  </si>
  <si>
    <t>Direct Cost Removal
($)</t>
  </si>
  <si>
    <t>Direct Pump Cost
New and Replacement
($)</t>
  </si>
  <si>
    <t>Direct Cost Maintenance ($/yr)</t>
  </si>
  <si>
    <t>Direct Cost Maintenance ($)</t>
  </si>
  <si>
    <t>Direct Cost Electricity and Fuel
($)</t>
  </si>
  <si>
    <t>Direct Cost Maintenance Ponds Closed Post Closure 
($)</t>
  </si>
  <si>
    <t>Direct Cost Maintenance Ponds Closed Post Closure ($/yr)</t>
  </si>
  <si>
    <t>Direct Cost New and Replacement ($)</t>
  </si>
  <si>
    <t>Power 
(HP)</t>
  </si>
  <si>
    <t>Direct Cost
Removal
($)</t>
  </si>
  <si>
    <t>Direct Cost Maintenance
($/yr)</t>
  </si>
  <si>
    <t>Direct Cost Maintenance
($)</t>
  </si>
  <si>
    <t>Direct Cost Removal 
($)</t>
  </si>
  <si>
    <t>Direct Cost
Pole and crossarm ($)</t>
  </si>
  <si>
    <t>Direct Cost
Wiring Installation ($)</t>
  </si>
  <si>
    <t>Direct Cost Transformer  ($)</t>
  </si>
  <si>
    <t xml:space="preserve">Direct Cost
Electrical Panel ($) </t>
  </si>
  <si>
    <t>Direct Cost New 
($)</t>
  </si>
  <si>
    <t>Direct Cost New 
and 
Replacement ($/ft)</t>
  </si>
  <si>
    <t>Direct Cost Removal
($/ft)</t>
  </si>
  <si>
    <t>Direct Cost
New and Replacement
($/ea)</t>
  </si>
  <si>
    <t>Direct Annual Operational Cost
($/yr)</t>
  </si>
  <si>
    <t>Direct Operational Cost 
($)</t>
  </si>
  <si>
    <t>Direct Cost New 
and 
Replacement ($/ea)</t>
  </si>
  <si>
    <t xml:space="preserve">Total </t>
  </si>
  <si>
    <t xml:space="preserve">Cash </t>
  </si>
  <si>
    <t>Flow</t>
  </si>
  <si>
    <t>Water Management Summary</t>
  </si>
  <si>
    <t>Cobre Mining Company</t>
  </si>
  <si>
    <t>Based on Projected 2019 Mine Plan</t>
  </si>
  <si>
    <t>Current Value</t>
  </si>
  <si>
    <t>DIRECT COSTS</t>
  </si>
  <si>
    <t xml:space="preserve">Mobilization and Demobilization </t>
  </si>
  <si>
    <t xml:space="preserve">Contingencies </t>
  </si>
  <si>
    <t xml:space="preserve">Engineering Redesign Fee </t>
  </si>
  <si>
    <t xml:space="preserve">Contractor Profit and Overhead </t>
  </si>
  <si>
    <t xml:space="preserve">Project Management Fee </t>
  </si>
  <si>
    <t>State Procurement Cost</t>
  </si>
  <si>
    <t>Indirect Percentage Sum =</t>
  </si>
  <si>
    <t>TOTAL COST</t>
  </si>
  <si>
    <t>Data Sources:</t>
  </si>
  <si>
    <t xml:space="preserve">MMD.  1996.  Closeout Plan Guidelines for Existing Mines, Mining Act Reclamation Bureau Mining and Minerals Division </t>
  </si>
  <si>
    <t xml:space="preserve">                     New Mexico Energy, Minerals and Natural Resources Department.  April 30, 1996.</t>
  </si>
  <si>
    <t xml:space="preserve">OSM.  2000.  U.S. Department of the Interior, Office of Surface Mining Reclamation and Enforcement </t>
  </si>
  <si>
    <t xml:space="preserve">                     Handbook for Calculation of Reclamation Bond Amounts.  April 5, 2000.</t>
  </si>
  <si>
    <t>Notes:</t>
  </si>
  <si>
    <t>1)</t>
  </si>
  <si>
    <t>Indirect costs are based on the guidance available from MMD (1996) and OSM (2000).</t>
  </si>
  <si>
    <t>ELECTRICITY, FUEL, AND SAMPLING</t>
  </si>
  <si>
    <r>
      <t>INDIRECT COSTS</t>
    </r>
    <r>
      <rPr>
        <b/>
        <vertAlign val="superscript"/>
        <sz val="10"/>
        <rFont val="Arial"/>
        <family val="2"/>
      </rPr>
      <t>1</t>
    </r>
  </si>
  <si>
    <t>Water Management Cash Flow</t>
  </si>
  <si>
    <t>Water Management Cost Estimate</t>
  </si>
  <si>
    <t>Direct Pump Cost New
and Replacement
($/replacement)</t>
  </si>
  <si>
    <t>Water Management Worksheet #1</t>
  </si>
  <si>
    <t>Water Management Worksheet #2</t>
  </si>
  <si>
    <t>Water Management Worksheet #3</t>
  </si>
  <si>
    <t>Water Management Worksheet #4</t>
  </si>
  <si>
    <t>Reclamation Start Year (2020)</t>
  </si>
  <si>
    <t>Stormwater Capture Area, Pumped Water only 
(acres)</t>
  </si>
  <si>
    <t xml:space="preserve">Electric Panel Cost </t>
  </si>
  <si>
    <t>Pump Removal Cost</t>
  </si>
  <si>
    <t>Electrical Wiring Installation c.)</t>
  </si>
  <si>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Sampling vehicles and equipment are assumed to be included in the routine duty for site personnel.</t>
    </r>
  </si>
  <si>
    <t>East WRF Containment</t>
  </si>
  <si>
    <t>Reclamation Finished</t>
  </si>
  <si>
    <t>Vegetation Established Assume stormwater released</t>
  </si>
  <si>
    <t>Magnetite Seepage Pond</t>
  </si>
  <si>
    <t>Average Seepage through Reclamation year 5 (gal/year)</t>
  </si>
  <si>
    <t>Estimated average stormwater runoff non-revegetated (CN=85, gal/year/acre)</t>
  </si>
  <si>
    <t>Surge Tank***</t>
  </si>
  <si>
    <t>***Surge Tank is Industrial PMLU.</t>
  </si>
  <si>
    <t>Bullfrog pipeline *</t>
  </si>
  <si>
    <t>*Bullfrog pipeline has an Industrial PMLU</t>
  </si>
  <si>
    <t>Post Closure Post Completed Reclamation (Reclamation Year 6 to 12)</t>
  </si>
  <si>
    <t>Pumps (continued)</t>
  </si>
  <si>
    <t>Post Closure Pre Completed Reclamation
 (Through Reclamation Year 5)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</si>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</sst>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#,##0.0"/>
    <numFmt numFmtId="167" formatCode="&quot;$&quot;#,##0"/>
    <numFmt numFmtId="168" formatCode="&quot;$&quot;#,##0.00"/>
    <numFmt numFmtId="169" formatCode="m/d/yy"/>
    <numFmt numFmtId="170" formatCode="0.0%"/>
    <numFmt numFmtId="171" formatCode="#,##0.0_);\(#,##0.0\)"/>
    <numFmt numFmtId="172" formatCode="#,##0.000"/>
    <numFmt numFmtId="173" formatCode="&quot;$&quot;#,##0.000"/>
    <numFmt numFmtId="174" formatCode="&quot;$&quot;#,##0.0000"/>
    <numFmt numFmtId="175" formatCode="m/d/yy;@"/>
    <numFmt numFmtId="176" formatCode="_(* #,##0_);_(* \(#,##0\);_(* &quot;-&quot;??_);_(@_)"/>
  </numFmts>
  <fonts count="31">
    <font>
      <sz val="12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vertAlign val="superscript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/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thin"/>
      <top/>
      <bottom/>
    </border>
    <border>
      <left style="thin"/>
      <right style="double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 applyProtection="0">
      <alignment/>
    </xf>
  </cellStyleXfs>
  <cellXfs count="43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166" fontId="0" fillId="0" borderId="0" xfId="0" applyNumberFormat="1" applyFill="1"/>
    <xf numFmtId="167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167" fontId="2" fillId="0" borderId="0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167" fontId="0" fillId="0" borderId="0" xfId="0" applyNumberFormat="1" applyFont="1" applyFill="1"/>
    <xf numFmtId="1" fontId="0" fillId="0" borderId="0" xfId="0" applyNumberFormat="1"/>
    <xf numFmtId="3" fontId="0" fillId="0" borderId="0" xfId="0" applyNumberFormat="1" applyFill="1" applyAlignment="1">
      <alignment horizontal="right"/>
    </xf>
    <xf numFmtId="0" fontId="8" fillId="0" borderId="0" xfId="25" applyFont="1" applyFill="1" applyBorder="1">
      <alignment/>
      <protection/>
    </xf>
    <xf numFmtId="0" fontId="1" fillId="0" borderId="0" xfId="25" applyFill="1" applyBorder="1">
      <alignment/>
      <protection/>
    </xf>
    <xf numFmtId="0" fontId="1" fillId="0" borderId="0" xfId="25" applyFill="1">
      <alignment/>
      <protection/>
    </xf>
    <xf numFmtId="3" fontId="1" fillId="0" borderId="0" xfId="25" applyNumberFormat="1" applyFill="1">
      <alignment/>
      <protection/>
    </xf>
    <xf numFmtId="0" fontId="1" fillId="0" borderId="0" xfId="25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1" fillId="0" borderId="0" xfId="25" applyFill="1" applyBorder="1" quotePrefix="1">
      <alignment/>
      <protection/>
    </xf>
    <xf numFmtId="2" fontId="1" fillId="0" borderId="0" xfId="25" applyNumberFormat="1" applyFill="1" applyBorder="1">
      <alignment/>
      <protection/>
    </xf>
    <xf numFmtId="4" fontId="1" fillId="0" borderId="0" xfId="25" applyNumberFormat="1" applyFill="1" applyBorder="1" applyAlignment="1" quotePrefix="1">
      <alignment horizontal="right"/>
      <protection/>
    </xf>
    <xf numFmtId="3" fontId="1" fillId="0" borderId="0" xfId="25" applyNumberFormat="1" applyFill="1" applyBorder="1">
      <alignment/>
      <protection/>
    </xf>
    <xf numFmtId="3" fontId="1" fillId="0" borderId="0" xfId="25" applyNumberFormat="1" applyFont="1" applyFill="1" applyBorder="1">
      <alignment/>
      <protection/>
    </xf>
    <xf numFmtId="0" fontId="1" fillId="0" borderId="0" xfId="25" applyFont="1" applyFill="1" applyBorder="1">
      <alignment/>
      <protection/>
    </xf>
    <xf numFmtId="9" fontId="1" fillId="0" borderId="0" xfId="25" applyNumberFormat="1" applyFill="1" applyBorder="1">
      <alignment/>
      <protection/>
    </xf>
    <xf numFmtId="0" fontId="1" fillId="0" borderId="0" xfId="25" applyFont="1" applyFill="1" applyBorder="1" applyAlignment="1">
      <alignment horizontal="right"/>
      <protection/>
    </xf>
    <xf numFmtId="3" fontId="1" fillId="0" borderId="0" xfId="25" applyNumberFormat="1" applyFill="1" applyBorder="1" applyAlignment="1" quotePrefix="1">
      <alignment horizontal="right"/>
      <protection/>
    </xf>
    <xf numFmtId="0" fontId="1" fillId="0" borderId="0" xfId="25" applyFill="1" applyBorder="1" applyAlignment="1">
      <alignment horizontal="center"/>
      <protection/>
    </xf>
    <xf numFmtId="4" fontId="1" fillId="0" borderId="0" xfId="25" applyNumberFormat="1" applyFill="1" applyBorder="1" applyAlignment="1" applyProtection="1">
      <alignment horizontal="center"/>
      <protection/>
    </xf>
    <xf numFmtId="0" fontId="1" fillId="0" borderId="0" xfId="25" applyFill="1" applyBorder="1" applyAlignment="1" quotePrefix="1">
      <alignment horizontal="center"/>
      <protection/>
    </xf>
    <xf numFmtId="168" fontId="1" fillId="0" borderId="0" xfId="25" applyNumberFormat="1" applyFill="1" applyBorder="1" applyAlignment="1" applyProtection="1">
      <alignment horizontal="center"/>
      <protection/>
    </xf>
    <xf numFmtId="0" fontId="1" fillId="0" borderId="0" xfId="25" applyFill="1" applyAlignment="1">
      <alignment horizontal="center"/>
      <protection/>
    </xf>
    <xf numFmtId="1" fontId="1" fillId="0" borderId="0" xfId="25" applyNumberFormat="1" applyFill="1" applyAlignment="1">
      <alignment horizontal="center"/>
      <protection/>
    </xf>
    <xf numFmtId="44" fontId="1" fillId="0" borderId="0" xfId="16" applyFont="1" applyFill="1" applyAlignment="1">
      <alignment horizontal="center"/>
    </xf>
    <xf numFmtId="0" fontId="1" fillId="0" borderId="1" xfId="25" applyFill="1" applyBorder="1" applyAlignment="1">
      <alignment horizontal="center"/>
      <protection/>
    </xf>
    <xf numFmtId="4" fontId="1" fillId="0" borderId="1" xfId="25" applyNumberFormat="1" applyFill="1" applyBorder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Fill="1"/>
    <xf numFmtId="0" fontId="8" fillId="0" borderId="0" xfId="0" applyFont="1"/>
    <xf numFmtId="0" fontId="8" fillId="0" borderId="0" xfId="0" applyFont="1" applyBorder="1"/>
    <xf numFmtId="44" fontId="1" fillId="0" borderId="0" xfId="25" applyNumberFormat="1" applyFill="1">
      <alignment/>
      <protection/>
    </xf>
    <xf numFmtId="167" fontId="2" fillId="0" borderId="0" xfId="0" applyNumberFormat="1" applyFont="1" applyFill="1"/>
    <xf numFmtId="3" fontId="0" fillId="0" borderId="0" xfId="0" applyNumberFormat="1" applyFill="1" applyAlignment="1">
      <alignment horizontal="center"/>
    </xf>
    <xf numFmtId="0" fontId="1" fillId="0" borderId="0" xfId="22">
      <alignment/>
      <protection/>
    </xf>
    <xf numFmtId="0" fontId="1" fillId="0" borderId="0" xfId="22" applyAlignment="1">
      <alignment horizontal="center"/>
      <protection/>
    </xf>
    <xf numFmtId="3" fontId="12" fillId="0" borderId="0" xfId="25" applyNumberFormat="1" applyFont="1" applyFill="1" applyBorder="1">
      <alignment/>
      <protection/>
    </xf>
    <xf numFmtId="0" fontId="14" fillId="0" borderId="0" xfId="24" applyFont="1">
      <alignment/>
      <protection/>
    </xf>
    <xf numFmtId="0" fontId="11" fillId="0" borderId="0" xfId="24">
      <alignment/>
      <protection/>
    </xf>
    <xf numFmtId="0" fontId="11" fillId="0" borderId="0" xfId="24" applyFill="1">
      <alignment/>
      <protection/>
    </xf>
    <xf numFmtId="0" fontId="17" fillId="0" borderId="0" xfId="24" applyFont="1">
      <alignment/>
      <protection/>
    </xf>
    <xf numFmtId="0" fontId="18" fillId="0" borderId="0" xfId="24" applyFont="1" applyFill="1">
      <alignment/>
      <protection/>
    </xf>
    <xf numFmtId="0" fontId="0" fillId="0" borderId="0" xfId="0" applyFill="1" applyAlignment="1">
      <alignment horizontal="right"/>
    </xf>
    <xf numFmtId="0" fontId="1" fillId="0" borderId="0" xfId="25" applyFont="1" applyFill="1">
      <alignment/>
      <protection/>
    </xf>
    <xf numFmtId="0" fontId="0" fillId="0" borderId="0" xfId="0" applyFont="1"/>
    <xf numFmtId="169" fontId="1" fillId="0" borderId="0" xfId="25" applyNumberFormat="1" applyFill="1" applyBorder="1" applyAlignment="1">
      <alignment horizontal="right"/>
      <protection/>
    </xf>
    <xf numFmtId="167" fontId="12" fillId="0" borderId="0" xfId="25" applyNumberFormat="1" applyFont="1" applyFill="1" applyBorder="1">
      <alignment/>
      <protection/>
    </xf>
    <xf numFmtId="0" fontId="0" fillId="0" borderId="0" xfId="0" applyFont="1" applyFill="1"/>
    <xf numFmtId="0" fontId="1" fillId="0" borderId="0" xfId="23">
      <alignment/>
      <protection/>
    </xf>
    <xf numFmtId="0" fontId="1" fillId="0" borderId="0" xfId="23" applyBorder="1">
      <alignment/>
      <protection/>
    </xf>
    <xf numFmtId="3" fontId="3" fillId="0" borderId="2" xfId="0" applyNumberFormat="1" applyFont="1" applyBorder="1" applyAlignment="1">
      <alignment horizontal="center"/>
    </xf>
    <xf numFmtId="39" fontId="3" fillId="0" borderId="3" xfId="23" applyNumberFormat="1" applyFont="1" applyBorder="1" applyAlignment="1">
      <alignment horizontal="center"/>
      <protection/>
    </xf>
    <xf numFmtId="42" fontId="3" fillId="0" borderId="4" xfId="23" applyNumberFormat="1" applyFont="1" applyBorder="1">
      <alignment/>
      <protection/>
    </xf>
    <xf numFmtId="0" fontId="1" fillId="0" borderId="0" xfId="23" applyFont="1">
      <alignment/>
      <protection/>
    </xf>
    <xf numFmtId="164" fontId="1" fillId="0" borderId="0" xfId="21" applyNumberFormat="1" applyFont="1"/>
    <xf numFmtId="0" fontId="1" fillId="0" borderId="0" xfId="22" applyNumberFormat="1" applyAlignment="1">
      <alignment horizontal="center"/>
      <protection/>
    </xf>
    <xf numFmtId="167" fontId="0" fillId="0" borderId="5" xfId="0" applyNumberFormat="1" applyBorder="1"/>
    <xf numFmtId="167" fontId="2" fillId="0" borderId="5" xfId="0" applyNumberFormat="1" applyFont="1" applyBorder="1"/>
    <xf numFmtId="0" fontId="17" fillId="0" borderId="0" xfId="24" applyFont="1" applyFill="1">
      <alignment/>
      <protection/>
    </xf>
    <xf numFmtId="170" fontId="1" fillId="0" borderId="0" xfId="25" applyNumberFormat="1" applyFill="1" applyBorder="1">
      <alignment/>
      <protection/>
    </xf>
    <xf numFmtId="0" fontId="10" fillId="0" borderId="0" xfId="0" applyFont="1" applyBorder="1"/>
    <xf numFmtId="0" fontId="17" fillId="0" borderId="6" xfId="24" applyFont="1" applyFill="1" applyBorder="1" applyAlignment="1">
      <alignment horizontal="left" vertical="center"/>
      <protection/>
    </xf>
    <xf numFmtId="0" fontId="17" fillId="0" borderId="5" xfId="24" applyFont="1" applyFill="1" applyBorder="1" applyAlignment="1">
      <alignment horizontal="center"/>
      <protection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/>
    </xf>
    <xf numFmtId="0" fontId="17" fillId="0" borderId="6" xfId="24" applyFont="1" applyFill="1" applyBorder="1" applyAlignment="1">
      <alignment horizontal="left" vertical="center" wrapText="1"/>
      <protection/>
    </xf>
    <xf numFmtId="0" fontId="17" fillId="0" borderId="7" xfId="24" applyFont="1" applyFill="1" applyBorder="1" applyAlignment="1">
      <alignment horizontal="left" vertical="center"/>
      <protection/>
    </xf>
    <xf numFmtId="0" fontId="15" fillId="2" borderId="8" xfId="24" applyFont="1" applyFill="1" applyBorder="1" applyAlignment="1">
      <alignment horizontal="center" vertical="center" wrapText="1"/>
      <protection/>
    </xf>
    <xf numFmtId="0" fontId="15" fillId="2" borderId="8" xfId="24" applyFont="1" applyFill="1" applyBorder="1" applyAlignment="1">
      <alignment horizontal="center"/>
      <protection/>
    </xf>
    <xf numFmtId="0" fontId="15" fillId="2" borderId="9" xfId="24" applyFont="1" applyFill="1" applyBorder="1" applyAlignment="1">
      <alignment horizontal="center" wrapText="1"/>
      <protection/>
    </xf>
    <xf numFmtId="0" fontId="15" fillId="2" borderId="9" xfId="24" applyFont="1" applyFill="1" applyBorder="1" applyAlignment="1">
      <alignment horizontal="center"/>
      <protection/>
    </xf>
    <xf numFmtId="168" fontId="17" fillId="0" borderId="5" xfId="24" applyNumberFormat="1" applyFont="1" applyFill="1" applyBorder="1" applyAlignment="1">
      <alignment horizontal="center"/>
      <protection/>
    </xf>
    <xf numFmtId="167" fontId="17" fillId="0" borderId="5" xfId="24" applyNumberFormat="1" applyFont="1" applyFill="1" applyBorder="1" applyAlignment="1">
      <alignment horizontal="center"/>
      <protection/>
    </xf>
    <xf numFmtId="0" fontId="22" fillId="0" borderId="6" xfId="0" applyFont="1" applyBorder="1"/>
    <xf numFmtId="168" fontId="17" fillId="0" borderId="5" xfId="24" applyNumberFormat="1" applyFont="1" applyFill="1" applyBorder="1" applyAlignment="1" quotePrefix="1">
      <alignment horizontal="center"/>
      <protection/>
    </xf>
    <xf numFmtId="0" fontId="0" fillId="0" borderId="6" xfId="0" applyFont="1" applyBorder="1"/>
    <xf numFmtId="172" fontId="2" fillId="0" borderId="10" xfId="0" applyNumberFormat="1" applyFont="1" applyFill="1" applyBorder="1" applyAlignment="1">
      <alignment horizontal="center"/>
    </xf>
    <xf numFmtId="44" fontId="1" fillId="0" borderId="0" xfId="23" applyNumberFormat="1">
      <alignment/>
      <protection/>
    </xf>
    <xf numFmtId="0" fontId="3" fillId="0" borderId="0" xfId="23" applyNumberFormat="1" applyFont="1" applyBorder="1" applyAlignment="1">
      <alignment horizontal="center" vertical="center" wrapText="1"/>
      <protection/>
    </xf>
    <xf numFmtId="165" fontId="3" fillId="0" borderId="0" xfId="23" applyNumberFormat="1" applyFont="1" applyFill="1" applyBorder="1" applyAlignment="1">
      <alignment horizontal="right"/>
      <protection/>
    </xf>
    <xf numFmtId="5" fontId="3" fillId="0" borderId="0" xfId="23" applyNumberFormat="1" applyFont="1" applyFill="1" applyBorder="1" applyAlignment="1">
      <alignment horizontal="right"/>
      <protection/>
    </xf>
    <xf numFmtId="39" fontId="3" fillId="0" borderId="0" xfId="23" applyNumberFormat="1" applyFont="1" applyFill="1" applyBorder="1" applyAlignment="1">
      <alignment horizontal="right"/>
      <protection/>
    </xf>
    <xf numFmtId="164" fontId="1" fillId="0" borderId="0" xfId="21" applyNumberFormat="1" applyFont="1" applyFill="1"/>
    <xf numFmtId="0" fontId="24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1" fillId="0" borderId="0" xfId="23" applyFill="1">
      <alignment/>
      <protection/>
    </xf>
    <xf numFmtId="0" fontId="19" fillId="0" borderId="0" xfId="23" applyFont="1" applyBorder="1" quotePrefix="1">
      <alignment/>
      <protection/>
    </xf>
    <xf numFmtId="42" fontId="2" fillId="0" borderId="0" xfId="23" applyNumberFormat="1" applyFont="1" applyBorder="1">
      <alignment/>
      <protection/>
    </xf>
    <xf numFmtId="42" fontId="1" fillId="0" borderId="0" xfId="23" applyNumberFormat="1" applyBorder="1">
      <alignment/>
      <protection/>
    </xf>
    <xf numFmtId="0" fontId="2" fillId="0" borderId="0" xfId="0" applyFont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right"/>
    </xf>
    <xf numFmtId="4" fontId="0" fillId="0" borderId="0" xfId="0" applyNumberFormat="1"/>
    <xf numFmtId="167" fontId="0" fillId="0" borderId="0" xfId="0" applyNumberFormat="1" applyAlignment="1">
      <alignment horizontal="center" vertical="center" wrapText="1"/>
    </xf>
    <xf numFmtId="3" fontId="1" fillId="0" borderId="0" xfId="25" applyNumberFormat="1" applyFill="1" applyBorder="1" applyAlignment="1">
      <alignment horizontal="right"/>
      <protection/>
    </xf>
    <xf numFmtId="167" fontId="17" fillId="0" borderId="5" xfId="24" applyNumberFormat="1" applyFont="1" applyFill="1" applyBorder="1" applyAlignment="1" quotePrefix="1">
      <alignment horizontal="center"/>
      <protection/>
    </xf>
    <xf numFmtId="2" fontId="0" fillId="0" borderId="0" xfId="0" applyNumberFormat="1" applyFont="1"/>
    <xf numFmtId="2" fontId="0" fillId="0" borderId="0" xfId="0" applyNumberFormat="1"/>
    <xf numFmtId="173" fontId="0" fillId="0" borderId="0" xfId="0" applyNumberFormat="1"/>
    <xf numFmtId="170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2" fontId="3" fillId="0" borderId="4" xfId="23" applyNumberFormat="1" applyFont="1" applyFill="1" applyBorder="1">
      <alignment/>
      <protection/>
    </xf>
    <xf numFmtId="168" fontId="17" fillId="0" borderId="13" xfId="24" applyNumberFormat="1" applyFont="1" applyFill="1" applyBorder="1" applyAlignment="1">
      <alignment horizontal="center"/>
      <protection/>
    </xf>
    <xf numFmtId="0" fontId="17" fillId="0" borderId="13" xfId="24" applyFont="1" applyFill="1" applyBorder="1" applyAlignment="1">
      <alignment horizontal="center"/>
      <protection/>
    </xf>
    <xf numFmtId="0" fontId="17" fillId="0" borderId="14" xfId="24" applyFont="1" applyFill="1" applyBorder="1" applyAlignment="1">
      <alignment wrapText="1"/>
      <protection/>
    </xf>
    <xf numFmtId="0" fontId="17" fillId="0" borderId="11" xfId="24" applyFont="1" applyFill="1" applyBorder="1" applyAlignment="1">
      <alignment wrapText="1"/>
      <protection/>
    </xf>
    <xf numFmtId="0" fontId="17" fillId="0" borderId="5" xfId="24" applyFont="1" applyFill="1" applyBorder="1" applyAlignment="1">
      <alignment horizontal="center" wrapText="1"/>
      <protection/>
    </xf>
    <xf numFmtId="167" fontId="17" fillId="0" borderId="5" xfId="18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0" fontId="17" fillId="0" borderId="11" xfId="24" applyFont="1" applyFill="1" applyBorder="1" applyAlignment="1">
      <alignment horizontal="left"/>
      <protection/>
    </xf>
    <xf numFmtId="0" fontId="17" fillId="0" borderId="11" xfId="24" applyFont="1" applyFill="1" applyBorder="1" applyAlignment="1">
      <alignment horizontal="left" wrapText="1"/>
      <protection/>
    </xf>
    <xf numFmtId="0" fontId="17" fillId="0" borderId="5" xfId="24" applyFont="1" applyFill="1" applyBorder="1" applyAlignment="1" quotePrefix="1">
      <alignment horizontal="center"/>
      <protection/>
    </xf>
    <xf numFmtId="167" fontId="17" fillId="0" borderId="5" xfId="0" applyNumberFormat="1" applyFont="1" applyFill="1" applyBorder="1" applyAlignment="1">
      <alignment horizontal="center"/>
    </xf>
    <xf numFmtId="174" fontId="22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 quotePrefix="1">
      <alignment horizontal="center"/>
    </xf>
    <xf numFmtId="0" fontId="22" fillId="0" borderId="6" xfId="0" applyFont="1" applyFill="1" applyBorder="1"/>
    <xf numFmtId="173" fontId="22" fillId="0" borderId="5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vertical="center" wrapText="1"/>
    </xf>
    <xf numFmtId="167" fontId="22" fillId="0" borderId="5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167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7" fillId="0" borderId="11" xfId="0" applyFont="1" applyFill="1" applyBorder="1" applyAlignment="1" quotePrefix="1">
      <alignment wrapText="1"/>
    </xf>
    <xf numFmtId="0" fontId="23" fillId="0" borderId="15" xfId="0" applyFont="1" applyFill="1" applyBorder="1" applyAlignment="1">
      <alignment vertical="center" wrapText="1"/>
    </xf>
    <xf numFmtId="167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ill="1" applyAlignment="1">
      <alignment horizontal="center" vertical="center" wrapText="1"/>
    </xf>
    <xf numFmtId="0" fontId="3" fillId="0" borderId="17" xfId="23" applyNumberFormat="1" applyFont="1" applyBorder="1" applyAlignment="1">
      <alignment horizontal="center" wrapText="1"/>
      <protection/>
    </xf>
    <xf numFmtId="0" fontId="3" fillId="0" borderId="3" xfId="23" applyNumberFormat="1" applyFont="1" applyBorder="1" applyAlignment="1">
      <alignment horizontal="center"/>
      <protection/>
    </xf>
    <xf numFmtId="42" fontId="3" fillId="0" borderId="18" xfId="23" applyNumberFormat="1" applyFont="1" applyBorder="1">
      <alignment/>
      <protection/>
    </xf>
    <xf numFmtId="165" fontId="3" fillId="0" borderId="19" xfId="23" applyNumberFormat="1" applyFont="1" applyBorder="1">
      <alignment/>
      <protection/>
    </xf>
    <xf numFmtId="165" fontId="3" fillId="0" borderId="5" xfId="23" applyNumberFormat="1" applyFont="1" applyBorder="1">
      <alignment/>
      <protection/>
    </xf>
    <xf numFmtId="42" fontId="3" fillId="0" borderId="5" xfId="23" applyNumberFormat="1" applyFont="1" applyBorder="1">
      <alignment/>
      <protection/>
    </xf>
    <xf numFmtId="171" fontId="3" fillId="0" borderId="5" xfId="23" applyNumberFormat="1" applyFont="1" applyBorder="1">
      <alignment/>
      <protection/>
    </xf>
    <xf numFmtId="42" fontId="3" fillId="0" borderId="20" xfId="23" applyNumberFormat="1" applyFont="1" applyBorder="1">
      <alignment/>
      <protection/>
    </xf>
    <xf numFmtId="0" fontId="3" fillId="0" borderId="13" xfId="23" applyNumberFormat="1" applyFont="1" applyBorder="1" applyAlignment="1">
      <alignment horizontal="center" vertical="center" wrapText="1"/>
      <protection/>
    </xf>
    <xf numFmtId="0" fontId="3" fillId="0" borderId="21" xfId="23" applyNumberFormat="1" applyFont="1" applyBorder="1" applyAlignment="1">
      <alignment horizontal="center" vertical="center" wrapText="1"/>
      <protection/>
    </xf>
    <xf numFmtId="0" fontId="3" fillId="0" borderId="0" xfId="23" applyFont="1">
      <alignment/>
      <protection/>
    </xf>
    <xf numFmtId="0" fontId="3" fillId="0" borderId="22" xfId="23" applyFont="1" applyBorder="1" applyAlignment="1">
      <alignment horizontal="centerContinuous"/>
      <protection/>
    </xf>
    <xf numFmtId="0" fontId="3" fillId="0" borderId="18" xfId="23" applyFont="1" applyBorder="1">
      <alignment/>
      <protection/>
    </xf>
    <xf numFmtId="0" fontId="3" fillId="0" borderId="23" xfId="23" applyFont="1" applyBorder="1">
      <alignment/>
      <protection/>
    </xf>
    <xf numFmtId="0" fontId="4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4" xfId="22" applyFont="1" applyBorder="1" applyAlignment="1">
      <alignment horizontal="center"/>
      <protection/>
    </xf>
    <xf numFmtId="0" fontId="3" fillId="0" borderId="23" xfId="22" applyFont="1" applyBorder="1" applyAlignment="1">
      <alignment horizontal="center"/>
      <protection/>
    </xf>
    <xf numFmtId="0" fontId="3" fillId="0" borderId="25" xfId="22" applyFont="1" applyBorder="1" applyAlignment="1">
      <alignment horizontal="center"/>
      <protection/>
    </xf>
    <xf numFmtId="0" fontId="3" fillId="0" borderId="3" xfId="22" applyFont="1" applyBorder="1" applyAlignment="1">
      <alignment horizontal="center"/>
      <protection/>
    </xf>
    <xf numFmtId="0" fontId="3" fillId="0" borderId="4" xfId="22" applyFont="1" applyBorder="1" applyAlignment="1">
      <alignment horizontal="center"/>
      <protection/>
    </xf>
    <xf numFmtId="0" fontId="3" fillId="0" borderId="26" xfId="22" applyFont="1" applyBorder="1" applyAlignment="1">
      <alignment horizontal="center"/>
      <protection/>
    </xf>
    <xf numFmtId="0" fontId="3" fillId="0" borderId="27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8" xfId="22" applyFont="1" applyBorder="1" applyAlignment="1">
      <alignment horizontal="center"/>
      <protection/>
    </xf>
    <xf numFmtId="0" fontId="3" fillId="0" borderId="28" xfId="22" applyFont="1" applyFill="1" applyBorder="1" applyAlignment="1">
      <alignment horizontal="center"/>
      <protection/>
    </xf>
    <xf numFmtId="0" fontId="3" fillId="0" borderId="29" xfId="22" applyFont="1" applyBorder="1" applyAlignment="1">
      <alignment horizontal="center"/>
      <protection/>
    </xf>
    <xf numFmtId="0" fontId="3" fillId="0" borderId="13" xfId="22" applyFont="1" applyBorder="1" applyAlignment="1">
      <alignment horizontal="center"/>
      <protection/>
    </xf>
    <xf numFmtId="0" fontId="3" fillId="0" borderId="30" xfId="22" applyFont="1" applyBorder="1" applyAlignment="1">
      <alignment horizontal="center"/>
      <protection/>
    </xf>
    <xf numFmtId="0" fontId="3" fillId="0" borderId="31" xfId="22" applyFont="1" applyBorder="1" applyAlignment="1">
      <alignment horizontal="center"/>
      <protection/>
    </xf>
    <xf numFmtId="2" fontId="3" fillId="0" borderId="3" xfId="22" applyNumberFormat="1" applyFont="1" applyFill="1" applyBorder="1" applyAlignment="1">
      <alignment horizontal="center"/>
      <protection/>
    </xf>
    <xf numFmtId="164" fontId="3" fillId="0" borderId="0" xfId="16" applyNumberFormat="1" applyFont="1"/>
    <xf numFmtId="164" fontId="3" fillId="0" borderId="18" xfId="22" applyNumberFormat="1" applyFont="1" applyBorder="1" applyAlignment="1">
      <alignment horizontal="center"/>
      <protection/>
    </xf>
    <xf numFmtId="0" fontId="3" fillId="0" borderId="32" xfId="22" applyFont="1" applyBorder="1" applyAlignment="1">
      <alignment horizontal="center"/>
      <protection/>
    </xf>
    <xf numFmtId="0" fontId="3" fillId="0" borderId="33" xfId="22" applyFont="1" applyBorder="1">
      <alignment/>
      <protection/>
    </xf>
    <xf numFmtId="0" fontId="3" fillId="0" borderId="33" xfId="22" applyFont="1" applyBorder="1" applyAlignment="1">
      <alignment horizontal="center"/>
      <protection/>
    </xf>
    <xf numFmtId="0" fontId="4" fillId="0" borderId="22" xfId="23" applyFont="1" applyBorder="1" applyAlignment="1">
      <alignment horizontal="centerContinuous"/>
      <protection/>
    </xf>
    <xf numFmtId="42" fontId="4" fillId="0" borderId="23" xfId="23" applyNumberFormat="1" applyFont="1" applyBorder="1">
      <alignment/>
      <protection/>
    </xf>
    <xf numFmtId="0" fontId="3" fillId="0" borderId="0" xfId="23" applyFont="1" applyBorder="1">
      <alignment/>
      <protection/>
    </xf>
    <xf numFmtId="42" fontId="4" fillId="0" borderId="0" xfId="23" applyNumberFormat="1" applyFont="1" applyBorder="1">
      <alignment/>
      <protection/>
    </xf>
    <xf numFmtId="0" fontId="3" fillId="0" borderId="28" xfId="22" applyFont="1" applyBorder="1" applyAlignment="1">
      <alignment horizontal="center"/>
      <protection/>
    </xf>
    <xf numFmtId="0" fontId="3" fillId="0" borderId="34" xfId="22" applyFont="1" applyBorder="1" applyAlignment="1">
      <alignment horizontal="center"/>
      <protection/>
    </xf>
    <xf numFmtId="0" fontId="4" fillId="0" borderId="33" xfId="22" applyFont="1" applyBorder="1" applyAlignment="1">
      <alignment horizontal="right"/>
      <protection/>
    </xf>
    <xf numFmtId="164" fontId="4" fillId="0" borderId="35" xfId="22" applyNumberFormat="1" applyFont="1" applyBorder="1" applyAlignment="1">
      <alignment horizontal="center"/>
      <protection/>
    </xf>
    <xf numFmtId="0" fontId="4" fillId="0" borderId="0" xfId="23" applyFont="1" applyBorder="1" applyAlignment="1">
      <alignment horizontal="centerContinuous"/>
      <protection/>
    </xf>
    <xf numFmtId="0" fontId="3" fillId="0" borderId="0" xfId="23" applyFont="1" applyBorder="1" applyAlignment="1">
      <alignment horizontal="centerContinuous"/>
      <protection/>
    </xf>
    <xf numFmtId="0" fontId="4" fillId="0" borderId="22" xfId="23" applyFont="1" applyBorder="1" applyAlignment="1">
      <alignment horizontal="left"/>
      <protection/>
    </xf>
    <xf numFmtId="167" fontId="0" fillId="0" borderId="11" xfId="0" applyNumberFormat="1" applyBorder="1"/>
    <xf numFmtId="0" fontId="0" fillId="0" borderId="7" xfId="0" applyFont="1" applyBorder="1"/>
    <xf numFmtId="167" fontId="0" fillId="0" borderId="13" xfId="0" applyNumberFormat="1" applyBorder="1"/>
    <xf numFmtId="167" fontId="0" fillId="0" borderId="14" xfId="0" applyNumberFormat="1" applyBorder="1"/>
    <xf numFmtId="0" fontId="0" fillId="0" borderId="36" xfId="0" applyFont="1" applyBorder="1"/>
    <xf numFmtId="167" fontId="0" fillId="0" borderId="26" xfId="0" applyNumberFormat="1" applyBorder="1"/>
    <xf numFmtId="167" fontId="0" fillId="0" borderId="37" xfId="0" applyNumberFormat="1" applyBorder="1"/>
    <xf numFmtId="0" fontId="2" fillId="0" borderId="38" xfId="0" applyFont="1" applyBorder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9" fontId="4" fillId="0" borderId="5" xfId="15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/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9" fontId="4" fillId="0" borderId="42" xfId="15" applyNumberFormat="1" applyFont="1" applyFill="1" applyBorder="1" applyAlignment="1">
      <alignment horizontal="center" vertical="center"/>
    </xf>
    <xf numFmtId="170" fontId="4" fillId="0" borderId="42" xfId="15" applyNumberFormat="1" applyFont="1" applyFill="1" applyBorder="1" applyAlignment="1">
      <alignment horizontal="center" vertical="center"/>
    </xf>
    <xf numFmtId="167" fontId="2" fillId="0" borderId="43" xfId="0" applyNumberFormat="1" applyFont="1" applyBorder="1"/>
    <xf numFmtId="167" fontId="2" fillId="0" borderId="10" xfId="0" applyNumberFormat="1" applyFont="1" applyBorder="1"/>
    <xf numFmtId="167" fontId="2" fillId="0" borderId="11" xfId="0" applyNumberFormat="1" applyFont="1" applyBorder="1"/>
    <xf numFmtId="167" fontId="2" fillId="0" borderId="26" xfId="0" applyNumberFormat="1" applyFont="1" applyBorder="1"/>
    <xf numFmtId="167" fontId="2" fillId="0" borderId="37" xfId="0" applyNumberFormat="1" applyFont="1" applyBorder="1"/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Alignment="1">
      <alignment horizontal="right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0" xfId="0" applyFill="1" applyBorder="1" applyAlignment="1">
      <alignment horizontal="left"/>
    </xf>
    <xf numFmtId="0" fontId="0" fillId="0" borderId="46" xfId="0" applyFont="1" applyFill="1" applyBorder="1"/>
    <xf numFmtId="0" fontId="0" fillId="0" borderId="22" xfId="0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7" fillId="0" borderId="3" xfId="0" applyFont="1" applyBorder="1"/>
    <xf numFmtId="0" fontId="0" fillId="0" borderId="0" xfId="0" applyFill="1" applyBorder="1" applyAlignment="1">
      <alignment horizontal="right"/>
    </xf>
    <xf numFmtId="0" fontId="0" fillId="0" borderId="22" xfId="0" applyFont="1" applyFill="1" applyBorder="1"/>
    <xf numFmtId="0" fontId="0" fillId="0" borderId="22" xfId="0" applyFill="1" applyBorder="1"/>
    <xf numFmtId="0" fontId="0" fillId="0" borderId="46" xfId="0" applyFill="1" applyBorder="1"/>
    <xf numFmtId="0" fontId="0" fillId="0" borderId="4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48" xfId="23" applyNumberFormat="1" applyFont="1" applyBorder="1" applyAlignment="1">
      <alignment horizontal="center" vertical="center" wrapText="1"/>
      <protection/>
    </xf>
    <xf numFmtId="0" fontId="3" fillId="0" borderId="49" xfId="23" applyNumberFormat="1" applyFont="1" applyBorder="1" applyAlignment="1">
      <alignment horizontal="center" vertical="center" wrapText="1"/>
      <protection/>
    </xf>
    <xf numFmtId="0" fontId="3" fillId="0" borderId="50" xfId="23" applyNumberFormat="1" applyFont="1" applyBorder="1" applyAlignment="1">
      <alignment horizontal="center" vertical="center" wrapText="1"/>
      <protection/>
    </xf>
    <xf numFmtId="0" fontId="3" fillId="0" borderId="51" xfId="23" applyNumberFormat="1" applyFont="1" applyBorder="1" applyAlignment="1">
      <alignment horizontal="center" vertical="center" wrapText="1"/>
      <protection/>
    </xf>
    <xf numFmtId="0" fontId="1" fillId="0" borderId="52" xfId="22" applyBorder="1" applyAlignment="1">
      <alignment horizontal="center"/>
      <protection/>
    </xf>
    <xf numFmtId="167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" fillId="0" borderId="0" xfId="26" applyFont="1" applyFill="1" applyBorder="1" applyAlignment="1">
      <alignment horizontal="right"/>
    </xf>
    <xf numFmtId="170" fontId="1" fillId="0" borderId="0" xfId="26" applyNumberFormat="1" applyFont="1" applyFill="1" applyBorder="1">
      <alignment/>
    </xf>
    <xf numFmtId="0" fontId="12" fillId="0" borderId="0" xfId="26" applyFont="1" applyFill="1" applyBorder="1" applyAlignment="1">
      <alignment horizontal="right"/>
    </xf>
    <xf numFmtId="0" fontId="12" fillId="0" borderId="0" xfId="26" applyFont="1" applyFill="1" applyBorder="1">
      <alignment/>
    </xf>
    <xf numFmtId="0" fontId="1" fillId="0" borderId="0" xfId="26" applyFont="1" applyFill="1" applyBorder="1">
      <alignment/>
    </xf>
    <xf numFmtId="170" fontId="1" fillId="0" borderId="0" xfId="26" applyNumberFormat="1" applyFont="1" applyFill="1" applyBorder="1" applyProtection="1">
      <alignment/>
      <protection/>
    </xf>
    <xf numFmtId="167" fontId="1" fillId="0" borderId="0" xfId="26" applyNumberFormat="1" applyFont="1" applyFill="1" applyBorder="1" applyProtection="1">
      <alignment/>
      <protection/>
    </xf>
    <xf numFmtId="167" fontId="12" fillId="0" borderId="0" xfId="26" applyNumberFormat="1" applyFont="1" applyFill="1" applyBorder="1">
      <alignment/>
    </xf>
    <xf numFmtId="0" fontId="1" fillId="0" borderId="0" xfId="25" applyFont="1" applyFill="1" applyAlignment="1">
      <alignment horizontal="right"/>
      <protection/>
    </xf>
    <xf numFmtId="14" fontId="1" fillId="0" borderId="0" xfId="25" applyNumberFormat="1" applyFont="1" applyFill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3" fillId="0" borderId="0" xfId="23" applyFont="1" applyAlignment="1">
      <alignment horizontal="right"/>
      <protection/>
    </xf>
    <xf numFmtId="175" fontId="3" fillId="0" borderId="0" xfId="23" applyNumberFormat="1" applyFont="1" applyAlignment="1">
      <alignment horizontal="right"/>
      <protection/>
    </xf>
    <xf numFmtId="17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Fill="1" applyBorder="1" applyAlignment="1" applyProtection="1" quotePrefix="1">
      <alignment horizontal="right"/>
      <protection/>
    </xf>
    <xf numFmtId="0" fontId="1" fillId="0" borderId="0" xfId="0" applyFont="1"/>
    <xf numFmtId="0" fontId="29" fillId="0" borderId="0" xfId="26" applyFont="1" applyFill="1" applyBorder="1">
      <alignment/>
    </xf>
    <xf numFmtId="0" fontId="1" fillId="0" borderId="0" xfId="26" applyFont="1" applyFill="1">
      <alignment/>
    </xf>
    <xf numFmtId="0" fontId="1" fillId="0" borderId="0" xfId="0" applyFont="1" applyFill="1"/>
    <xf numFmtId="167" fontId="12" fillId="0" borderId="0" xfId="0" applyNumberFormat="1" applyFont="1" applyFill="1"/>
    <xf numFmtId="167" fontId="1" fillId="0" borderId="0" xfId="0" applyNumberFormat="1" applyFont="1"/>
    <xf numFmtId="0" fontId="12" fillId="0" borderId="0" xfId="0" applyFont="1"/>
    <xf numFmtId="167" fontId="1" fillId="0" borderId="0" xfId="26" applyNumberFormat="1" applyFont="1" applyFill="1" applyBorder="1">
      <alignment/>
    </xf>
    <xf numFmtId="167" fontId="12" fillId="0" borderId="0" xfId="0" applyNumberFormat="1" applyFont="1"/>
    <xf numFmtId="0" fontId="2" fillId="0" borderId="45" xfId="0" applyFont="1" applyBorder="1" applyAlignment="1">
      <alignment horizontal="center" vertical="center" wrapText="1"/>
    </xf>
    <xf numFmtId="167" fontId="2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7" fontId="1" fillId="0" borderId="0" xfId="25" applyNumberFormat="1" applyFill="1" applyBorder="1">
      <alignment/>
      <protection/>
    </xf>
    <xf numFmtId="167" fontId="1" fillId="0" borderId="0" xfId="25" applyNumberFormat="1" applyFill="1" applyBorder="1" quotePrefix="1">
      <alignment/>
      <protection/>
    </xf>
    <xf numFmtId="167" fontId="1" fillId="0" borderId="0" xfId="25" applyNumberFormat="1" applyFill="1" applyBorder="1" applyAlignment="1" quotePrefix="1">
      <alignment horizontal="right"/>
      <protection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 quotePrefix="1">
      <alignment horizontal="center" vertical="center"/>
    </xf>
    <xf numFmtId="176" fontId="0" fillId="0" borderId="22" xfId="18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 vertical="center"/>
    </xf>
    <xf numFmtId="167" fontId="0" fillId="0" borderId="46" xfId="0" applyNumberFormat="1" applyFill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67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167" fontId="0" fillId="0" borderId="4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167" fontId="0" fillId="0" borderId="22" xfId="0" applyNumberFormat="1" applyFont="1" applyFill="1" applyBorder="1" applyAlignment="1">
      <alignment horizontal="center" vertical="center"/>
    </xf>
    <xf numFmtId="167" fontId="2" fillId="0" borderId="5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67" fontId="0" fillId="0" borderId="18" xfId="0" applyNumberForma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3" fontId="0" fillId="0" borderId="18" xfId="0" applyNumberFormat="1" applyFont="1" applyFill="1" applyBorder="1" applyAlignment="1" quotePrefix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 quotePrefix="1">
      <alignment horizontal="center" vertical="center"/>
    </xf>
    <xf numFmtId="3" fontId="0" fillId="0" borderId="54" xfId="0" applyNumberFormat="1" applyFont="1" applyFill="1" applyBorder="1" applyAlignment="1" quotePrefix="1">
      <alignment horizontal="center" vertical="center"/>
    </xf>
    <xf numFmtId="166" fontId="0" fillId="0" borderId="46" xfId="0" applyNumberFormat="1" applyFill="1" applyBorder="1" applyAlignment="1">
      <alignment horizontal="center" vertical="center"/>
    </xf>
    <xf numFmtId="167" fontId="0" fillId="0" borderId="54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167" fontId="0" fillId="0" borderId="18" xfId="0" applyNumberFormat="1" applyFont="1" applyFill="1" applyBorder="1" applyAlignment="1" quotePrefix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167" fontId="0" fillId="0" borderId="23" xfId="0" applyNumberFormat="1" applyFont="1" applyFill="1" applyBorder="1" applyAlignment="1">
      <alignment horizontal="center" vertical="center"/>
    </xf>
    <xf numFmtId="167" fontId="0" fillId="0" borderId="23" xfId="0" applyNumberFormat="1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166" fontId="0" fillId="0" borderId="46" xfId="0" applyNumberFormat="1" applyFont="1" applyFill="1" applyBorder="1" applyAlignment="1" quotePrefix="1">
      <alignment horizontal="center" vertical="center"/>
    </xf>
    <xf numFmtId="166" fontId="0" fillId="0" borderId="22" xfId="0" applyNumberFormat="1" applyFont="1" applyFill="1" applyBorder="1" applyAlignment="1" quotePrefix="1">
      <alignment horizontal="center" vertical="center"/>
    </xf>
    <xf numFmtId="167" fontId="0" fillId="0" borderId="54" xfId="0" applyNumberFormat="1" applyFont="1" applyFill="1" applyBorder="1" applyAlignment="1">
      <alignment horizontal="center" vertical="center"/>
    </xf>
    <xf numFmtId="167" fontId="0" fillId="0" borderId="22" xfId="0" applyNumberFormat="1" applyFont="1" applyFill="1" applyBorder="1" applyAlignment="1" quotePrefix="1">
      <alignment horizontal="center" vertical="center"/>
    </xf>
    <xf numFmtId="167" fontId="2" fillId="0" borderId="46" xfId="0" applyNumberFormat="1" applyFont="1" applyFill="1" applyBorder="1" applyAlignment="1">
      <alignment horizontal="center" vertical="center"/>
    </xf>
    <xf numFmtId="167" fontId="2" fillId="0" borderId="54" xfId="0" applyNumberFormat="1" applyFont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8" fontId="0" fillId="0" borderId="18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167" fontId="2" fillId="0" borderId="54" xfId="0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25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/>
    </xf>
    <xf numFmtId="172" fontId="0" fillId="0" borderId="14" xfId="0" applyNumberFormat="1" applyFill="1" applyBorder="1" applyAlignment="1">
      <alignment horizontal="center"/>
    </xf>
    <xf numFmtId="0" fontId="0" fillId="0" borderId="55" xfId="0" applyFill="1" applyBorder="1"/>
    <xf numFmtId="0" fontId="0" fillId="0" borderId="56" xfId="0" applyBorder="1"/>
    <xf numFmtId="0" fontId="0" fillId="0" borderId="0" xfId="0" applyBorder="1"/>
    <xf numFmtId="0" fontId="0" fillId="0" borderId="22" xfId="0" applyBorder="1"/>
    <xf numFmtId="167" fontId="0" fillId="0" borderId="0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7" fontId="1" fillId="0" borderId="0" xfId="25" applyNumberFormat="1" applyFill="1" applyBorder="1" applyAlignment="1">
      <alignment horizontal="right"/>
      <protection/>
    </xf>
    <xf numFmtId="168" fontId="0" fillId="0" borderId="0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Font="1" applyBorder="1" applyAlignment="1" quotePrefix="1">
      <alignment horizontal="center"/>
    </xf>
    <xf numFmtId="0" fontId="0" fillId="0" borderId="46" xfId="0" applyFont="1" applyBorder="1" applyAlignment="1" quotePrefix="1">
      <alignment horizontal="center"/>
    </xf>
    <xf numFmtId="167" fontId="0" fillId="0" borderId="0" xfId="0" applyNumberFormat="1" applyFont="1" applyFill="1" applyBorder="1" applyAlignment="1">
      <alignment horizontal="center" vertical="center" wrapText="1"/>
    </xf>
    <xf numFmtId="167" fontId="0" fillId="0" borderId="2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7" fontId="0" fillId="0" borderId="3" xfId="0" applyNumberFormat="1" applyFont="1" applyFill="1" applyBorder="1" applyAlignment="1">
      <alignment horizontal="center" vertical="center"/>
    </xf>
    <xf numFmtId="167" fontId="0" fillId="0" borderId="46" xfId="0" applyNumberFormat="1" applyFont="1" applyFill="1" applyBorder="1" applyAlignment="1">
      <alignment horizontal="center" vertical="center"/>
    </xf>
    <xf numFmtId="167" fontId="0" fillId="0" borderId="57" xfId="0" applyNumberFormat="1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168" fontId="0" fillId="0" borderId="0" xfId="0" applyNumberFormat="1"/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 horizontal="right"/>
    </xf>
    <xf numFmtId="0" fontId="2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3" fillId="0" borderId="70" xfId="22" applyFont="1" applyBorder="1" applyAlignment="1">
      <alignment horizontal="center"/>
      <protection/>
    </xf>
    <xf numFmtId="0" fontId="3" fillId="0" borderId="44" xfId="22" applyFont="1" applyBorder="1" applyAlignment="1">
      <alignment horizontal="center"/>
      <protection/>
    </xf>
    <xf numFmtId="0" fontId="3" fillId="0" borderId="71" xfId="22" applyFont="1" applyBorder="1" applyAlignment="1">
      <alignment horizontal="center"/>
      <protection/>
    </xf>
    <xf numFmtId="0" fontId="4" fillId="0" borderId="32" xfId="23" applyFont="1" applyBorder="1" applyAlignment="1">
      <alignment horizontal="center"/>
      <protection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15" fillId="2" borderId="72" xfId="24" applyFont="1" applyFill="1" applyBorder="1" applyAlignment="1">
      <alignment horizontal="center"/>
      <protection/>
    </xf>
    <xf numFmtId="0" fontId="15" fillId="2" borderId="73" xfId="24" applyFont="1" applyFill="1" applyBorder="1" applyAlignment="1">
      <alignment horizontal="center"/>
      <protection/>
    </xf>
    <xf numFmtId="0" fontId="15" fillId="2" borderId="74" xfId="24" applyFont="1" applyFill="1" applyBorder="1" applyAlignment="1">
      <alignment horizontal="center"/>
      <protection/>
    </xf>
    <xf numFmtId="0" fontId="15" fillId="2" borderId="75" xfId="24" applyFont="1" applyFill="1" applyBorder="1" applyAlignment="1">
      <alignment horizontal="center"/>
      <protection/>
    </xf>
    <xf numFmtId="0" fontId="15" fillId="2" borderId="8" xfId="24" applyFont="1" applyFill="1" applyBorder="1" applyAlignment="1">
      <alignment horizontal="center"/>
      <protection/>
    </xf>
    <xf numFmtId="0" fontId="15" fillId="2" borderId="9" xfId="24" applyFont="1" applyFill="1" applyBorder="1" applyAlignment="1">
      <alignment horizontal="center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Currency 3" xfId="21"/>
    <cellStyle name="Normal 2" xfId="22"/>
    <cellStyle name="Normal_ElectCost" xfId="23"/>
    <cellStyle name="Normal_Misc Unit Costs_WT_V2_w_o_overhead or profit" xfId="24"/>
    <cellStyle name="Normal_O&amp;M" xfId="25"/>
    <cellStyle name="Normal_Chino_Bond_SantaRitaPit_WorkingDraft_V1-0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13</xdr:col>
          <xdr:colOff>971550</xdr:colOff>
          <xdr:row>42</xdr:row>
          <xdr:rowOff>47625</xdr:rowOff>
        </xdr:from>
        <xdr:to>
          <xdr:col>14</xdr:col>
          <xdr:colOff>1266825</xdr:colOff>
          <xdr:row>44</xdr:row>
          <xdr:rowOff>257175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59"/>
  <sheetViews>
    <sheetView tabSelected="1" view="pageBreakPreview" zoomScale="55" zoomScaleSheetLayoutView="55" workbookViewId="0" topLeftCell="A100">
      <pane xSplit="5" topLeftCell="F1" activePane="topRight" state="frozen"/>
      <selection pane="topLeft" activeCell="T86" sqref="T86"/>
      <selection pane="topRight" activeCell="E37" sqref="E37"/>
    </sheetView>
  </sheetViews>
  <sheetFormatPr defaultColWidth="9.00390625" defaultRowHeight="15.75"/>
  <cols>
    <col min="1" max="1" width="2.625" style="0" customWidth="1"/>
    <col min="4" max="4" width="33.875" style="0" customWidth="1"/>
    <col min="5" max="5" width="34.00390625" style="0" bestFit="1" customWidth="1"/>
    <col min="6" max="6" width="14.875" style="0" customWidth="1"/>
    <col min="7" max="7" width="10.125" style="0" customWidth="1"/>
    <col min="8" max="8" width="12.625" style="0" customWidth="1"/>
    <col min="9" max="9" width="10.625" style="0" customWidth="1"/>
    <col min="10" max="10" width="13.875" style="0" customWidth="1"/>
    <col min="11" max="11" width="14.75390625" style="0" customWidth="1"/>
    <col min="12" max="12" width="15.25390625" style="0" customWidth="1"/>
    <col min="13" max="13" width="15.625" style="0" customWidth="1"/>
    <col min="14" max="14" width="15.125" style="0" customWidth="1"/>
    <col min="15" max="15" width="16.75390625" style="0" customWidth="1"/>
    <col min="16" max="16" width="16.625" style="0" customWidth="1"/>
    <col min="17" max="17" width="18.00390625" style="0" customWidth="1"/>
    <col min="18" max="18" width="16.75390625" style="0" customWidth="1"/>
    <col min="19" max="20" width="16.375" style="0" customWidth="1"/>
    <col min="21" max="21" width="16.875" style="0" customWidth="1"/>
    <col min="22" max="22" width="4.375" style="0" customWidth="1"/>
    <col min="23" max="23" width="28.00390625" style="0" bestFit="1" customWidth="1"/>
    <col min="24" max="24" width="14.875" style="0" customWidth="1"/>
    <col min="25" max="25" width="16.00390625" style="0" bestFit="1" customWidth="1"/>
    <col min="26" max="26" width="12.125" style="0" customWidth="1"/>
    <col min="27" max="27" width="16.00390625" style="0" customWidth="1"/>
    <col min="28" max="28" width="15.75390625" style="0" customWidth="1"/>
    <col min="29" max="29" width="14.125" style="0" customWidth="1"/>
    <col min="30" max="31" width="13.00390625" style="0" customWidth="1"/>
    <col min="32" max="32" width="14.75390625" style="0" customWidth="1"/>
    <col min="33" max="33" width="14.375" style="0" customWidth="1"/>
    <col min="34" max="34" width="16.875" style="0" customWidth="1"/>
    <col min="35" max="35" width="18.00390625" style="0" customWidth="1"/>
    <col min="36" max="36" width="16.50390625" style="0" customWidth="1"/>
    <col min="37" max="37" width="12.625" style="0" customWidth="1"/>
    <col min="38" max="38" width="13.50390625" style="0" customWidth="1"/>
    <col min="39" max="39" width="15.125" style="0" customWidth="1"/>
    <col min="40" max="40" width="18.375" style="0" customWidth="1"/>
    <col min="41" max="41" width="17.125" style="0" customWidth="1"/>
    <col min="42" max="42" width="12.50390625" style="0" customWidth="1"/>
    <col min="43" max="44" width="17.00390625" style="0" customWidth="1"/>
    <col min="45" max="45" width="14.00390625" style="0" customWidth="1"/>
    <col min="46" max="46" width="13.375" style="0" customWidth="1"/>
    <col min="47" max="47" width="13.625" style="0" customWidth="1"/>
    <col min="48" max="48" width="16.625" style="0" customWidth="1"/>
    <col min="49" max="49" width="15.625" style="0" customWidth="1"/>
    <col min="50" max="50" width="12.00390625" style="0" customWidth="1"/>
  </cols>
  <sheetData>
    <row r="1" spans="4:39" ht="15.75">
      <c r="D1" s="289"/>
      <c r="U1" s="3" t="str">
        <f>'4 Summary'!$E$1</f>
        <v>Cobre Mining Company</v>
      </c>
      <c r="W1" s="3"/>
      <c r="AM1" s="3"/>
    </row>
    <row r="2" spans="4:39" ht="15.75">
      <c r="D2" s="1" t="s">
        <v>343</v>
      </c>
      <c r="U2" s="277" t="s">
        <v>345</v>
      </c>
      <c r="W2" s="277"/>
      <c r="AM2" s="277"/>
    </row>
    <row r="3" spans="21:39" ht="15.75">
      <c r="U3" s="280">
        <f>'4 Summary'!$E$3</f>
        <v>41920</v>
      </c>
      <c r="W3" s="280"/>
      <c r="AM3" s="280"/>
    </row>
    <row r="4" spans="6:10" ht="16.5" thickBot="1">
      <c r="F4" s="1" t="s">
        <v>31</v>
      </c>
      <c r="G4" s="4"/>
      <c r="J4" s="62"/>
    </row>
    <row r="5" spans="6:15" ht="17.25" thickBot="1" thickTop="1">
      <c r="F5" s="413" t="s">
        <v>188</v>
      </c>
      <c r="G5" s="414"/>
      <c r="H5" s="414"/>
      <c r="I5" s="414"/>
      <c r="J5" s="414"/>
      <c r="K5" s="414"/>
      <c r="L5" s="414"/>
      <c r="M5" s="414"/>
      <c r="N5" s="415"/>
      <c r="O5" s="91" t="s">
        <v>189</v>
      </c>
    </row>
    <row r="6" spans="3:15" ht="16.5" thickTop="1">
      <c r="C6" s="5"/>
      <c r="F6" s="416" t="s">
        <v>36</v>
      </c>
      <c r="G6" s="417"/>
      <c r="H6" s="417"/>
      <c r="I6" s="417"/>
      <c r="J6" s="417"/>
      <c r="K6" s="417"/>
      <c r="L6" s="417"/>
      <c r="M6" s="417"/>
      <c r="N6" s="418"/>
      <c r="O6" s="380">
        <v>0.847</v>
      </c>
    </row>
    <row r="7" spans="3:15" ht="15.75">
      <c r="C7" s="5"/>
      <c r="F7" s="401" t="s">
        <v>20</v>
      </c>
      <c r="G7" s="402"/>
      <c r="H7" s="402"/>
      <c r="I7" s="402"/>
      <c r="J7" s="402"/>
      <c r="K7" s="402"/>
      <c r="L7" s="402"/>
      <c r="M7" s="402"/>
      <c r="N7" s="403"/>
      <c r="O7" s="105">
        <v>50</v>
      </c>
    </row>
    <row r="8" spans="3:15" ht="15.75">
      <c r="C8" s="5"/>
      <c r="F8" s="401" t="s">
        <v>246</v>
      </c>
      <c r="G8" s="402"/>
      <c r="H8" s="402"/>
      <c r="I8" s="402"/>
      <c r="J8" s="402"/>
      <c r="K8" s="402"/>
      <c r="L8" s="402"/>
      <c r="M8" s="402"/>
      <c r="N8" s="403"/>
      <c r="O8" s="105">
        <v>30</v>
      </c>
    </row>
    <row r="9" spans="3:15" ht="15.75">
      <c r="C9" s="5"/>
      <c r="F9" s="401" t="s">
        <v>242</v>
      </c>
      <c r="G9" s="402"/>
      <c r="H9" s="402"/>
      <c r="I9" s="402"/>
      <c r="J9" s="402"/>
      <c r="K9" s="402"/>
      <c r="L9" s="402"/>
      <c r="M9" s="402"/>
      <c r="N9" s="403"/>
      <c r="O9" s="105">
        <v>50</v>
      </c>
    </row>
    <row r="10" spans="3:15" ht="15.75">
      <c r="C10" s="5"/>
      <c r="F10" s="401" t="s">
        <v>234</v>
      </c>
      <c r="G10" s="402"/>
      <c r="H10" s="402"/>
      <c r="I10" s="402"/>
      <c r="J10" s="402"/>
      <c r="K10" s="402"/>
      <c r="L10" s="402"/>
      <c r="M10" s="402"/>
      <c r="N10" s="403"/>
      <c r="O10" s="107">
        <v>20</v>
      </c>
    </row>
    <row r="11" spans="3:15" ht="15.75">
      <c r="C11" s="5"/>
      <c r="F11" s="401" t="s">
        <v>63</v>
      </c>
      <c r="G11" s="402"/>
      <c r="H11" s="402"/>
      <c r="I11" s="402"/>
      <c r="J11" s="402"/>
      <c r="K11" s="402"/>
      <c r="L11" s="402"/>
      <c r="M11" s="402"/>
      <c r="N11" s="403"/>
      <c r="O11" s="105">
        <v>100</v>
      </c>
    </row>
    <row r="12" spans="3:15" ht="15.75">
      <c r="C12" s="5"/>
      <c r="F12" s="401" t="s">
        <v>62</v>
      </c>
      <c r="G12" s="402"/>
      <c r="H12" s="402"/>
      <c r="I12" s="402"/>
      <c r="J12" s="402"/>
      <c r="K12" s="402"/>
      <c r="L12" s="402"/>
      <c r="M12" s="402"/>
      <c r="N12" s="403"/>
      <c r="O12" s="106">
        <v>0.7</v>
      </c>
    </row>
    <row r="13" spans="3:15" ht="15.75">
      <c r="C13" s="5"/>
      <c r="F13" s="401" t="s">
        <v>185</v>
      </c>
      <c r="G13" s="402"/>
      <c r="H13" s="402"/>
      <c r="I13" s="402"/>
      <c r="J13" s="402"/>
      <c r="K13" s="402"/>
      <c r="L13" s="402"/>
      <c r="M13" s="402"/>
      <c r="N13" s="403"/>
      <c r="O13" s="108">
        <v>1</v>
      </c>
    </row>
    <row r="14" spans="3:15" ht="15.75">
      <c r="C14" s="5"/>
      <c r="F14" s="401" t="s">
        <v>33</v>
      </c>
      <c r="G14" s="402"/>
      <c r="H14" s="402"/>
      <c r="I14" s="402"/>
      <c r="J14" s="402"/>
      <c r="K14" s="402"/>
      <c r="L14" s="402"/>
      <c r="M14" s="402"/>
      <c r="N14" s="403"/>
      <c r="O14" s="105">
        <v>150</v>
      </c>
    </row>
    <row r="15" spans="3:18" ht="15.75">
      <c r="C15" s="5"/>
      <c r="F15" s="401" t="s">
        <v>35</v>
      </c>
      <c r="G15" s="402"/>
      <c r="H15" s="402"/>
      <c r="I15" s="402"/>
      <c r="J15" s="402"/>
      <c r="K15" s="402"/>
      <c r="L15" s="402"/>
      <c r="M15" s="402"/>
      <c r="N15" s="403"/>
      <c r="O15" s="105">
        <v>100</v>
      </c>
      <c r="R15" s="59"/>
    </row>
    <row r="16" spans="3:18" ht="15.75">
      <c r="C16" s="5"/>
      <c r="F16" s="401" t="s">
        <v>48</v>
      </c>
      <c r="G16" s="402"/>
      <c r="H16" s="402"/>
      <c r="I16" s="402"/>
      <c r="J16" s="402"/>
      <c r="K16" s="402"/>
      <c r="L16" s="402"/>
      <c r="M16" s="402"/>
      <c r="N16" s="403"/>
      <c r="O16" s="118">
        <v>0.015</v>
      </c>
      <c r="R16" s="59"/>
    </row>
    <row r="17" spans="3:15" ht="15.75">
      <c r="C17" s="5"/>
      <c r="F17" s="401" t="s">
        <v>47</v>
      </c>
      <c r="G17" s="402"/>
      <c r="H17" s="402"/>
      <c r="I17" s="402"/>
      <c r="J17" s="402"/>
      <c r="K17" s="402"/>
      <c r="L17" s="402"/>
      <c r="M17" s="402"/>
      <c r="N17" s="403"/>
      <c r="O17" s="118">
        <v>0.015</v>
      </c>
    </row>
    <row r="18" spans="3:15" ht="15.75">
      <c r="C18" s="5"/>
      <c r="F18" s="401" t="s">
        <v>38</v>
      </c>
      <c r="G18" s="402"/>
      <c r="H18" s="402"/>
      <c r="I18" s="402"/>
      <c r="J18" s="402"/>
      <c r="K18" s="402"/>
      <c r="L18" s="402"/>
      <c r="M18" s="402"/>
      <c r="N18" s="403"/>
      <c r="O18" s="118">
        <v>0.01</v>
      </c>
    </row>
    <row r="19" spans="3:15" ht="15.75">
      <c r="C19" s="5"/>
      <c r="F19" s="401" t="s">
        <v>46</v>
      </c>
      <c r="G19" s="402"/>
      <c r="H19" s="402"/>
      <c r="I19" s="402"/>
      <c r="J19" s="402"/>
      <c r="K19" s="402"/>
      <c r="L19" s="402"/>
      <c r="M19" s="402"/>
      <c r="N19" s="403"/>
      <c r="O19" s="118">
        <v>0.015</v>
      </c>
    </row>
    <row r="20" spans="3:15" ht="15.75">
      <c r="C20" s="5"/>
      <c r="F20" s="401" t="s">
        <v>360</v>
      </c>
      <c r="G20" s="402"/>
      <c r="H20" s="402"/>
      <c r="I20" s="402"/>
      <c r="J20" s="402"/>
      <c r="K20" s="402"/>
      <c r="L20" s="402"/>
      <c r="M20" s="402"/>
      <c r="N20" s="403"/>
      <c r="O20" s="105">
        <v>48154.970151832626</v>
      </c>
    </row>
    <row r="21" spans="3:15" ht="15.75">
      <c r="C21" s="5"/>
      <c r="F21" s="401" t="s">
        <v>282</v>
      </c>
      <c r="G21" s="402"/>
      <c r="H21" s="402"/>
      <c r="I21" s="402"/>
      <c r="J21" s="402"/>
      <c r="K21" s="402"/>
      <c r="L21" s="402"/>
      <c r="M21" s="402"/>
      <c r="N21" s="403"/>
      <c r="O21" s="105">
        <v>2530.0950042206664</v>
      </c>
    </row>
    <row r="22" spans="3:21" ht="15.75">
      <c r="C22" s="5"/>
      <c r="F22" s="401" t="s">
        <v>235</v>
      </c>
      <c r="G22" s="402"/>
      <c r="H22" s="402"/>
      <c r="I22" s="402"/>
      <c r="J22" s="402"/>
      <c r="K22" s="402"/>
      <c r="L22" s="402"/>
      <c r="M22" s="402"/>
      <c r="N22" s="403"/>
      <c r="O22" s="109">
        <v>-6</v>
      </c>
      <c r="U22" s="117"/>
    </row>
    <row r="23" spans="3:21" ht="15.75">
      <c r="C23" s="5"/>
      <c r="F23" s="401" t="s">
        <v>349</v>
      </c>
      <c r="G23" s="402"/>
      <c r="H23" s="402"/>
      <c r="I23" s="402"/>
      <c r="J23" s="402"/>
      <c r="K23" s="402"/>
      <c r="L23" s="402"/>
      <c r="M23" s="402"/>
      <c r="N23" s="403"/>
      <c r="O23" s="109">
        <v>0</v>
      </c>
      <c r="U23" s="117"/>
    </row>
    <row r="24" spans="3:21" ht="15.75">
      <c r="C24" s="5"/>
      <c r="F24" s="401" t="s">
        <v>356</v>
      </c>
      <c r="G24" s="402"/>
      <c r="H24" s="402"/>
      <c r="I24" s="402"/>
      <c r="J24" s="402"/>
      <c r="K24" s="402"/>
      <c r="L24" s="402"/>
      <c r="M24" s="402"/>
      <c r="N24" s="403"/>
      <c r="O24" s="109">
        <f>O23+5</f>
        <v>5</v>
      </c>
      <c r="U24" s="117"/>
    </row>
    <row r="25" spans="3:20" ht="16.5" thickBot="1">
      <c r="C25" s="5"/>
      <c r="F25" s="410" t="s">
        <v>357</v>
      </c>
      <c r="G25" s="411"/>
      <c r="H25" s="411"/>
      <c r="I25" s="411"/>
      <c r="J25" s="411"/>
      <c r="K25" s="411"/>
      <c r="L25" s="411"/>
      <c r="M25" s="411"/>
      <c r="N25" s="412"/>
      <c r="O25" s="119">
        <f>O23+12</f>
        <v>12</v>
      </c>
      <c r="T25" s="117"/>
    </row>
    <row r="26" spans="7:20" ht="16.5" thickTop="1">
      <c r="G26" s="48"/>
      <c r="T26" s="117"/>
    </row>
    <row r="27" spans="3:18" ht="16.5" thickBot="1">
      <c r="C27" s="1"/>
      <c r="D27" s="43" t="s">
        <v>30</v>
      </c>
      <c r="F27" s="3"/>
      <c r="O27" s="41"/>
      <c r="R27" s="12"/>
    </row>
    <row r="28" spans="4:23" s="2" customFormat="1" ht="106.5" customHeight="1">
      <c r="D28" s="389" t="s">
        <v>6</v>
      </c>
      <c r="E28" s="390"/>
      <c r="F28" s="390"/>
      <c r="G28" s="390" t="s">
        <v>22</v>
      </c>
      <c r="H28" s="237" t="s">
        <v>19</v>
      </c>
      <c r="I28" s="237" t="s">
        <v>75</v>
      </c>
      <c r="J28" s="237" t="s">
        <v>59</v>
      </c>
      <c r="K28" s="237" t="s">
        <v>14</v>
      </c>
      <c r="L28" s="238" t="s">
        <v>243</v>
      </c>
      <c r="M28" s="238" t="s">
        <v>219</v>
      </c>
      <c r="N28" s="239" t="s">
        <v>61</v>
      </c>
      <c r="O28" s="390" t="s">
        <v>64</v>
      </c>
      <c r="P28" s="257" t="s">
        <v>315</v>
      </c>
      <c r="Q28" s="233" t="s">
        <v>299</v>
      </c>
      <c r="R28" s="233" t="s">
        <v>298</v>
      </c>
      <c r="S28" s="233" t="s">
        <v>297</v>
      </c>
      <c r="T28" s="256" t="s">
        <v>283</v>
      </c>
      <c r="W28" s="298"/>
    </row>
    <row r="29" spans="4:23" ht="15.75">
      <c r="D29" s="381" t="s">
        <v>7</v>
      </c>
      <c r="E29" s="382"/>
      <c r="F29" s="382"/>
      <c r="G29" s="242" t="s">
        <v>223</v>
      </c>
      <c r="H29" s="299">
        <v>1116800</v>
      </c>
      <c r="I29" s="299">
        <f>H29/7.48/27</f>
        <v>5529.807882749058</v>
      </c>
      <c r="J29" s="300" t="s">
        <v>60</v>
      </c>
      <c r="K29" s="301">
        <v>15</v>
      </c>
      <c r="L29" s="301">
        <f>K29+'1 Reclamation and O&amp;M costs'!$O$23-'1 Reclamation and O&amp;M costs'!$O$22</f>
        <v>21</v>
      </c>
      <c r="M29" s="301">
        <f>I46</f>
        <v>12</v>
      </c>
      <c r="N29" s="299" t="str">
        <f>IF(($O$9-L29)&gt;M29,"-",IF(($O$9-L29)&lt;0,0,($O$9-L29)))</f>
        <v>-</v>
      </c>
      <c r="O29" s="299">
        <f aca="true" t="shared" si="0" ref="O29:O38">COUNT(N29:N29)</f>
        <v>0</v>
      </c>
      <c r="P29" s="303">
        <f>'Unit Cost Table'!$C$20*'1 Reclamation and O&amp;M costs'!$O$6</f>
        <v>69454</v>
      </c>
      <c r="Q29" s="302">
        <f>P29*O29</f>
        <v>0</v>
      </c>
      <c r="R29" s="302">
        <f aca="true" t="shared" si="1" ref="R29:R38">P29*$O$16</f>
        <v>1041.81</v>
      </c>
      <c r="S29" s="302">
        <f aca="true" t="shared" si="2" ref="S29:S38">R29*(M29+1)</f>
        <v>13543.529999999999</v>
      </c>
      <c r="T29" s="304">
        <f>Q29+S29</f>
        <v>13543.529999999999</v>
      </c>
      <c r="W29" s="385"/>
    </row>
    <row r="30" spans="4:23" ht="15.75">
      <c r="D30" s="241" t="s">
        <v>8</v>
      </c>
      <c r="E30" s="383"/>
      <c r="F30" s="383"/>
      <c r="G30" s="242" t="s">
        <v>223</v>
      </c>
      <c r="H30" s="299">
        <v>827700</v>
      </c>
      <c r="I30" s="299">
        <f aca="true" t="shared" si="3" ref="I30:I37">H30/7.48/27</f>
        <v>4098.3363042186575</v>
      </c>
      <c r="J30" s="300" t="s">
        <v>60</v>
      </c>
      <c r="K30" s="301">
        <v>15</v>
      </c>
      <c r="L30" s="301">
        <f>K30+'1 Reclamation and O&amp;M costs'!$O$23-'1 Reclamation and O&amp;M costs'!$O$22</f>
        <v>21</v>
      </c>
      <c r="M30" s="301">
        <f>I47</f>
        <v>12</v>
      </c>
      <c r="N30" s="299" t="str">
        <f>IF(($O$9-L30)&gt;M30,"-",IF(($O$9-L30)&lt;0,0,($O$9-L30)))</f>
        <v>-</v>
      </c>
      <c r="O30" s="299">
        <f t="shared" si="0"/>
        <v>0</v>
      </c>
      <c r="P30" s="303">
        <f>'Unit Cost Table'!$C$20*'1 Reclamation and O&amp;M costs'!$O$6</f>
        <v>69454</v>
      </c>
      <c r="Q30" s="302">
        <f aca="true" t="shared" si="4" ref="Q30:Q38">P30*O30</f>
        <v>0</v>
      </c>
      <c r="R30" s="302">
        <f t="shared" si="1"/>
        <v>1041.81</v>
      </c>
      <c r="S30" s="302">
        <f t="shared" si="2"/>
        <v>13543.529999999999</v>
      </c>
      <c r="T30" s="304">
        <f aca="true" t="shared" si="5" ref="T30:T38">Q30+S30</f>
        <v>13543.529999999999</v>
      </c>
      <c r="W30" s="385"/>
    </row>
    <row r="31" spans="4:23" ht="15.75">
      <c r="D31" s="241" t="s">
        <v>9</v>
      </c>
      <c r="E31" s="383"/>
      <c r="F31" s="383"/>
      <c r="G31" s="242" t="s">
        <v>223</v>
      </c>
      <c r="H31" s="299">
        <v>2925300</v>
      </c>
      <c r="I31" s="299">
        <f t="shared" si="3"/>
        <v>14484.551396316101</v>
      </c>
      <c r="J31" s="300" t="s">
        <v>60</v>
      </c>
      <c r="K31" s="301">
        <v>15</v>
      </c>
      <c r="L31" s="301">
        <f>K31+'1 Reclamation and O&amp;M costs'!$O$23-'1 Reclamation and O&amp;M costs'!$O$22</f>
        <v>21</v>
      </c>
      <c r="M31" s="301">
        <f>I48</f>
        <v>12</v>
      </c>
      <c r="N31" s="299" t="str">
        <f>IF(($O$9-L31)&gt;M31,"-",IF(($O$9-L31)&lt;0,0,($O$9-L31)))</f>
        <v>-</v>
      </c>
      <c r="O31" s="299">
        <f t="shared" si="0"/>
        <v>0</v>
      </c>
      <c r="P31" s="303">
        <f>'Unit Cost Table'!$C$20*'1 Reclamation and O&amp;M costs'!$O$6</f>
        <v>69454</v>
      </c>
      <c r="Q31" s="302">
        <f>P31*O31</f>
        <v>0</v>
      </c>
      <c r="R31" s="302">
        <f t="shared" si="1"/>
        <v>1041.81</v>
      </c>
      <c r="S31" s="302">
        <f t="shared" si="2"/>
        <v>13543.529999999999</v>
      </c>
      <c r="T31" s="304">
        <f t="shared" si="5"/>
        <v>13543.529999999999</v>
      </c>
      <c r="W31" s="385"/>
    </row>
    <row r="32" spans="4:23" ht="15.75">
      <c r="D32" s="243" t="s">
        <v>161</v>
      </c>
      <c r="E32" s="383"/>
      <c r="F32" s="383"/>
      <c r="G32" s="242" t="s">
        <v>222</v>
      </c>
      <c r="H32" s="299">
        <v>972500</v>
      </c>
      <c r="I32" s="299">
        <f t="shared" si="3"/>
        <v>4815.309962368786</v>
      </c>
      <c r="J32" s="305">
        <v>0.62</v>
      </c>
      <c r="K32" s="301">
        <v>15</v>
      </c>
      <c r="L32" s="301">
        <f>K32+'1 Reclamation and O&amp;M costs'!$O$23-'1 Reclamation and O&amp;M costs'!$O$22</f>
        <v>21</v>
      </c>
      <c r="M32" s="306">
        <f>I49</f>
        <v>12</v>
      </c>
      <c r="N32" s="299">
        <f>IF(($O$8-L32)&gt;M32,"-",IF(($O$8-L32)&lt;0,0,($O$8-L32)))</f>
        <v>9</v>
      </c>
      <c r="O32" s="299">
        <f t="shared" si="0"/>
        <v>1</v>
      </c>
      <c r="P32" s="303">
        <f>('Unit Cost Table'!$C$19*J32*43560*2+'Unit Cost Table'!$C$18*I32/3)*$O$6</f>
        <v>125249.6780054379</v>
      </c>
      <c r="Q32" s="302">
        <f t="shared" si="4"/>
        <v>125249.6780054379</v>
      </c>
      <c r="R32" s="302">
        <f t="shared" si="1"/>
        <v>1878.7451700815684</v>
      </c>
      <c r="S32" s="302">
        <f t="shared" si="2"/>
        <v>24423.68721106039</v>
      </c>
      <c r="T32" s="304">
        <f t="shared" si="5"/>
        <v>149673.3652164983</v>
      </c>
      <c r="W32" s="385"/>
    </row>
    <row r="33" spans="4:23" ht="15.75">
      <c r="D33" s="243" t="s">
        <v>216</v>
      </c>
      <c r="E33" s="383"/>
      <c r="F33" s="383"/>
      <c r="G33" s="242" t="s">
        <v>222</v>
      </c>
      <c r="H33" s="299">
        <v>1879200</v>
      </c>
      <c r="I33" s="299">
        <f t="shared" si="3"/>
        <v>9304.812834224598</v>
      </c>
      <c r="J33" s="305">
        <v>1.13</v>
      </c>
      <c r="K33" s="301">
        <v>25</v>
      </c>
      <c r="L33" s="301">
        <f>K33+'1 Reclamation and O&amp;M costs'!$O$23-'1 Reclamation and O&amp;M costs'!$O$22</f>
        <v>31</v>
      </c>
      <c r="M33" s="301">
        <f>I56</f>
        <v>12</v>
      </c>
      <c r="N33" s="299">
        <f>IF(($O$8-L33)&gt;M33,"-",IF(($O$8-L33)&lt;0,0,($O$8-L33)))</f>
        <v>0</v>
      </c>
      <c r="O33" s="299">
        <f t="shared" si="0"/>
        <v>1</v>
      </c>
      <c r="P33" s="303">
        <f>('Unit Cost Table'!$C$19*J33*43560*2+'Unit Cost Table'!$C$18*I33/3)*$O$6</f>
        <v>229069.45679717642</v>
      </c>
      <c r="Q33" s="302">
        <f>P33*O33</f>
        <v>229069.45679717642</v>
      </c>
      <c r="R33" s="302">
        <f t="shared" si="1"/>
        <v>3436.041851957646</v>
      </c>
      <c r="S33" s="302">
        <f t="shared" si="2"/>
        <v>44668.5440754494</v>
      </c>
      <c r="T33" s="304">
        <f t="shared" si="5"/>
        <v>273738.0008726258</v>
      </c>
      <c r="W33" s="385"/>
    </row>
    <row r="34" spans="4:23" ht="15.75">
      <c r="D34" s="241" t="s">
        <v>13</v>
      </c>
      <c r="E34" s="383"/>
      <c r="F34" s="383"/>
      <c r="G34" s="242" t="s">
        <v>222</v>
      </c>
      <c r="H34" s="299">
        <v>911600</v>
      </c>
      <c r="I34" s="299">
        <f t="shared" si="3"/>
        <v>4513.765102000396</v>
      </c>
      <c r="J34" s="305">
        <v>0.38</v>
      </c>
      <c r="K34" s="301">
        <v>25</v>
      </c>
      <c r="L34" s="301">
        <f>K34+'1 Reclamation and O&amp;M costs'!$O$23-'1 Reclamation and O&amp;M costs'!$O$22</f>
        <v>31</v>
      </c>
      <c r="M34" s="301">
        <f>I57</f>
        <v>12</v>
      </c>
      <c r="N34" s="299">
        <f>IF(($O$8-L34)&gt;M34,"-",IF(($O$8-L34)&lt;0,0,($O$8-L34)))</f>
        <v>0</v>
      </c>
      <c r="O34" s="299">
        <f t="shared" si="0"/>
        <v>1</v>
      </c>
      <c r="P34" s="303">
        <f>('Unit Cost Table'!$C$19*J34*43560*2+'Unit Cost Table'!$C$18*I34/3)*$O$6</f>
        <v>79106.74716841831</v>
      </c>
      <c r="Q34" s="302">
        <f>P34*O34</f>
        <v>79106.74716841831</v>
      </c>
      <c r="R34" s="302">
        <f t="shared" si="1"/>
        <v>1186.6012075262747</v>
      </c>
      <c r="S34" s="302">
        <f t="shared" si="2"/>
        <v>15425.815697841572</v>
      </c>
      <c r="T34" s="304">
        <f t="shared" si="5"/>
        <v>94532.56286625989</v>
      </c>
      <c r="W34" s="385"/>
    </row>
    <row r="35" spans="4:23" ht="15.75">
      <c r="D35" s="241" t="s">
        <v>15</v>
      </c>
      <c r="E35" s="383"/>
      <c r="F35" s="383"/>
      <c r="G35" s="242" t="s">
        <v>25</v>
      </c>
      <c r="H35" s="299">
        <v>25000</v>
      </c>
      <c r="I35" s="299">
        <f t="shared" si="3"/>
        <v>123.78688849277084</v>
      </c>
      <c r="J35" s="307" t="s">
        <v>60</v>
      </c>
      <c r="K35" s="301">
        <v>25</v>
      </c>
      <c r="L35" s="301">
        <f>K35+'1 Reclamation and O&amp;M costs'!$O$23-'1 Reclamation and O&amp;M costs'!$O$22</f>
        <v>31</v>
      </c>
      <c r="M35" s="301">
        <f>I58</f>
        <v>9</v>
      </c>
      <c r="N35" s="299">
        <f>IF(($O$8-L35)&gt;M35,"-",IF(($O$8-L35)&lt;0,0,($O$8-L35)))</f>
        <v>0</v>
      </c>
      <c r="O35" s="299">
        <f t="shared" si="0"/>
        <v>1</v>
      </c>
      <c r="P35" s="303">
        <f>('Unit Cost Table'!$C$18*I35/3)*$O$6</f>
        <v>185.45424836601305</v>
      </c>
      <c r="Q35" s="302">
        <f>P35*O35</f>
        <v>185.45424836601305</v>
      </c>
      <c r="R35" s="302">
        <f t="shared" si="1"/>
        <v>2.7818137254901956</v>
      </c>
      <c r="S35" s="302">
        <f t="shared" si="2"/>
        <v>27.818137254901956</v>
      </c>
      <c r="T35" s="304">
        <f t="shared" si="5"/>
        <v>213.272385620915</v>
      </c>
      <c r="W35" s="385"/>
    </row>
    <row r="36" spans="4:24" ht="15.75">
      <c r="D36" s="243" t="s">
        <v>361</v>
      </c>
      <c r="E36" s="383"/>
      <c r="F36" s="383"/>
      <c r="G36" s="244" t="s">
        <v>24</v>
      </c>
      <c r="H36" s="299">
        <v>352500</v>
      </c>
      <c r="I36" s="299">
        <f t="shared" si="3"/>
        <v>1745.395127748069</v>
      </c>
      <c r="J36" s="307" t="s">
        <v>60</v>
      </c>
      <c r="K36" s="301">
        <v>45</v>
      </c>
      <c r="L36" s="301">
        <f>K36+'1 Reclamation and O&amp;M costs'!$O$23-'1 Reclamation and O&amp;M costs'!$O$22</f>
        <v>51</v>
      </c>
      <c r="M36" s="301">
        <f>$O$25-$O$23</f>
        <v>12</v>
      </c>
      <c r="N36" s="299">
        <f>IF(($O$7-L36)&gt;M36,"-",IF(($O$7-L36)&lt;0,0,($O$7-L36)))</f>
        <v>0</v>
      </c>
      <c r="O36" s="299">
        <f t="shared" si="0"/>
        <v>1</v>
      </c>
      <c r="P36" s="303">
        <f>'Unit Cost Table'!C21*$O$6</f>
        <v>171094</v>
      </c>
      <c r="Q36" s="302">
        <f t="shared" si="4"/>
        <v>171094</v>
      </c>
      <c r="R36" s="302">
        <f t="shared" si="1"/>
        <v>2566.41</v>
      </c>
      <c r="S36" s="302">
        <f t="shared" si="2"/>
        <v>33363.33</v>
      </c>
      <c r="T36" s="304">
        <f t="shared" si="5"/>
        <v>204457.33000000002</v>
      </c>
      <c r="W36" s="385"/>
      <c r="X36" s="10"/>
    </row>
    <row r="37" spans="4:23" ht="15.75">
      <c r="D37" s="243" t="s">
        <v>358</v>
      </c>
      <c r="E37" s="383"/>
      <c r="F37" s="383"/>
      <c r="G37" s="242" t="s">
        <v>222</v>
      </c>
      <c r="H37" s="299">
        <v>9600</v>
      </c>
      <c r="I37" s="299">
        <f t="shared" si="3"/>
        <v>47.534165181224</v>
      </c>
      <c r="J37" s="305">
        <v>0.2</v>
      </c>
      <c r="K37" s="301">
        <v>25</v>
      </c>
      <c r="L37" s="301">
        <f>K37+'1 Reclamation and O&amp;M costs'!$O$23-'1 Reclamation and O&amp;M costs'!$O$22</f>
        <v>31</v>
      </c>
      <c r="M37" s="301">
        <f>I53</f>
        <v>12</v>
      </c>
      <c r="N37" s="299">
        <f>IF(($O$8-L37)&gt;M37,"-",IF(($O$8-L37)&lt;0,0,($O$8-L37)))</f>
        <v>0</v>
      </c>
      <c r="O37" s="299">
        <f t="shared" si="0"/>
        <v>1</v>
      </c>
      <c r="P37" s="303">
        <f>('Unit Cost Table'!$C$19*J37*43560*2+'Unit Cost Table'!$C$18*I37/3)*$O$6</f>
        <v>38147.184671372546</v>
      </c>
      <c r="Q37" s="302">
        <f t="shared" si="4"/>
        <v>38147.184671372546</v>
      </c>
      <c r="R37" s="302">
        <f t="shared" si="1"/>
        <v>572.2077700705881</v>
      </c>
      <c r="S37" s="302">
        <f t="shared" si="2"/>
        <v>7438.701010917646</v>
      </c>
      <c r="T37" s="304">
        <f t="shared" si="5"/>
        <v>45585.885682290194</v>
      </c>
      <c r="W37" s="385"/>
    </row>
    <row r="38" spans="4:23" ht="16.5" thickBot="1">
      <c r="D38" s="245" t="s">
        <v>355</v>
      </c>
      <c r="E38" s="384"/>
      <c r="F38" s="384"/>
      <c r="G38" s="246" t="s">
        <v>23</v>
      </c>
      <c r="H38" s="308">
        <v>900000</v>
      </c>
      <c r="I38" s="309">
        <f>H38/7.48/27</f>
        <v>4456.32798573975</v>
      </c>
      <c r="J38" s="310">
        <v>0.5</v>
      </c>
      <c r="K38" s="311">
        <v>-5</v>
      </c>
      <c r="L38" s="311">
        <f>K38+'1 Reclamation and O&amp;M costs'!$O$23-'1 Reclamation and O&amp;M costs'!$O$22</f>
        <v>1</v>
      </c>
      <c r="M38" s="311">
        <f>I61</f>
        <v>12</v>
      </c>
      <c r="N38" s="309" t="str">
        <f>IF(($O$8-L38)&gt;M38,"-",IF(($O$8-L38)&lt;0,0,($O$8-L38)))</f>
        <v>-</v>
      </c>
      <c r="O38" s="309">
        <f t="shared" si="0"/>
        <v>0</v>
      </c>
      <c r="P38" s="313">
        <f>('Unit Cost Table'!$C$19*J38*43560*2+'Unit Cost Table'!$C$18*I38/3)*$O$6</f>
        <v>101866.27854117646</v>
      </c>
      <c r="Q38" s="312">
        <f t="shared" si="4"/>
        <v>0</v>
      </c>
      <c r="R38" s="312">
        <f t="shared" si="1"/>
        <v>1527.994178117647</v>
      </c>
      <c r="S38" s="312">
        <f t="shared" si="2"/>
        <v>19863.92431552941</v>
      </c>
      <c r="T38" s="314">
        <f t="shared" si="5"/>
        <v>19863.92431552941</v>
      </c>
      <c r="W38" s="385"/>
    </row>
    <row r="39" spans="4:23" ht="15.75">
      <c r="D39" s="62" t="s">
        <v>218</v>
      </c>
      <c r="G39" s="147"/>
      <c r="K39" s="5"/>
      <c r="M39" s="5"/>
      <c r="N39" s="5"/>
      <c r="O39" s="148" t="s">
        <v>221</v>
      </c>
      <c r="P39" s="391" t="s">
        <v>60</v>
      </c>
      <c r="Q39" s="317" t="s">
        <v>60</v>
      </c>
      <c r="R39" s="316">
        <f>SUM(R29:R38)</f>
        <v>14296.211991479217</v>
      </c>
      <c r="S39" s="317" t="s">
        <v>60</v>
      </c>
      <c r="T39" s="318" t="s">
        <v>60</v>
      </c>
      <c r="W39" s="317"/>
    </row>
    <row r="40" spans="4:24" ht="16.5" thickBot="1">
      <c r="D40" s="62" t="s">
        <v>274</v>
      </c>
      <c r="G40" s="147"/>
      <c r="J40" s="5"/>
      <c r="M40" s="5"/>
      <c r="N40" s="5"/>
      <c r="O40" s="148" t="s">
        <v>220</v>
      </c>
      <c r="P40" s="392" t="s">
        <v>60</v>
      </c>
      <c r="Q40" s="321">
        <f>SUM(Q29:Q38)</f>
        <v>642852.5208907712</v>
      </c>
      <c r="R40" s="320" t="s">
        <v>60</v>
      </c>
      <c r="S40" s="321">
        <f>SUM(S29:S38)</f>
        <v>185842.4104480533</v>
      </c>
      <c r="T40" s="322">
        <f>SUM(Q40,S40)</f>
        <v>828694.9313388244</v>
      </c>
      <c r="W40" s="341"/>
      <c r="X40" s="10"/>
    </row>
    <row r="41" spans="4:28" ht="15.75">
      <c r="D41" s="379" t="s">
        <v>362</v>
      </c>
      <c r="G41" s="5"/>
      <c r="K41" s="111"/>
      <c r="L41" s="4"/>
      <c r="M41" s="4"/>
      <c r="P41" s="15"/>
      <c r="Q41" s="15"/>
      <c r="R41" s="15"/>
      <c r="S41" s="15"/>
      <c r="T41" s="15"/>
      <c r="W41" s="15"/>
      <c r="Y41" s="8"/>
      <c r="Z41" s="8"/>
      <c r="AA41" s="8"/>
      <c r="AB41" s="8"/>
    </row>
    <row r="42" spans="6:17" ht="15.75">
      <c r="F42" s="3"/>
      <c r="O42" s="116"/>
      <c r="Q42" s="115"/>
    </row>
    <row r="43" ht="15.75">
      <c r="F43" s="3"/>
    </row>
    <row r="44" spans="3:4" ht="16.5" thickBot="1">
      <c r="C44" s="1"/>
      <c r="D44" s="43" t="s">
        <v>160</v>
      </c>
    </row>
    <row r="45" spans="4:22" s="2" customFormat="1" ht="100.5" customHeight="1">
      <c r="D45" s="235" t="s">
        <v>28</v>
      </c>
      <c r="E45" s="236" t="s">
        <v>27</v>
      </c>
      <c r="F45" s="236" t="s">
        <v>1</v>
      </c>
      <c r="G45" s="240" t="s">
        <v>286</v>
      </c>
      <c r="H45" s="238" t="s">
        <v>287</v>
      </c>
      <c r="I45" s="236" t="s">
        <v>45</v>
      </c>
      <c r="J45" s="236" t="s">
        <v>162</v>
      </c>
      <c r="K45" s="236" t="s">
        <v>64</v>
      </c>
      <c r="L45" s="240" t="s">
        <v>229</v>
      </c>
      <c r="M45" s="236" t="s">
        <v>163</v>
      </c>
      <c r="N45" s="236" t="s">
        <v>164</v>
      </c>
      <c r="O45" s="236" t="s">
        <v>165</v>
      </c>
      <c r="P45" s="236" t="s">
        <v>44</v>
      </c>
      <c r="Q45" s="240" t="s">
        <v>300</v>
      </c>
      <c r="R45" s="238" t="s">
        <v>288</v>
      </c>
      <c r="S45" s="238" t="s">
        <v>350</v>
      </c>
      <c r="T45" s="238" t="s">
        <v>359</v>
      </c>
      <c r="U45" s="248" t="s">
        <v>344</v>
      </c>
      <c r="V45" s="386"/>
    </row>
    <row r="46" spans="4:22" ht="15.75">
      <c r="D46" s="241" t="s">
        <v>7</v>
      </c>
      <c r="E46" s="227" t="s">
        <v>9</v>
      </c>
      <c r="F46" s="301">
        <v>2</v>
      </c>
      <c r="G46" s="301">
        <v>11</v>
      </c>
      <c r="H46" s="301">
        <f>G46+'1 Reclamation and O&amp;M costs'!$O$23-'1 Reclamation and O&amp;M costs'!$O$22</f>
        <v>17</v>
      </c>
      <c r="I46" s="301">
        <f>$O$25-$O$23</f>
        <v>12</v>
      </c>
      <c r="J46" s="299">
        <f aca="true" t="shared" si="6" ref="J46:J61">IF(($O$10-H46)&gt;I46,"-",IF(($O$10-H46)&lt;0,0,($O$10-H46)))</f>
        <v>3</v>
      </c>
      <c r="K46" s="306">
        <f>COUNT(J46)</f>
        <v>1</v>
      </c>
      <c r="L46" s="301">
        <v>1760</v>
      </c>
      <c r="M46" s="323">
        <v>6650</v>
      </c>
      <c r="N46" s="323">
        <v>6719</v>
      </c>
      <c r="O46" s="324">
        <f aca="true" t="shared" si="7" ref="O46:O56">10.44*(L46)^1.85/($O$14^1.85*H96^4.865)*G96</f>
        <v>60.540893130595244</v>
      </c>
      <c r="P46" s="324">
        <f>(N46-M46)+O46</f>
        <v>129.54089313059524</v>
      </c>
      <c r="Q46" s="299">
        <f>(L46*P46)/3960/$O$12</f>
        <v>82.24818611466365</v>
      </c>
      <c r="R46" s="299">
        <f>Q46*0.7457</f>
        <v>61.33247238570469</v>
      </c>
      <c r="S46" s="325">
        <v>120.9</v>
      </c>
      <c r="T46" s="324">
        <v>0</v>
      </c>
      <c r="U46" s="329">
        <f>'Unit Cost Table'!$C$25*F46</f>
        <v>60000</v>
      </c>
      <c r="V46" s="303"/>
    </row>
    <row r="47" spans="4:22" ht="15.75">
      <c r="D47" s="241" t="s">
        <v>8</v>
      </c>
      <c r="E47" s="227" t="s">
        <v>9</v>
      </c>
      <c r="F47" s="301">
        <v>2</v>
      </c>
      <c r="G47" s="301">
        <v>11</v>
      </c>
      <c r="H47" s="301">
        <f>G47+'1 Reclamation and O&amp;M costs'!$O$23-'1 Reclamation and O&amp;M costs'!$O$22</f>
        <v>17</v>
      </c>
      <c r="I47" s="301">
        <f>$O$25-$O$23</f>
        <v>12</v>
      </c>
      <c r="J47" s="299">
        <f t="shared" si="6"/>
        <v>3</v>
      </c>
      <c r="K47" s="306">
        <f aca="true" t="shared" si="8" ref="K47:K61">COUNT(J47)</f>
        <v>1</v>
      </c>
      <c r="L47" s="301">
        <v>1940</v>
      </c>
      <c r="M47" s="323">
        <v>6613</v>
      </c>
      <c r="N47" s="323">
        <v>6715</v>
      </c>
      <c r="O47" s="324">
        <f t="shared" si="7"/>
        <v>53.5647163744283</v>
      </c>
      <c r="P47" s="324">
        <f>(N47-M47)+O47</f>
        <v>155.56471637442831</v>
      </c>
      <c r="Q47" s="299">
        <f aca="true" t="shared" si="9" ref="Q47:Q61">L47*P47/3960/$O$12</f>
        <v>108.87285345107898</v>
      </c>
      <c r="R47" s="299">
        <f aca="true" t="shared" si="10" ref="R47:R64">Q47*0.7457</f>
        <v>81.1864868184696</v>
      </c>
      <c r="S47" s="325">
        <v>48.7</v>
      </c>
      <c r="T47" s="324">
        <v>0</v>
      </c>
      <c r="U47" s="329">
        <f>'Unit Cost Table'!$C$25*F47</f>
        <v>60000</v>
      </c>
      <c r="V47" s="303"/>
    </row>
    <row r="48" spans="4:22" ht="15.75">
      <c r="D48" s="241" t="s">
        <v>9</v>
      </c>
      <c r="E48" s="228" t="s">
        <v>215</v>
      </c>
      <c r="F48" s="301">
        <v>2</v>
      </c>
      <c r="G48" s="301">
        <v>11</v>
      </c>
      <c r="H48" s="301">
        <f>G48+'1 Reclamation and O&amp;M costs'!$O$23-'1 Reclamation and O&amp;M costs'!$O$22</f>
        <v>17</v>
      </c>
      <c r="I48" s="301">
        <f>$O$25-$O$23</f>
        <v>12</v>
      </c>
      <c r="J48" s="299">
        <f t="shared" si="6"/>
        <v>3</v>
      </c>
      <c r="K48" s="306">
        <f t="shared" si="8"/>
        <v>1</v>
      </c>
      <c r="L48" s="301">
        <v>940</v>
      </c>
      <c r="M48" s="301">
        <v>6556</v>
      </c>
      <c r="N48" s="301">
        <v>6745</v>
      </c>
      <c r="O48" s="324">
        <f t="shared" si="7"/>
        <v>11.218506561198753</v>
      </c>
      <c r="P48" s="324">
        <f>(N48-M48)+O48</f>
        <v>200.21850656119875</v>
      </c>
      <c r="Q48" s="299">
        <f t="shared" si="9"/>
        <v>67.89516456259987</v>
      </c>
      <c r="R48" s="299">
        <f>Q48*0.7457</f>
        <v>50.629424214330726</v>
      </c>
      <c r="S48" s="325">
        <v>96.9</v>
      </c>
      <c r="T48" s="332">
        <v>0</v>
      </c>
      <c r="U48" s="329">
        <f>'Unit Cost Table'!$C$24*F48</f>
        <v>50000</v>
      </c>
      <c r="V48" s="303"/>
    </row>
    <row r="49" spans="4:22" s="5" customFormat="1" ht="15.75">
      <c r="D49" s="243" t="s">
        <v>161</v>
      </c>
      <c r="E49" s="228" t="s">
        <v>32</v>
      </c>
      <c r="F49" s="301">
        <v>2</v>
      </c>
      <c r="G49" s="301">
        <v>20</v>
      </c>
      <c r="H49" s="301">
        <f>G49+'1 Reclamation and O&amp;M costs'!$O$23-'1 Reclamation and O&amp;M costs'!$O$22</f>
        <v>26</v>
      </c>
      <c r="I49" s="301">
        <f>$O$25-$O$23</f>
        <v>12</v>
      </c>
      <c r="J49" s="299">
        <f t="shared" si="6"/>
        <v>0</v>
      </c>
      <c r="K49" s="306">
        <f t="shared" si="8"/>
        <v>1</v>
      </c>
      <c r="L49" s="301">
        <f>1500*2</f>
        <v>3000</v>
      </c>
      <c r="M49" s="301">
        <v>6688</v>
      </c>
      <c r="N49" s="301">
        <v>6700</v>
      </c>
      <c r="O49" s="324">
        <f t="shared" si="7"/>
        <v>0.5057338410851604</v>
      </c>
      <c r="P49" s="324">
        <f>(N49-M49)+O49</f>
        <v>12.50573384108516</v>
      </c>
      <c r="Q49" s="299">
        <f t="shared" si="9"/>
        <v>13.534343983858397</v>
      </c>
      <c r="R49" s="299">
        <f t="shared" si="10"/>
        <v>10.092560308763208</v>
      </c>
      <c r="S49" s="299">
        <v>0</v>
      </c>
      <c r="T49" s="332">
        <v>18001800.000000004</v>
      </c>
      <c r="U49" s="329">
        <f>'Unit Cost Table'!$C$24*F49</f>
        <v>50000</v>
      </c>
      <c r="V49" s="303"/>
    </row>
    <row r="50" spans="4:22" s="5" customFormat="1" ht="15.75">
      <c r="D50" s="243" t="s">
        <v>32</v>
      </c>
      <c r="E50" s="228" t="s">
        <v>16</v>
      </c>
      <c r="F50" s="323">
        <v>2</v>
      </c>
      <c r="G50" s="301">
        <v>20</v>
      </c>
      <c r="H50" s="301">
        <f>G50+'1 Reclamation and O&amp;M costs'!$O$23-'1 Reclamation and O&amp;M costs'!$O$22</f>
        <v>26</v>
      </c>
      <c r="I50" s="301">
        <f>$O$25-$O$23</f>
        <v>12</v>
      </c>
      <c r="J50" s="299">
        <f t="shared" si="6"/>
        <v>0</v>
      </c>
      <c r="K50" s="306">
        <f t="shared" si="8"/>
        <v>1</v>
      </c>
      <c r="L50" s="301">
        <f>L49</f>
        <v>3000</v>
      </c>
      <c r="M50" s="301">
        <f>N49</f>
        <v>6700</v>
      </c>
      <c r="N50" s="301">
        <v>6925</v>
      </c>
      <c r="O50" s="324">
        <f t="shared" si="7"/>
        <v>9.791007163408706</v>
      </c>
      <c r="P50" s="324">
        <f aca="true" t="shared" si="11" ref="P50:P52">(N50-M50)+O50</f>
        <v>234.7910071634087</v>
      </c>
      <c r="Q50" s="299">
        <f t="shared" si="9"/>
        <v>254.10282160542064</v>
      </c>
      <c r="R50" s="299">
        <f t="shared" si="10"/>
        <v>189.48447407116217</v>
      </c>
      <c r="S50" s="333">
        <v>0</v>
      </c>
      <c r="T50" s="332">
        <v>0</v>
      </c>
      <c r="U50" s="329">
        <f>'Unit Cost Table'!$C$24*F50</f>
        <v>50000</v>
      </c>
      <c r="V50" s="303"/>
    </row>
    <row r="51" spans="4:22" s="5" customFormat="1" ht="15.75">
      <c r="D51" s="243" t="s">
        <v>161</v>
      </c>
      <c r="E51" s="227" t="s">
        <v>18</v>
      </c>
      <c r="F51" s="301">
        <v>2</v>
      </c>
      <c r="G51" s="301">
        <v>20</v>
      </c>
      <c r="H51" s="301">
        <f>G51+'1 Reclamation and O&amp;M costs'!$O$23-'1 Reclamation and O&amp;M costs'!$O$22</f>
        <v>26</v>
      </c>
      <c r="I51" s="301">
        <f>$O$24-$O$23</f>
        <v>5</v>
      </c>
      <c r="J51" s="299">
        <f t="shared" si="6"/>
        <v>0</v>
      </c>
      <c r="K51" s="306">
        <f t="shared" si="8"/>
        <v>1</v>
      </c>
      <c r="L51" s="301">
        <v>1760</v>
      </c>
      <c r="M51" s="301">
        <v>6688</v>
      </c>
      <c r="N51" s="301">
        <v>7000</v>
      </c>
      <c r="O51" s="324">
        <f t="shared" si="7"/>
        <v>30.72089959376393</v>
      </c>
      <c r="P51" s="324">
        <f t="shared" si="11"/>
        <v>342.72089959376393</v>
      </c>
      <c r="Q51" s="299">
        <f t="shared" si="9"/>
        <v>217.60057117064378</v>
      </c>
      <c r="R51" s="299">
        <f t="shared" si="10"/>
        <v>162.26474592194907</v>
      </c>
      <c r="S51" s="299">
        <v>0</v>
      </c>
      <c r="T51" s="332">
        <v>0</v>
      </c>
      <c r="U51" s="329">
        <f>'Unit Cost Table'!$C$25*F51</f>
        <v>60000</v>
      </c>
      <c r="V51" s="303"/>
    </row>
    <row r="52" spans="4:22" s="5" customFormat="1" ht="15.75">
      <c r="D52" s="241" t="s">
        <v>10</v>
      </c>
      <c r="E52" s="227" t="s">
        <v>17</v>
      </c>
      <c r="F52" s="301">
        <v>1</v>
      </c>
      <c r="G52" s="301">
        <v>20</v>
      </c>
      <c r="H52" s="301">
        <f>G52+'1 Reclamation and O&amp;M costs'!$O$23-'1 Reclamation and O&amp;M costs'!$O$22</f>
        <v>26</v>
      </c>
      <c r="I52" s="301">
        <f>$O$24-$O$23</f>
        <v>5</v>
      </c>
      <c r="J52" s="299">
        <f t="shared" si="6"/>
        <v>0</v>
      </c>
      <c r="K52" s="306">
        <f t="shared" si="8"/>
        <v>1</v>
      </c>
      <c r="L52" s="301">
        <v>100</v>
      </c>
      <c r="M52" s="301">
        <v>6670</v>
      </c>
      <c r="N52" s="301">
        <v>6695</v>
      </c>
      <c r="O52" s="324">
        <f t="shared" si="7"/>
        <v>0.3921683978876333</v>
      </c>
      <c r="P52" s="324">
        <f t="shared" si="11"/>
        <v>25.392168397887634</v>
      </c>
      <c r="Q52" s="299">
        <f t="shared" si="9"/>
        <v>0.9160233909771874</v>
      </c>
      <c r="R52" s="299">
        <f t="shared" si="10"/>
        <v>0.6830786426516887</v>
      </c>
      <c r="S52" s="299">
        <v>0</v>
      </c>
      <c r="T52" s="324">
        <v>146642.562</v>
      </c>
      <c r="U52" s="329">
        <f>'Unit Cost Table'!$C$23*F52</f>
        <v>15000</v>
      </c>
      <c r="V52" s="303"/>
    </row>
    <row r="53" spans="4:22" s="5" customFormat="1" ht="15.75">
      <c r="D53" s="243" t="s">
        <v>358</v>
      </c>
      <c r="E53" s="228" t="s">
        <v>161</v>
      </c>
      <c r="F53" s="301">
        <v>2</v>
      </c>
      <c r="G53" s="301">
        <v>20</v>
      </c>
      <c r="H53" s="301">
        <f>G53+'1 Reclamation and O&amp;M costs'!$O$23-'1 Reclamation and O&amp;M costs'!$O$22</f>
        <v>26</v>
      </c>
      <c r="I53" s="301">
        <f>$O$25-$O$23</f>
        <v>12</v>
      </c>
      <c r="J53" s="299">
        <f t="shared" si="6"/>
        <v>0</v>
      </c>
      <c r="K53" s="306">
        <f t="shared" si="8"/>
        <v>1</v>
      </c>
      <c r="L53" s="301">
        <f>L52</f>
        <v>100</v>
      </c>
      <c r="M53" s="301">
        <v>6695</v>
      </c>
      <c r="N53" s="301">
        <v>6750</v>
      </c>
      <c r="O53" s="324">
        <f t="shared" si="7"/>
        <v>6.898048638066484</v>
      </c>
      <c r="P53" s="324">
        <f>(N53-M53)+O53</f>
        <v>61.898048638066484</v>
      </c>
      <c r="Q53" s="299">
        <f t="shared" si="9"/>
        <v>2.232974337592586</v>
      </c>
      <c r="R53" s="299">
        <f t="shared" si="10"/>
        <v>1.6651289635427913</v>
      </c>
      <c r="S53" s="327">
        <v>13.1</v>
      </c>
      <c r="T53" s="332">
        <v>0</v>
      </c>
      <c r="U53" s="329">
        <f>'Unit Cost Table'!$C$23*F53</f>
        <v>30000</v>
      </c>
      <c r="V53" s="303"/>
    </row>
    <row r="54" spans="4:22" s="5" customFormat="1" ht="15.75">
      <c r="D54" s="243" t="s">
        <v>214</v>
      </c>
      <c r="E54" s="228" t="s">
        <v>161</v>
      </c>
      <c r="F54" s="301">
        <v>2</v>
      </c>
      <c r="G54" s="301">
        <v>5</v>
      </c>
      <c r="H54" s="301">
        <f>G54+'1 Reclamation and O&amp;M costs'!$O$23-'1 Reclamation and O&amp;M costs'!$O$22</f>
        <v>11</v>
      </c>
      <c r="I54" s="301">
        <f>$O$24-$O$23</f>
        <v>5</v>
      </c>
      <c r="J54" s="299" t="str">
        <f t="shared" si="6"/>
        <v>-</v>
      </c>
      <c r="K54" s="306">
        <f t="shared" si="8"/>
        <v>0</v>
      </c>
      <c r="L54" s="301">
        <v>45</v>
      </c>
      <c r="M54" s="301">
        <v>6575</v>
      </c>
      <c r="N54" s="301">
        <v>6688</v>
      </c>
      <c r="O54" s="324">
        <f t="shared" si="7"/>
        <v>18.642724878120436</v>
      </c>
      <c r="P54" s="324">
        <f aca="true" t="shared" si="12" ref="P54:P61">(N54-M54)+O54</f>
        <v>131.64272487812045</v>
      </c>
      <c r="Q54" s="299">
        <f t="shared" si="9"/>
        <v>2.1370572220474098</v>
      </c>
      <c r="R54" s="299">
        <f t="shared" si="10"/>
        <v>1.5936035704807536</v>
      </c>
      <c r="S54" s="299">
        <v>0</v>
      </c>
      <c r="T54" s="324">
        <v>762541.3224</v>
      </c>
      <c r="U54" s="329">
        <f>'Unit Cost Table'!$C$22*F54</f>
        <v>20000</v>
      </c>
      <c r="V54" s="303"/>
    </row>
    <row r="55" spans="4:22" s="62" customFormat="1" ht="15.75">
      <c r="D55" s="243" t="s">
        <v>11</v>
      </c>
      <c r="E55" s="228" t="s">
        <v>161</v>
      </c>
      <c r="F55" s="323">
        <v>2</v>
      </c>
      <c r="G55" s="323">
        <v>5</v>
      </c>
      <c r="H55" s="301">
        <f>G55+'1 Reclamation and O&amp;M costs'!$O$23-'1 Reclamation and O&amp;M costs'!$O$22</f>
        <v>11</v>
      </c>
      <c r="I55" s="301">
        <f>$O$24-$O$23</f>
        <v>5</v>
      </c>
      <c r="J55" s="299" t="str">
        <f t="shared" si="6"/>
        <v>-</v>
      </c>
      <c r="K55" s="306">
        <f t="shared" si="8"/>
        <v>0</v>
      </c>
      <c r="L55" s="323">
        <v>30</v>
      </c>
      <c r="M55" s="323">
        <v>6575</v>
      </c>
      <c r="N55" s="323">
        <v>6688</v>
      </c>
      <c r="O55" s="334">
        <f t="shared" si="7"/>
        <v>95.7754861576461</v>
      </c>
      <c r="P55" s="324">
        <f t="shared" si="12"/>
        <v>208.7754861576461</v>
      </c>
      <c r="Q55" s="299">
        <f t="shared" si="9"/>
        <v>2.2594749584160834</v>
      </c>
      <c r="R55" s="299">
        <f t="shared" si="10"/>
        <v>1.6848904764908734</v>
      </c>
      <c r="S55" s="299">
        <v>0</v>
      </c>
      <c r="T55" s="324">
        <v>169453.6272</v>
      </c>
      <c r="U55" s="329">
        <f>'Unit Cost Table'!$C$22*F55</f>
        <v>20000</v>
      </c>
      <c r="V55" s="303"/>
    </row>
    <row r="56" spans="4:22" s="59" customFormat="1" ht="15.75">
      <c r="D56" s="243" t="s">
        <v>216</v>
      </c>
      <c r="E56" s="228" t="s">
        <v>16</v>
      </c>
      <c r="F56" s="323">
        <v>2</v>
      </c>
      <c r="G56" s="323">
        <v>20</v>
      </c>
      <c r="H56" s="301">
        <f>G56+'1 Reclamation and O&amp;M costs'!$O$23-'1 Reclamation and O&amp;M costs'!$O$22</f>
        <v>26</v>
      </c>
      <c r="I56" s="301">
        <f>$O$25-$O$23</f>
        <v>12</v>
      </c>
      <c r="J56" s="299">
        <f t="shared" si="6"/>
        <v>0</v>
      </c>
      <c r="K56" s="306">
        <f t="shared" si="8"/>
        <v>1</v>
      </c>
      <c r="L56" s="323">
        <v>1980</v>
      </c>
      <c r="M56" s="323">
        <v>6810</v>
      </c>
      <c r="N56" s="323">
        <v>6925</v>
      </c>
      <c r="O56" s="334">
        <f t="shared" si="7"/>
        <v>358.12093082948076</v>
      </c>
      <c r="P56" s="324">
        <f t="shared" si="12"/>
        <v>473.12093082948076</v>
      </c>
      <c r="Q56" s="299">
        <f t="shared" si="9"/>
        <v>337.94352202105773</v>
      </c>
      <c r="R56" s="299">
        <f t="shared" si="10"/>
        <v>252.00448437110276</v>
      </c>
      <c r="S56" s="325">
        <v>53.7</v>
      </c>
      <c r="T56" s="324">
        <v>0</v>
      </c>
      <c r="U56" s="329">
        <f>'Unit Cost Table'!$C$25*F56</f>
        <v>60000</v>
      </c>
      <c r="V56" s="303"/>
    </row>
    <row r="57" spans="4:22" s="59" customFormat="1" ht="15.75">
      <c r="D57" s="243" t="s">
        <v>13</v>
      </c>
      <c r="E57" s="228" t="s">
        <v>16</v>
      </c>
      <c r="F57" s="323">
        <v>2</v>
      </c>
      <c r="G57" s="323">
        <v>20</v>
      </c>
      <c r="H57" s="301">
        <f>G57+'1 Reclamation and O&amp;M costs'!$O$23-'1 Reclamation and O&amp;M costs'!$O$22</f>
        <v>26</v>
      </c>
      <c r="I57" s="301">
        <f>$O$25-$O$23</f>
        <v>12</v>
      </c>
      <c r="J57" s="299">
        <f t="shared" si="6"/>
        <v>0</v>
      </c>
      <c r="K57" s="306">
        <f t="shared" si="8"/>
        <v>1</v>
      </c>
      <c r="L57" s="323">
        <v>1100</v>
      </c>
      <c r="M57" s="323">
        <v>6775</v>
      </c>
      <c r="N57" s="323">
        <v>6925</v>
      </c>
      <c r="O57" s="334">
        <f>10.44*(L57)^1.85/($O$14^1.85*H108^4.865)*G108</f>
        <v>14.487001386799871</v>
      </c>
      <c r="P57" s="324">
        <f t="shared" si="12"/>
        <v>164.48700138679988</v>
      </c>
      <c r="Q57" s="299">
        <f t="shared" si="9"/>
        <v>65.27261959793647</v>
      </c>
      <c r="R57" s="299">
        <f t="shared" si="10"/>
        <v>48.67379243418123</v>
      </c>
      <c r="S57" s="325">
        <v>6.5</v>
      </c>
      <c r="T57" s="332">
        <v>0</v>
      </c>
      <c r="U57" s="329">
        <f>'Unit Cost Table'!$C$25*F57</f>
        <v>60000</v>
      </c>
      <c r="V57" s="303"/>
    </row>
    <row r="58" spans="4:22" s="59" customFormat="1" ht="15.75">
      <c r="D58" s="243" t="s">
        <v>15</v>
      </c>
      <c r="E58" s="228" t="s">
        <v>12</v>
      </c>
      <c r="F58" s="323">
        <v>1</v>
      </c>
      <c r="G58" s="323">
        <v>20</v>
      </c>
      <c r="H58" s="301">
        <f>G58+'1 Reclamation and O&amp;M costs'!$O$23-'1 Reclamation and O&amp;M costs'!$O$22</f>
        <v>26</v>
      </c>
      <c r="I58" s="301">
        <v>9</v>
      </c>
      <c r="J58" s="299">
        <f t="shared" si="6"/>
        <v>0</v>
      </c>
      <c r="K58" s="306">
        <f t="shared" si="8"/>
        <v>1</v>
      </c>
      <c r="L58" s="323">
        <v>125</v>
      </c>
      <c r="M58" s="323">
        <v>6775</v>
      </c>
      <c r="N58" s="323">
        <v>6810</v>
      </c>
      <c r="O58" s="334">
        <f>10.44*(L58)^1.85/($O$14^1.85*H109^4.865)*G109</f>
        <v>0.2962962277648568</v>
      </c>
      <c r="P58" s="324">
        <f t="shared" si="12"/>
        <v>35.296296227764856</v>
      </c>
      <c r="Q58" s="299">
        <f t="shared" si="9"/>
        <v>1.5916439496647212</v>
      </c>
      <c r="R58" s="299">
        <f t="shared" si="10"/>
        <v>1.1868888932649826</v>
      </c>
      <c r="S58" s="324">
        <v>0</v>
      </c>
      <c r="T58" s="332">
        <v>0</v>
      </c>
      <c r="U58" s="329">
        <f>'Unit Cost Table'!$C$23*F58</f>
        <v>15000</v>
      </c>
      <c r="V58" s="303"/>
    </row>
    <row r="59" spans="4:22" s="59" customFormat="1" ht="15.75">
      <c r="D59" s="243" t="s">
        <v>16</v>
      </c>
      <c r="E59" s="228" t="s">
        <v>18</v>
      </c>
      <c r="F59" s="323">
        <v>2</v>
      </c>
      <c r="G59" s="323">
        <v>6</v>
      </c>
      <c r="H59" s="301">
        <f>G59+'1 Reclamation and O&amp;M costs'!$O$23-'1 Reclamation and O&amp;M costs'!$O$22</f>
        <v>12</v>
      </c>
      <c r="I59" s="301">
        <v>9</v>
      </c>
      <c r="J59" s="299">
        <f t="shared" si="6"/>
        <v>8</v>
      </c>
      <c r="K59" s="306">
        <f t="shared" si="8"/>
        <v>1</v>
      </c>
      <c r="L59" s="323">
        <v>3497</v>
      </c>
      <c r="M59" s="323">
        <v>6925</v>
      </c>
      <c r="N59" s="323">
        <v>7000</v>
      </c>
      <c r="O59" s="334">
        <f>10.44*(L59)^1.85/($O$14^1.85*H111^4.865)*G111</f>
        <v>26.345286269742736</v>
      </c>
      <c r="P59" s="324">
        <f t="shared" si="12"/>
        <v>101.34528626974273</v>
      </c>
      <c r="Q59" s="299">
        <f t="shared" si="9"/>
        <v>127.85153899180749</v>
      </c>
      <c r="R59" s="299">
        <f t="shared" si="10"/>
        <v>95.33889262619084</v>
      </c>
      <c r="S59" s="299">
        <v>0</v>
      </c>
      <c r="T59" s="332">
        <v>0</v>
      </c>
      <c r="U59" s="329">
        <f>'Unit Cost Table'!$C$25*F59</f>
        <v>60000</v>
      </c>
      <c r="V59" s="303"/>
    </row>
    <row r="60" spans="4:22" s="59" customFormat="1" ht="15.75">
      <c r="D60" s="243" t="s">
        <v>18</v>
      </c>
      <c r="E60" s="228" t="s">
        <v>16</v>
      </c>
      <c r="F60" s="323">
        <v>1</v>
      </c>
      <c r="G60" s="323">
        <v>6</v>
      </c>
      <c r="H60" s="301">
        <f>G60+'1 Reclamation and O&amp;M costs'!$O$23-'1 Reclamation and O&amp;M costs'!$O$22</f>
        <v>12</v>
      </c>
      <c r="I60" s="301">
        <f>$O$24-$O$23</f>
        <v>5</v>
      </c>
      <c r="J60" s="299" t="str">
        <f t="shared" si="6"/>
        <v>-</v>
      </c>
      <c r="K60" s="306">
        <f t="shared" si="8"/>
        <v>0</v>
      </c>
      <c r="L60" s="323">
        <v>1240</v>
      </c>
      <c r="M60" s="323">
        <v>7000</v>
      </c>
      <c r="N60" s="323">
        <v>7010</v>
      </c>
      <c r="O60" s="334">
        <f>10.44*(L60)^1.85/($O$14^1.85*H112^4.865)*G112</f>
        <v>45.64533101985404</v>
      </c>
      <c r="P60" s="324">
        <f>(N60-M60)+O60</f>
        <v>55.64533101985404</v>
      </c>
      <c r="Q60" s="299">
        <f t="shared" si="9"/>
        <v>24.89185081696213</v>
      </c>
      <c r="R60" s="299">
        <f t="shared" si="10"/>
        <v>18.56185315420866</v>
      </c>
      <c r="S60" s="335">
        <v>316.1</v>
      </c>
      <c r="T60" s="332">
        <v>0</v>
      </c>
      <c r="U60" s="329">
        <f>'Unit Cost Table'!$C$25*F60</f>
        <v>30000</v>
      </c>
      <c r="V60" s="303"/>
    </row>
    <row r="61" spans="4:22" s="59" customFormat="1" ht="15.75">
      <c r="D61" s="243" t="s">
        <v>355</v>
      </c>
      <c r="E61" s="228" t="s">
        <v>161</v>
      </c>
      <c r="F61" s="323">
        <v>2</v>
      </c>
      <c r="G61" s="323">
        <v>-5</v>
      </c>
      <c r="H61" s="301">
        <f>G61+'1 Reclamation and O&amp;M costs'!$O$23-'1 Reclamation and O&amp;M costs'!$O$22</f>
        <v>1</v>
      </c>
      <c r="I61" s="301">
        <f>$O$25-$O$23</f>
        <v>12</v>
      </c>
      <c r="J61" s="299" t="str">
        <f t="shared" si="6"/>
        <v>-</v>
      </c>
      <c r="K61" s="306">
        <f t="shared" si="8"/>
        <v>0</v>
      </c>
      <c r="L61" s="323">
        <v>2000</v>
      </c>
      <c r="M61" s="323">
        <v>6560</v>
      </c>
      <c r="N61" s="323">
        <v>6688</v>
      </c>
      <c r="O61" s="334">
        <f>10.44*(L61)^1.85/($O$14^1.85*H113^4.865)*G113</f>
        <v>69.9441781394157</v>
      </c>
      <c r="P61" s="324">
        <f t="shared" si="12"/>
        <v>197.9441781394157</v>
      </c>
      <c r="Q61" s="299">
        <f t="shared" si="9"/>
        <v>142.81686734445577</v>
      </c>
      <c r="R61" s="299">
        <f t="shared" si="10"/>
        <v>106.49853797876068</v>
      </c>
      <c r="S61" s="325">
        <v>69.8</v>
      </c>
      <c r="T61" s="324">
        <v>423634.06799999997</v>
      </c>
      <c r="U61" s="329">
        <f>'Unit Cost Table'!$C$22*F61</f>
        <v>20000</v>
      </c>
      <c r="V61" s="303"/>
    </row>
    <row r="62" spans="4:22" ht="15.75">
      <c r="D62" s="249" t="s">
        <v>285</v>
      </c>
      <c r="E62" s="227"/>
      <c r="F62" s="337"/>
      <c r="G62" s="301"/>
      <c r="H62" s="337"/>
      <c r="I62" s="301"/>
      <c r="J62" s="338"/>
      <c r="K62" s="306"/>
      <c r="L62" s="301"/>
      <c r="M62" s="301"/>
      <c r="N62" s="301"/>
      <c r="O62" s="334"/>
      <c r="P62" s="324"/>
      <c r="Q62" s="299"/>
      <c r="R62" s="299"/>
      <c r="S62" s="327"/>
      <c r="T62" s="327"/>
      <c r="U62" s="368"/>
      <c r="V62" s="367"/>
    </row>
    <row r="63" spans="4:22" s="5" customFormat="1" ht="15.75">
      <c r="D63" s="243" t="s">
        <v>123</v>
      </c>
      <c r="E63" s="228" t="s">
        <v>124</v>
      </c>
      <c r="F63" s="301">
        <v>1</v>
      </c>
      <c r="G63" s="301"/>
      <c r="H63" s="301"/>
      <c r="I63" s="301"/>
      <c r="J63" s="301"/>
      <c r="K63" s="301"/>
      <c r="L63" s="301">
        <v>4318</v>
      </c>
      <c r="M63" s="301">
        <v>6825</v>
      </c>
      <c r="N63" s="301">
        <v>7000</v>
      </c>
      <c r="O63" s="324">
        <f>10.44*(L63)^1.85/($O$14^1.85*H115^4.865)*G115</f>
        <v>13.222033473983327</v>
      </c>
      <c r="P63" s="324">
        <f>(N63-M63)+O63</f>
        <v>188.22203347398332</v>
      </c>
      <c r="Q63" s="299">
        <f>L63*P63/3960/$O$12</f>
        <v>293.19723684727995</v>
      </c>
      <c r="R63" s="299">
        <f t="shared" si="10"/>
        <v>218.63717951701668</v>
      </c>
      <c r="S63" s="327"/>
      <c r="T63" s="327"/>
      <c r="U63" s="368"/>
      <c r="V63" s="367"/>
    </row>
    <row r="64" spans="4:22" s="5" customFormat="1" ht="16.5" thickBot="1">
      <c r="D64" s="245" t="s">
        <v>125</v>
      </c>
      <c r="E64" s="251" t="s">
        <v>124</v>
      </c>
      <c r="F64" s="311">
        <v>1</v>
      </c>
      <c r="G64" s="311"/>
      <c r="H64" s="311"/>
      <c r="I64" s="311"/>
      <c r="J64" s="311"/>
      <c r="K64" s="311"/>
      <c r="L64" s="311">
        <v>4318</v>
      </c>
      <c r="M64" s="311">
        <v>6950</v>
      </c>
      <c r="N64" s="311">
        <v>7000</v>
      </c>
      <c r="O64" s="342">
        <f>10.44*(L64)^1.85/($O$14^1.85*H116^4.865)*G116</f>
        <v>13.222033473983327</v>
      </c>
      <c r="P64" s="342">
        <f>(N64-M64)+O64</f>
        <v>63.22203347398333</v>
      </c>
      <c r="Q64" s="309">
        <f>L64*P64/3960/$O$12</f>
        <v>98.48222963227275</v>
      </c>
      <c r="R64" s="309">
        <f t="shared" si="10"/>
        <v>73.43819863678578</v>
      </c>
      <c r="S64" s="343"/>
      <c r="T64" s="343"/>
      <c r="U64" s="372"/>
      <c r="V64" s="367"/>
    </row>
    <row r="65" spans="4:22" ht="15.75">
      <c r="D65" s="59" t="s">
        <v>228</v>
      </c>
      <c r="E65" s="5"/>
      <c r="F65" s="57"/>
      <c r="G65" s="5"/>
      <c r="H65" s="5"/>
      <c r="I65" s="5"/>
      <c r="J65" s="5"/>
      <c r="K65" s="5"/>
      <c r="L65" s="5"/>
      <c r="O65" s="5"/>
      <c r="P65" s="5"/>
      <c r="Q65" s="5"/>
      <c r="S65" s="148"/>
      <c r="V65" s="148"/>
    </row>
    <row r="66" spans="4:22" ht="15.75">
      <c r="D66" s="59"/>
      <c r="E66" s="5"/>
      <c r="F66" s="57"/>
      <c r="G66" s="5"/>
      <c r="H66" s="5"/>
      <c r="I66" s="5"/>
      <c r="J66" s="5"/>
      <c r="K66" s="5"/>
      <c r="L66" s="5"/>
      <c r="O66" s="5"/>
      <c r="P66" s="5"/>
      <c r="Q66" s="5"/>
      <c r="S66" s="148"/>
      <c r="V66" s="148"/>
    </row>
    <row r="67" spans="6:22" ht="15.75">
      <c r="F67" s="3"/>
      <c r="G67" s="5"/>
      <c r="H67" s="5"/>
      <c r="I67" s="5"/>
      <c r="J67" s="5"/>
      <c r="K67" s="5"/>
      <c r="L67" s="5"/>
      <c r="M67" s="5"/>
      <c r="N67" s="6"/>
      <c r="O67" s="5"/>
      <c r="P67" s="5"/>
      <c r="Q67" s="5"/>
      <c r="S67" s="148"/>
      <c r="V67" s="148"/>
    </row>
    <row r="68" spans="6:42" ht="16.5" thickBot="1">
      <c r="F68" s="3"/>
      <c r="G68" s="5"/>
      <c r="H68" s="5"/>
      <c r="I68" s="5"/>
      <c r="J68" s="5"/>
      <c r="K68" s="5"/>
      <c r="L68" s="5"/>
      <c r="M68" s="5"/>
      <c r="N68" s="5"/>
      <c r="O68" s="6"/>
      <c r="P68" s="5"/>
      <c r="Q68" s="5"/>
      <c r="R68" s="5"/>
      <c r="S68" s="5"/>
      <c r="T68" s="5"/>
      <c r="U68" s="5"/>
      <c r="V68" s="5"/>
      <c r="W68" s="5"/>
      <c r="X68" s="379"/>
      <c r="Y68" s="7"/>
      <c r="Z68" s="149"/>
      <c r="AA68" s="149"/>
      <c r="AB68" s="5"/>
      <c r="AC68" s="7"/>
      <c r="AD68" s="7"/>
      <c r="AE68" s="7"/>
      <c r="AF68" s="47"/>
      <c r="AG68" s="5"/>
      <c r="AH68" s="5"/>
      <c r="AI68" s="5"/>
      <c r="AJ68" s="47"/>
      <c r="AK68" s="7"/>
      <c r="AL68" s="47"/>
      <c r="AM68" s="8"/>
      <c r="AN68" s="11"/>
      <c r="AO68" s="8"/>
      <c r="AP68" s="8"/>
    </row>
    <row r="69" spans="4:42" ht="33" customHeight="1" thickBot="1">
      <c r="D69" s="1" t="s">
        <v>366</v>
      </c>
      <c r="F69" s="407" t="s">
        <v>367</v>
      </c>
      <c r="G69" s="408"/>
      <c r="H69" s="408"/>
      <c r="I69" s="408"/>
      <c r="J69" s="409"/>
      <c r="K69" s="404" t="s">
        <v>365</v>
      </c>
      <c r="L69" s="405"/>
      <c r="M69" s="405"/>
      <c r="N69" s="405"/>
      <c r="O69" s="406"/>
      <c r="P69" s="104"/>
      <c r="S69" s="104"/>
      <c r="W69" s="5"/>
      <c r="X69" s="379"/>
      <c r="Y69" s="7"/>
      <c r="Z69" s="149"/>
      <c r="AA69" s="149"/>
      <c r="AB69" s="5"/>
      <c r="AC69" s="7"/>
      <c r="AD69" s="7"/>
      <c r="AE69" s="7"/>
      <c r="AF69" s="47"/>
      <c r="AG69" s="5"/>
      <c r="AH69" s="5"/>
      <c r="AI69" s="5"/>
      <c r="AJ69" s="47"/>
      <c r="AK69" s="7"/>
      <c r="AL69" s="47"/>
      <c r="AM69" s="8"/>
      <c r="AN69" s="11"/>
      <c r="AO69" s="8"/>
      <c r="AP69" s="8"/>
    </row>
    <row r="70" spans="4:42" ht="78.75">
      <c r="D70" s="389" t="str">
        <f>D45</f>
        <v>From</v>
      </c>
      <c r="E70" s="390" t="str">
        <f>E45</f>
        <v>To</v>
      </c>
      <c r="F70" s="247" t="s">
        <v>289</v>
      </c>
      <c r="G70" s="390" t="s">
        <v>166</v>
      </c>
      <c r="H70" s="390" t="s">
        <v>43</v>
      </c>
      <c r="I70" s="238" t="s">
        <v>313</v>
      </c>
      <c r="J70" s="248" t="s">
        <v>314</v>
      </c>
      <c r="K70" s="247" t="s">
        <v>230</v>
      </c>
      <c r="L70" s="390" t="s">
        <v>166</v>
      </c>
      <c r="M70" s="390" t="s">
        <v>43</v>
      </c>
      <c r="N70" s="238" t="s">
        <v>313</v>
      </c>
      <c r="O70" s="248" t="s">
        <v>314</v>
      </c>
      <c r="P70" s="233" t="s">
        <v>293</v>
      </c>
      <c r="Q70" s="233" t="s">
        <v>294</v>
      </c>
      <c r="R70" s="233" t="s">
        <v>295</v>
      </c>
      <c r="S70" s="233" t="s">
        <v>292</v>
      </c>
      <c r="T70" s="257" t="s">
        <v>291</v>
      </c>
      <c r="U70" s="234" t="s">
        <v>296</v>
      </c>
      <c r="W70" s="5"/>
      <c r="X70" s="379"/>
      <c r="Y70" s="7"/>
      <c r="Z70" s="149"/>
      <c r="AA70" s="149"/>
      <c r="AB70" s="5"/>
      <c r="AC70" s="7"/>
      <c r="AD70" s="7"/>
      <c r="AE70" s="7"/>
      <c r="AF70" s="47"/>
      <c r="AG70" s="5"/>
      <c r="AH70" s="5"/>
      <c r="AI70" s="5"/>
      <c r="AJ70" s="47"/>
      <c r="AK70" s="7"/>
      <c r="AL70" s="47"/>
      <c r="AM70" s="8"/>
      <c r="AN70" s="11"/>
      <c r="AO70" s="8"/>
      <c r="AP70" s="8"/>
    </row>
    <row r="71" spans="4:42" ht="15.75">
      <c r="D71" s="241" t="str">
        <f aca="true" t="shared" si="13" ref="D71:E71">D46</f>
        <v>SWRF Dam 1 (181-2003-Dam 1)</v>
      </c>
      <c r="E71" s="227" t="str">
        <f t="shared" si="13"/>
        <v>SWRF Dam 3 (181-2003-Dam 3)</v>
      </c>
      <c r="F71" s="326">
        <f>$S$46*$O$20+$T$46</f>
        <v>5821935.891356565</v>
      </c>
      <c r="G71" s="327">
        <f aca="true" t="shared" si="14" ref="G71:G86">F71/($L46*60)</f>
        <v>55.13196866814929</v>
      </c>
      <c r="H71" s="299">
        <f aca="true" t="shared" si="15" ref="H71:H84">$R46*G71</f>
        <v>3381.3799459088027</v>
      </c>
      <c r="I71" s="299">
        <f>H71*'Unit Cost Table'!$C$34</f>
        <v>198.48700282484674</v>
      </c>
      <c r="J71" s="328">
        <f aca="true" t="shared" si="16" ref="J71:J86">I71*($O$24-$O$23+1)</f>
        <v>1190.9220169490804</v>
      </c>
      <c r="K71" s="326">
        <f>$S$46*$O$21</f>
        <v>305888.4860102786</v>
      </c>
      <c r="L71" s="299">
        <f aca="true" t="shared" si="17" ref="L71:L86">K71/($L46*60)</f>
        <v>2.896671269036729</v>
      </c>
      <c r="M71" s="299">
        <f aca="true" t="shared" si="18" ref="M71:M84">$R46*L71</f>
        <v>177.66001061865933</v>
      </c>
      <c r="N71" s="302">
        <f>M71*'Unit Cost Table'!$C$34</f>
        <v>10.428642623315303</v>
      </c>
      <c r="O71" s="329">
        <f aca="true" t="shared" si="19" ref="O71:O86">N71*(I46-($O$24-$O$23))</f>
        <v>73.00049836320713</v>
      </c>
      <c r="P71" s="302">
        <f aca="true" t="shared" si="20" ref="P71:P86">U46*K46</f>
        <v>60000</v>
      </c>
      <c r="Q71" s="302">
        <f aca="true" t="shared" si="21" ref="Q71:Q86">U46*$O$17</f>
        <v>900</v>
      </c>
      <c r="R71" s="302">
        <f aca="true" t="shared" si="22" ref="R71:R86">Q71*(I46+1)</f>
        <v>11700</v>
      </c>
      <c r="S71" s="302">
        <f>F46*'Unit Cost Table'!$C$35</f>
        <v>10000</v>
      </c>
      <c r="T71" s="330">
        <f aca="true" t="shared" si="23" ref="T71:T89">R71+S71+P71</f>
        <v>81700</v>
      </c>
      <c r="U71" s="331">
        <f>O71+J71</f>
        <v>1263.9225153122875</v>
      </c>
      <c r="W71" s="5"/>
      <c r="X71" s="379"/>
      <c r="Y71" s="7"/>
      <c r="Z71" s="149"/>
      <c r="AA71" s="149"/>
      <c r="AB71" s="5"/>
      <c r="AC71" s="7"/>
      <c r="AD71" s="7"/>
      <c r="AE71" s="7"/>
      <c r="AF71" s="47"/>
      <c r="AG71" s="5"/>
      <c r="AH71" s="5"/>
      <c r="AI71" s="5"/>
      <c r="AJ71" s="47"/>
      <c r="AK71" s="7"/>
      <c r="AL71" s="47"/>
      <c r="AM71" s="8"/>
      <c r="AN71" s="11"/>
      <c r="AO71" s="8"/>
      <c r="AP71" s="8"/>
    </row>
    <row r="72" spans="4:42" ht="15.75">
      <c r="D72" s="241" t="str">
        <f aca="true" t="shared" si="24" ref="D72:E72">D47</f>
        <v>SWRF Dam 2 (181-2003-Dam 2)</v>
      </c>
      <c r="E72" s="227" t="str">
        <f t="shared" si="24"/>
        <v>SWRF Dam 3 (181-2003-Dam 3)</v>
      </c>
      <c r="F72" s="326">
        <f>$S$47*$O$20+$T$47</f>
        <v>2345147.046394249</v>
      </c>
      <c r="G72" s="327">
        <f t="shared" si="14"/>
        <v>20.147311395139596</v>
      </c>
      <c r="H72" s="299">
        <f t="shared" si="15"/>
        <v>1635.6894310091031</v>
      </c>
      <c r="I72" s="299">
        <f>H72*'Unit Cost Table'!$C$34</f>
        <v>96.01496960023435</v>
      </c>
      <c r="J72" s="328">
        <f t="shared" si="16"/>
        <v>576.0898176014061</v>
      </c>
      <c r="K72" s="326">
        <f>$S$47*$O$21</f>
        <v>123215.62670554646</v>
      </c>
      <c r="L72" s="299">
        <f t="shared" si="17"/>
        <v>1.0585534940339043</v>
      </c>
      <c r="M72" s="299">
        <f t="shared" si="18"/>
        <v>85.94023929002852</v>
      </c>
      <c r="N72" s="302">
        <f>M72*'Unit Cost Table'!$C$34</f>
        <v>5.044692046324674</v>
      </c>
      <c r="O72" s="329">
        <f t="shared" si="19"/>
        <v>35.31284432427272</v>
      </c>
      <c r="P72" s="302">
        <f t="shared" si="20"/>
        <v>60000</v>
      </c>
      <c r="Q72" s="302">
        <f t="shared" si="21"/>
        <v>900</v>
      </c>
      <c r="R72" s="302">
        <f t="shared" si="22"/>
        <v>11700</v>
      </c>
      <c r="S72" s="302">
        <f>F47*'Unit Cost Table'!$C$35</f>
        <v>10000</v>
      </c>
      <c r="T72" s="330">
        <f t="shared" si="23"/>
        <v>81700</v>
      </c>
      <c r="U72" s="331">
        <f aca="true" t="shared" si="25" ref="U72:U89">O72+J72</f>
        <v>611.4026619256789</v>
      </c>
      <c r="W72" s="5"/>
      <c r="X72" s="379"/>
      <c r="Y72" s="7"/>
      <c r="Z72" s="149"/>
      <c r="AA72" s="149"/>
      <c r="AB72" s="5"/>
      <c r="AC72" s="7"/>
      <c r="AD72" s="7"/>
      <c r="AE72" s="7"/>
      <c r="AF72" s="47"/>
      <c r="AG72" s="5"/>
      <c r="AH72" s="5"/>
      <c r="AI72" s="5"/>
      <c r="AJ72" s="47"/>
      <c r="AK72" s="7"/>
      <c r="AL72" s="47"/>
      <c r="AM72" s="8"/>
      <c r="AN72" s="11"/>
      <c r="AO72" s="8"/>
      <c r="AP72" s="8"/>
    </row>
    <row r="73" spans="4:42" ht="15.75">
      <c r="D73" s="241" t="str">
        <f aca="true" t="shared" si="26" ref="D73:E73">D48</f>
        <v>SWRF Dam 3 (181-2003-Dam 3)</v>
      </c>
      <c r="E73" s="228" t="str">
        <f t="shared" si="26"/>
        <v xml:space="preserve">Bullfrog pipeline </v>
      </c>
      <c r="F73" s="326">
        <f>$S$48*$O$20+$T$48+$F$72+$F$71</f>
        <v>12833299.545463396</v>
      </c>
      <c r="G73" s="327">
        <f t="shared" si="14"/>
        <v>227.54077208268433</v>
      </c>
      <c r="H73" s="299">
        <f t="shared" si="15"/>
        <v>11520.258275830567</v>
      </c>
      <c r="I73" s="299">
        <f>H73*'Unit Cost Table'!$C$34</f>
        <v>676.2391607912543</v>
      </c>
      <c r="J73" s="328">
        <f t="shared" si="16"/>
        <v>4057.434964747526</v>
      </c>
      <c r="K73" s="326">
        <f>$S$48*$O$21+$F$72+$F$71</f>
        <v>8412249.143659797</v>
      </c>
      <c r="L73" s="299">
        <f t="shared" si="17"/>
        <v>149.1533536109893</v>
      </c>
      <c r="M73" s="299">
        <f t="shared" si="18"/>
        <v>7551.548412960856</v>
      </c>
      <c r="N73" s="302">
        <f>M73*'Unit Cost Table'!$C$34</f>
        <v>443.2758918408023</v>
      </c>
      <c r="O73" s="329">
        <f t="shared" si="19"/>
        <v>3102.931242885616</v>
      </c>
      <c r="P73" s="302">
        <f t="shared" si="20"/>
        <v>50000</v>
      </c>
      <c r="Q73" s="302">
        <f t="shared" si="21"/>
        <v>750</v>
      </c>
      <c r="R73" s="302">
        <f t="shared" si="22"/>
        <v>9750</v>
      </c>
      <c r="S73" s="302">
        <f>F48*'Unit Cost Table'!$C$35</f>
        <v>10000</v>
      </c>
      <c r="T73" s="330">
        <f t="shared" si="23"/>
        <v>69750</v>
      </c>
      <c r="U73" s="331">
        <f t="shared" si="25"/>
        <v>7160.366207633142</v>
      </c>
      <c r="W73" s="5"/>
      <c r="X73" s="379"/>
      <c r="Y73" s="7"/>
      <c r="Z73" s="149"/>
      <c r="AA73" s="149"/>
      <c r="AB73" s="5"/>
      <c r="AC73" s="7"/>
      <c r="AD73" s="7"/>
      <c r="AE73" s="7"/>
      <c r="AF73" s="47"/>
      <c r="AG73" s="5"/>
      <c r="AH73" s="5"/>
      <c r="AI73" s="5"/>
      <c r="AJ73" s="47"/>
      <c r="AK73" s="7"/>
      <c r="AL73" s="47"/>
      <c r="AM73" s="8"/>
      <c r="AN73" s="11"/>
      <c r="AO73" s="8"/>
      <c r="AP73" s="8"/>
    </row>
    <row r="74" spans="4:42" ht="15.75">
      <c r="D74" s="243" t="str">
        <f aca="true" t="shared" si="27" ref="D74:E74">D49</f>
        <v>Decant Pond #4</v>
      </c>
      <c r="E74" s="228" t="str">
        <f t="shared" si="27"/>
        <v>Booster Pump 2</v>
      </c>
      <c r="F74" s="326">
        <f>$S$49*$O$20+$T$49+$F$86+$F$78+$F$79+$F$80</f>
        <v>23496118.605186928</v>
      </c>
      <c r="G74" s="327">
        <f t="shared" si="14"/>
        <v>130.53399225103848</v>
      </c>
      <c r="H74" s="299">
        <f t="shared" si="15"/>
        <v>1317.4221891372351</v>
      </c>
      <c r="I74" s="299">
        <f>H74*'Unit Cost Table'!$C$34</f>
        <v>77.33268250235571</v>
      </c>
      <c r="J74" s="328">
        <f t="shared" si="16"/>
        <v>463.99609501413426</v>
      </c>
      <c r="K74" s="326">
        <f>$S$49*$O$21+$F$86+$F$78+$F$79+$F$80</f>
        <v>5494318.605186924</v>
      </c>
      <c r="L74" s="299">
        <f t="shared" si="17"/>
        <v>30.523992251038468</v>
      </c>
      <c r="M74" s="299">
        <f t="shared" si="18"/>
        <v>308.0652326578266</v>
      </c>
      <c r="N74" s="302">
        <f>M74*'Unit Cost Table'!$C$34</f>
        <v>18.08342915701442</v>
      </c>
      <c r="O74" s="329">
        <f t="shared" si="19"/>
        <v>126.58400409910095</v>
      </c>
      <c r="P74" s="302">
        <f t="shared" si="20"/>
        <v>50000</v>
      </c>
      <c r="Q74" s="302">
        <f t="shared" si="21"/>
        <v>750</v>
      </c>
      <c r="R74" s="302">
        <f t="shared" si="22"/>
        <v>9750</v>
      </c>
      <c r="S74" s="302">
        <f>F49*'Unit Cost Table'!$C$35</f>
        <v>10000</v>
      </c>
      <c r="T74" s="330">
        <f t="shared" si="23"/>
        <v>69750</v>
      </c>
      <c r="U74" s="331">
        <f t="shared" si="25"/>
        <v>590.5800991132352</v>
      </c>
      <c r="W74" s="5"/>
      <c r="X74" s="379"/>
      <c r="Y74" s="7"/>
      <c r="Z74" s="149"/>
      <c r="AA74" s="149"/>
      <c r="AB74" s="5"/>
      <c r="AC74" s="7"/>
      <c r="AD74" s="7"/>
      <c r="AE74" s="7"/>
      <c r="AF74" s="47"/>
      <c r="AG74" s="5"/>
      <c r="AH74" s="5"/>
      <c r="AI74" s="5"/>
      <c r="AJ74" s="47"/>
      <c r="AK74" s="7"/>
      <c r="AL74" s="47"/>
      <c r="AM74" s="8"/>
      <c r="AN74" s="11"/>
      <c r="AO74" s="8"/>
      <c r="AP74" s="8"/>
    </row>
    <row r="75" spans="4:42" ht="15.75">
      <c r="D75" s="243" t="str">
        <f aca="true" t="shared" si="28" ref="D75:E75">D50</f>
        <v>Booster Pump 2</v>
      </c>
      <c r="E75" s="228" t="str">
        <f t="shared" si="28"/>
        <v>Surge Tank</v>
      </c>
      <c r="F75" s="326">
        <f>$F$74</f>
        <v>23496118.605186928</v>
      </c>
      <c r="G75" s="327">
        <f t="shared" si="14"/>
        <v>130.53399225103848</v>
      </c>
      <c r="H75" s="299">
        <f t="shared" si="15"/>
        <v>24734.164870097185</v>
      </c>
      <c r="I75" s="299">
        <f>H75*'Unit Cost Table'!$C$34</f>
        <v>1451.8954778747047</v>
      </c>
      <c r="J75" s="328">
        <f t="shared" si="16"/>
        <v>8711.372867248228</v>
      </c>
      <c r="K75" s="326">
        <f>$F$74</f>
        <v>23496118.605186928</v>
      </c>
      <c r="L75" s="299">
        <f t="shared" si="17"/>
        <v>130.53399225103848</v>
      </c>
      <c r="M75" s="299">
        <f t="shared" si="18"/>
        <v>24734.164870097185</v>
      </c>
      <c r="N75" s="302">
        <f>M75*'Unit Cost Table'!$C$34</f>
        <v>1451.8954778747047</v>
      </c>
      <c r="O75" s="329">
        <f t="shared" si="19"/>
        <v>10163.268345122933</v>
      </c>
      <c r="P75" s="302">
        <f t="shared" si="20"/>
        <v>50000</v>
      </c>
      <c r="Q75" s="302">
        <f t="shared" si="21"/>
        <v>750</v>
      </c>
      <c r="R75" s="302">
        <f t="shared" si="22"/>
        <v>9750</v>
      </c>
      <c r="S75" s="302">
        <f>F50*'Unit Cost Table'!$C$35</f>
        <v>10000</v>
      </c>
      <c r="T75" s="330">
        <f t="shared" si="23"/>
        <v>69750</v>
      </c>
      <c r="U75" s="331">
        <f t="shared" si="25"/>
        <v>18874.641212371163</v>
      </c>
      <c r="W75" s="5"/>
      <c r="X75" s="379"/>
      <c r="Y75" s="7"/>
      <c r="Z75" s="149"/>
      <c r="AA75" s="149"/>
      <c r="AB75" s="5"/>
      <c r="AC75" s="7"/>
      <c r="AD75" s="7"/>
      <c r="AE75" s="7"/>
      <c r="AF75" s="47"/>
      <c r="AG75" s="5"/>
      <c r="AH75" s="5"/>
      <c r="AI75" s="5"/>
      <c r="AJ75" s="47"/>
      <c r="AK75" s="7"/>
      <c r="AL75" s="47"/>
      <c r="AM75" s="8"/>
      <c r="AN75" s="11"/>
      <c r="AO75" s="8"/>
      <c r="AP75" s="8"/>
    </row>
    <row r="76" spans="4:42" ht="15.75">
      <c r="D76" s="243" t="str">
        <f aca="true" t="shared" si="29" ref="D76:E76">D51</f>
        <v>Decant Pond #4</v>
      </c>
      <c r="E76" s="227" t="str">
        <f t="shared" si="29"/>
        <v>Reclaim Pond</v>
      </c>
      <c r="F76" s="326">
        <f>$S$51*$O$20+$T$51</f>
        <v>0</v>
      </c>
      <c r="G76" s="327">
        <f t="shared" si="14"/>
        <v>0</v>
      </c>
      <c r="H76" s="299">
        <f t="shared" si="15"/>
        <v>0</v>
      </c>
      <c r="I76" s="299">
        <f>H76*'Unit Cost Table'!$C$34</f>
        <v>0</v>
      </c>
      <c r="J76" s="328">
        <f t="shared" si="16"/>
        <v>0</v>
      </c>
      <c r="K76" s="326">
        <f>$S$51*$O$21</f>
        <v>0</v>
      </c>
      <c r="L76" s="299">
        <f t="shared" si="17"/>
        <v>0</v>
      </c>
      <c r="M76" s="299">
        <f t="shared" si="18"/>
        <v>0</v>
      </c>
      <c r="N76" s="302">
        <f>M76*'Unit Cost Table'!$C$34</f>
        <v>0</v>
      </c>
      <c r="O76" s="329">
        <f t="shared" si="19"/>
        <v>0</v>
      </c>
      <c r="P76" s="302">
        <f t="shared" si="20"/>
        <v>60000</v>
      </c>
      <c r="Q76" s="302">
        <f t="shared" si="21"/>
        <v>900</v>
      </c>
      <c r="R76" s="302">
        <f t="shared" si="22"/>
        <v>5400</v>
      </c>
      <c r="S76" s="302">
        <f>F51*'Unit Cost Table'!$C$35</f>
        <v>10000</v>
      </c>
      <c r="T76" s="330">
        <f t="shared" si="23"/>
        <v>75400</v>
      </c>
      <c r="U76" s="331">
        <f t="shared" si="25"/>
        <v>0</v>
      </c>
      <c r="W76" s="5"/>
      <c r="X76" s="379"/>
      <c r="Y76" s="7"/>
      <c r="Z76" s="149"/>
      <c r="AA76" s="149"/>
      <c r="AB76" s="5"/>
      <c r="AC76" s="7"/>
      <c r="AD76" s="7"/>
      <c r="AE76" s="7"/>
      <c r="AF76" s="47"/>
      <c r="AG76" s="5"/>
      <c r="AH76" s="5"/>
      <c r="AI76" s="5"/>
      <c r="AJ76" s="47"/>
      <c r="AK76" s="7"/>
      <c r="AL76" s="47"/>
      <c r="AM76" s="8"/>
      <c r="AN76" s="11"/>
      <c r="AO76" s="8"/>
      <c r="AP76" s="8"/>
    </row>
    <row r="77" spans="4:42" ht="15.75">
      <c r="D77" s="241" t="str">
        <f aca="true" t="shared" si="30" ref="D77:E77">D52</f>
        <v>Magnetite Interceptor Trench</v>
      </c>
      <c r="E77" s="227" t="str">
        <f t="shared" si="30"/>
        <v>Magnetite Tailings Seepage Pond</v>
      </c>
      <c r="F77" s="326">
        <f>$S$52*$O$20+$T$52</f>
        <v>146642.562</v>
      </c>
      <c r="G77" s="327">
        <f t="shared" si="14"/>
        <v>24.440427</v>
      </c>
      <c r="H77" s="299">
        <f t="shared" si="15"/>
        <v>16.694733700987683</v>
      </c>
      <c r="I77" s="299">
        <f>H77*'Unit Cost Table'!$C$34</f>
        <v>0.979980868247977</v>
      </c>
      <c r="J77" s="328">
        <f t="shared" si="16"/>
        <v>5.879885209487862</v>
      </c>
      <c r="K77" s="326">
        <f>$S$52*$O$21+$T$52</f>
        <v>146642.562</v>
      </c>
      <c r="L77" s="299">
        <f t="shared" si="17"/>
        <v>24.440427</v>
      </c>
      <c r="M77" s="299">
        <f t="shared" si="18"/>
        <v>16.694733700987683</v>
      </c>
      <c r="N77" s="302">
        <f>M77*'Unit Cost Table'!$C$34</f>
        <v>0.979980868247977</v>
      </c>
      <c r="O77" s="329">
        <f t="shared" si="19"/>
        <v>0</v>
      </c>
      <c r="P77" s="302">
        <f t="shared" si="20"/>
        <v>15000</v>
      </c>
      <c r="Q77" s="302">
        <f t="shared" si="21"/>
        <v>225</v>
      </c>
      <c r="R77" s="302">
        <f t="shared" si="22"/>
        <v>1350</v>
      </c>
      <c r="S77" s="302">
        <f>F52*'Unit Cost Table'!$C$35</f>
        <v>5000</v>
      </c>
      <c r="T77" s="330">
        <f t="shared" si="23"/>
        <v>21350</v>
      </c>
      <c r="U77" s="331">
        <f t="shared" si="25"/>
        <v>5.879885209487862</v>
      </c>
      <c r="W77" s="5"/>
      <c r="X77" s="379"/>
      <c r="Y77" s="7"/>
      <c r="Z77" s="149"/>
      <c r="AA77" s="149"/>
      <c r="AB77" s="5"/>
      <c r="AC77" s="7"/>
      <c r="AD77" s="7"/>
      <c r="AE77" s="7"/>
      <c r="AF77" s="47"/>
      <c r="AG77" s="5"/>
      <c r="AH77" s="5"/>
      <c r="AI77" s="5"/>
      <c r="AJ77" s="47"/>
      <c r="AK77" s="7"/>
      <c r="AL77" s="47"/>
      <c r="AM77" s="8"/>
      <c r="AN77" s="11"/>
      <c r="AO77" s="8"/>
      <c r="AP77" s="8"/>
    </row>
    <row r="78" spans="4:42" ht="15.75">
      <c r="D78" s="243" t="str">
        <f aca="true" t="shared" si="31" ref="D78:E78">D53</f>
        <v>Magnetite Seepage Pond</v>
      </c>
      <c r="E78" s="228" t="str">
        <f t="shared" si="31"/>
        <v>Decant Pond #4</v>
      </c>
      <c r="F78" s="326">
        <f>$S$53*$O$20+$T$53+$F$77</f>
        <v>777472.6709890075</v>
      </c>
      <c r="G78" s="327">
        <f t="shared" si="14"/>
        <v>129.5787784981679</v>
      </c>
      <c r="H78" s="299">
        <f t="shared" si="15"/>
        <v>215.76537713779524</v>
      </c>
      <c r="I78" s="299">
        <f>H78*'Unit Cost Table'!$C$34</f>
        <v>12.66542763798858</v>
      </c>
      <c r="J78" s="328">
        <f t="shared" si="16"/>
        <v>75.99256582793149</v>
      </c>
      <c r="K78" s="326">
        <f>$S$53*$O$21+$F$77</f>
        <v>179786.80655529074</v>
      </c>
      <c r="L78" s="299">
        <f t="shared" si="17"/>
        <v>29.964467759215122</v>
      </c>
      <c r="M78" s="299">
        <f t="shared" si="18"/>
        <v>49.89470314301326</v>
      </c>
      <c r="N78" s="302">
        <f>M78*'Unit Cost Table'!$C$34</f>
        <v>2.9288190744948785</v>
      </c>
      <c r="O78" s="329">
        <f t="shared" si="19"/>
        <v>20.50173352146415</v>
      </c>
      <c r="P78" s="302">
        <f t="shared" si="20"/>
        <v>30000</v>
      </c>
      <c r="Q78" s="302">
        <f t="shared" si="21"/>
        <v>450</v>
      </c>
      <c r="R78" s="302">
        <f t="shared" si="22"/>
        <v>5850</v>
      </c>
      <c r="S78" s="302">
        <f>F53*'Unit Cost Table'!$C$35</f>
        <v>10000</v>
      </c>
      <c r="T78" s="330">
        <f t="shared" si="23"/>
        <v>45850</v>
      </c>
      <c r="U78" s="331">
        <f t="shared" si="25"/>
        <v>96.49429934939563</v>
      </c>
      <c r="W78" s="5"/>
      <c r="X78" s="379"/>
      <c r="Y78" s="7"/>
      <c r="Z78" s="149"/>
      <c r="AA78" s="149"/>
      <c r="AB78" s="5"/>
      <c r="AC78" s="7"/>
      <c r="AD78" s="7"/>
      <c r="AE78" s="7"/>
      <c r="AF78" s="47"/>
      <c r="AG78" s="5"/>
      <c r="AH78" s="5"/>
      <c r="AI78" s="5"/>
      <c r="AJ78" s="47"/>
      <c r="AK78" s="7"/>
      <c r="AL78" s="47"/>
      <c r="AM78" s="8"/>
      <c r="AN78" s="11"/>
      <c r="AO78" s="8"/>
      <c r="AP78" s="8"/>
    </row>
    <row r="79" spans="4:42" ht="15.75">
      <c r="D79" s="243" t="str">
        <f aca="true" t="shared" si="32" ref="D79:E79">D54</f>
        <v>Estrada Seep</v>
      </c>
      <c r="E79" s="228" t="str">
        <f t="shared" si="32"/>
        <v>Decant Pond #4</v>
      </c>
      <c r="F79" s="326">
        <f>$S$54*$O$20+$T$54</f>
        <v>762541.3224</v>
      </c>
      <c r="G79" s="327">
        <f t="shared" si="14"/>
        <v>282.422712</v>
      </c>
      <c r="H79" s="299">
        <f t="shared" si="15"/>
        <v>450.06984222805755</v>
      </c>
      <c r="I79" s="299">
        <f>H79*'Unit Cost Table'!$C$34</f>
        <v>26.41909973878698</v>
      </c>
      <c r="J79" s="328">
        <f t="shared" si="16"/>
        <v>158.51459843272187</v>
      </c>
      <c r="K79" s="326">
        <f>$S$54*$O$21</f>
        <v>0</v>
      </c>
      <c r="L79" s="299">
        <f t="shared" si="17"/>
        <v>0</v>
      </c>
      <c r="M79" s="299">
        <f t="shared" si="18"/>
        <v>0</v>
      </c>
      <c r="N79" s="302">
        <f>M79*'Unit Cost Table'!$C$34</f>
        <v>0</v>
      </c>
      <c r="O79" s="329">
        <f t="shared" si="19"/>
        <v>0</v>
      </c>
      <c r="P79" s="302">
        <f t="shared" si="20"/>
        <v>0</v>
      </c>
      <c r="Q79" s="302">
        <f t="shared" si="21"/>
        <v>300</v>
      </c>
      <c r="R79" s="302">
        <f t="shared" si="22"/>
        <v>1800</v>
      </c>
      <c r="S79" s="302">
        <f>F54*'Unit Cost Table'!$C$35</f>
        <v>10000</v>
      </c>
      <c r="T79" s="330">
        <f t="shared" si="23"/>
        <v>11800</v>
      </c>
      <c r="U79" s="331">
        <f t="shared" si="25"/>
        <v>158.51459843272187</v>
      </c>
      <c r="W79" s="5"/>
      <c r="X79" s="379"/>
      <c r="Y79" s="7"/>
      <c r="Z79" s="149"/>
      <c r="AA79" s="149"/>
      <c r="AB79" s="5"/>
      <c r="AC79" s="7"/>
      <c r="AD79" s="7"/>
      <c r="AE79" s="7"/>
      <c r="AF79" s="47"/>
      <c r="AG79" s="5"/>
      <c r="AH79" s="5"/>
      <c r="AI79" s="5"/>
      <c r="AJ79" s="47"/>
      <c r="AK79" s="7"/>
      <c r="AL79" s="47"/>
      <c r="AM79" s="8"/>
      <c r="AN79" s="11"/>
      <c r="AO79" s="8"/>
      <c r="AP79" s="8"/>
    </row>
    <row r="80" spans="4:42" ht="15.75">
      <c r="D80" s="243" t="str">
        <f aca="true" t="shared" si="33" ref="D80:E80">D55</f>
        <v>Union Hill Adit Seep</v>
      </c>
      <c r="E80" s="228" t="str">
        <f t="shared" si="33"/>
        <v>Decant Pond #4</v>
      </c>
      <c r="F80" s="326">
        <f>$S$55*$O$20+$T$55</f>
        <v>169453.6272</v>
      </c>
      <c r="G80" s="327">
        <f t="shared" si="14"/>
        <v>94.14090399999999</v>
      </c>
      <c r="H80" s="299">
        <f t="shared" si="15"/>
        <v>158.61711259784155</v>
      </c>
      <c r="I80" s="299">
        <f>H80*'Unit Cost Table'!$C$34</f>
        <v>9.3108245094933</v>
      </c>
      <c r="J80" s="328">
        <f t="shared" si="16"/>
        <v>55.86494705695979</v>
      </c>
      <c r="K80" s="326">
        <f>$S$55*$O$21</f>
        <v>0</v>
      </c>
      <c r="L80" s="299">
        <f t="shared" si="17"/>
        <v>0</v>
      </c>
      <c r="M80" s="299">
        <f t="shared" si="18"/>
        <v>0</v>
      </c>
      <c r="N80" s="302">
        <f>M80*'Unit Cost Table'!$C$34</f>
        <v>0</v>
      </c>
      <c r="O80" s="329">
        <f t="shared" si="19"/>
        <v>0</v>
      </c>
      <c r="P80" s="302">
        <f t="shared" si="20"/>
        <v>0</v>
      </c>
      <c r="Q80" s="302">
        <f t="shared" si="21"/>
        <v>300</v>
      </c>
      <c r="R80" s="302">
        <f t="shared" si="22"/>
        <v>1800</v>
      </c>
      <c r="S80" s="302">
        <f>F55*'Unit Cost Table'!$C$35</f>
        <v>10000</v>
      </c>
      <c r="T80" s="330">
        <f t="shared" si="23"/>
        <v>11800</v>
      </c>
      <c r="U80" s="331">
        <f t="shared" si="25"/>
        <v>55.86494705695979</v>
      </c>
      <c r="W80" s="5"/>
      <c r="X80" s="379"/>
      <c r="Y80" s="7"/>
      <c r="Z80" s="149"/>
      <c r="AA80" s="149"/>
      <c r="AB80" s="5"/>
      <c r="AC80" s="7"/>
      <c r="AD80" s="7"/>
      <c r="AE80" s="7"/>
      <c r="AF80" s="47"/>
      <c r="AG80" s="5"/>
      <c r="AH80" s="5"/>
      <c r="AI80" s="5"/>
      <c r="AJ80" s="47"/>
      <c r="AK80" s="7"/>
      <c r="AL80" s="47"/>
      <c r="AM80" s="8"/>
      <c r="AN80" s="11"/>
      <c r="AO80" s="8"/>
      <c r="AP80" s="8"/>
    </row>
    <row r="81" spans="4:42" ht="15.75">
      <c r="D81" s="243" t="str">
        <f aca="true" t="shared" si="34" ref="D81:E81">D56</f>
        <v>Upper Creek Containment Pond #1</v>
      </c>
      <c r="E81" s="228" t="str">
        <f t="shared" si="34"/>
        <v>Surge Tank</v>
      </c>
      <c r="F81" s="326">
        <f>$S$56*$O$20+$T$56</f>
        <v>2585921.897153412</v>
      </c>
      <c r="G81" s="327">
        <f t="shared" si="14"/>
        <v>21.76701933630818</v>
      </c>
      <c r="H81" s="299">
        <f t="shared" si="15"/>
        <v>5485.386484142166</v>
      </c>
      <c r="I81" s="299">
        <f>H81*'Unit Cost Table'!$C$34</f>
        <v>321.9921866191452</v>
      </c>
      <c r="J81" s="328">
        <f t="shared" si="16"/>
        <v>1931.953119714871</v>
      </c>
      <c r="K81" s="326">
        <f>$S$56*$O$21</f>
        <v>135866.1017266498</v>
      </c>
      <c r="L81" s="299">
        <f t="shared" si="17"/>
        <v>1.1436540549381295</v>
      </c>
      <c r="M81" s="299">
        <f t="shared" si="18"/>
        <v>288.20595041360417</v>
      </c>
      <c r="N81" s="302">
        <f>M81*'Unit Cost Table'!$C$34</f>
        <v>16.917689289278567</v>
      </c>
      <c r="O81" s="329">
        <f t="shared" si="19"/>
        <v>118.42382502494996</v>
      </c>
      <c r="P81" s="302">
        <f t="shared" si="20"/>
        <v>60000</v>
      </c>
      <c r="Q81" s="302">
        <f t="shared" si="21"/>
        <v>900</v>
      </c>
      <c r="R81" s="302">
        <f t="shared" si="22"/>
        <v>11700</v>
      </c>
      <c r="S81" s="302">
        <f>F56*'Unit Cost Table'!$C$35</f>
        <v>10000</v>
      </c>
      <c r="T81" s="330">
        <f t="shared" si="23"/>
        <v>81700</v>
      </c>
      <c r="U81" s="331">
        <f t="shared" si="25"/>
        <v>2050.376944739821</v>
      </c>
      <c r="W81" s="5"/>
      <c r="X81" s="379"/>
      <c r="Y81" s="7"/>
      <c r="Z81" s="149"/>
      <c r="AA81" s="149"/>
      <c r="AB81" s="5"/>
      <c r="AC81" s="7"/>
      <c r="AD81" s="7"/>
      <c r="AE81" s="7"/>
      <c r="AF81" s="47"/>
      <c r="AG81" s="5"/>
      <c r="AH81" s="5"/>
      <c r="AI81" s="5"/>
      <c r="AJ81" s="47"/>
      <c r="AK81" s="7"/>
      <c r="AL81" s="47"/>
      <c r="AM81" s="8"/>
      <c r="AN81" s="11"/>
      <c r="AO81" s="8"/>
      <c r="AP81" s="8"/>
    </row>
    <row r="82" spans="4:42" ht="15.75">
      <c r="D82" s="243" t="str">
        <f aca="true" t="shared" si="35" ref="D82:E82">D57</f>
        <v>Grape Gulch Pond #3</v>
      </c>
      <c r="E82" s="228" t="str">
        <f t="shared" si="35"/>
        <v>Surge Tank</v>
      </c>
      <c r="F82" s="326">
        <f>$S$57*$O$20+$T$57</f>
        <v>313007.30598691205</v>
      </c>
      <c r="G82" s="327">
        <f t="shared" si="14"/>
        <v>4.742534939195637</v>
      </c>
      <c r="H82" s="299">
        <f t="shared" si="15"/>
        <v>230.83716124226072</v>
      </c>
      <c r="I82" s="299">
        <f>H82*'Unit Cost Table'!$C$34</f>
        <v>13.550141364920705</v>
      </c>
      <c r="J82" s="328">
        <f t="shared" si="16"/>
        <v>81.30084818952423</v>
      </c>
      <c r="K82" s="326">
        <f>$S$57*$O$21</f>
        <v>16445.617527434333</v>
      </c>
      <c r="L82" s="299">
        <f t="shared" si="17"/>
        <v>0.24917602314294443</v>
      </c>
      <c r="M82" s="299">
        <f t="shared" si="18"/>
        <v>12.128342030034416</v>
      </c>
      <c r="N82" s="302">
        <f>M82*'Unit Cost Table'!$C$34</f>
        <v>0.7119336771630203</v>
      </c>
      <c r="O82" s="329">
        <f t="shared" si="19"/>
        <v>4.983535740141142</v>
      </c>
      <c r="P82" s="302">
        <f t="shared" si="20"/>
        <v>60000</v>
      </c>
      <c r="Q82" s="302">
        <f t="shared" si="21"/>
        <v>900</v>
      </c>
      <c r="R82" s="302">
        <f t="shared" si="22"/>
        <v>11700</v>
      </c>
      <c r="S82" s="302">
        <f>F57*'Unit Cost Table'!$C$35</f>
        <v>10000</v>
      </c>
      <c r="T82" s="330">
        <f t="shared" si="23"/>
        <v>81700</v>
      </c>
      <c r="U82" s="331">
        <f t="shared" si="25"/>
        <v>86.28438392966537</v>
      </c>
      <c r="W82" s="5"/>
      <c r="X82" s="379"/>
      <c r="Y82" s="7"/>
      <c r="Z82" s="149"/>
      <c r="AA82" s="149"/>
      <c r="AB82" s="5"/>
      <c r="AC82" s="7"/>
      <c r="AD82" s="7"/>
      <c r="AE82" s="7"/>
      <c r="AF82" s="47"/>
      <c r="AG82" s="5"/>
      <c r="AH82" s="5"/>
      <c r="AI82" s="5"/>
      <c r="AJ82" s="47"/>
      <c r="AK82" s="7"/>
      <c r="AL82" s="47"/>
      <c r="AM82" s="8"/>
      <c r="AN82" s="11"/>
      <c r="AO82" s="8"/>
      <c r="AP82" s="8"/>
    </row>
    <row r="83" spans="4:42" ht="15.75">
      <c r="D83" s="243" t="str">
        <f aca="true" t="shared" si="36" ref="D83:E83">D58</f>
        <v>Blackman's Seep (Pond #2)</v>
      </c>
      <c r="E83" s="228" t="str">
        <f t="shared" si="36"/>
        <v>Upper Creek Containment Pond 1</v>
      </c>
      <c r="F83" s="326">
        <f>$S$58*$O$20+$T$58</f>
        <v>0</v>
      </c>
      <c r="G83" s="327">
        <f t="shared" si="14"/>
        <v>0</v>
      </c>
      <c r="H83" s="299">
        <f t="shared" si="15"/>
        <v>0</v>
      </c>
      <c r="I83" s="299">
        <f>H83*'Unit Cost Table'!$C$34</f>
        <v>0</v>
      </c>
      <c r="J83" s="328">
        <f t="shared" si="16"/>
        <v>0</v>
      </c>
      <c r="K83" s="326">
        <f>$S$58*$O$21</f>
        <v>0</v>
      </c>
      <c r="L83" s="299">
        <f t="shared" si="17"/>
        <v>0</v>
      </c>
      <c r="M83" s="299">
        <f t="shared" si="18"/>
        <v>0</v>
      </c>
      <c r="N83" s="302">
        <f>M83*'Unit Cost Table'!$C$34</f>
        <v>0</v>
      </c>
      <c r="O83" s="329">
        <f t="shared" si="19"/>
        <v>0</v>
      </c>
      <c r="P83" s="302">
        <f t="shared" si="20"/>
        <v>15000</v>
      </c>
      <c r="Q83" s="302">
        <f t="shared" si="21"/>
        <v>225</v>
      </c>
      <c r="R83" s="302">
        <f t="shared" si="22"/>
        <v>2250</v>
      </c>
      <c r="S83" s="302">
        <f>F58*'Unit Cost Table'!$C$35</f>
        <v>5000</v>
      </c>
      <c r="T83" s="330">
        <f t="shared" si="23"/>
        <v>22250</v>
      </c>
      <c r="U83" s="331">
        <f t="shared" si="25"/>
        <v>0</v>
      </c>
      <c r="W83" s="5"/>
      <c r="X83" s="379"/>
      <c r="Y83" s="7"/>
      <c r="Z83" s="149"/>
      <c r="AA83" s="149"/>
      <c r="AB83" s="5"/>
      <c r="AC83" s="7"/>
      <c r="AD83" s="7"/>
      <c r="AE83" s="7"/>
      <c r="AF83" s="47"/>
      <c r="AG83" s="5"/>
      <c r="AH83" s="5"/>
      <c r="AI83" s="5"/>
      <c r="AJ83" s="47"/>
      <c r="AK83" s="7"/>
      <c r="AL83" s="47"/>
      <c r="AM83" s="8"/>
      <c r="AN83" s="11"/>
      <c r="AO83" s="8"/>
      <c r="AP83" s="8"/>
    </row>
    <row r="84" spans="4:42" ht="15.75">
      <c r="D84" s="243" t="str">
        <f aca="true" t="shared" si="37" ref="D84:E84">D59</f>
        <v>Surge Tank</v>
      </c>
      <c r="E84" s="228" t="str">
        <f t="shared" si="37"/>
        <v>Reclaim Pond</v>
      </c>
      <c r="F84" s="326">
        <f>$S$59*$O$20+$T$59</f>
        <v>0</v>
      </c>
      <c r="G84" s="327">
        <f t="shared" si="14"/>
        <v>0</v>
      </c>
      <c r="H84" s="299">
        <f t="shared" si="15"/>
        <v>0</v>
      </c>
      <c r="I84" s="299">
        <f>H84*'Unit Cost Table'!$C$34</f>
        <v>0</v>
      </c>
      <c r="J84" s="328">
        <f t="shared" si="16"/>
        <v>0</v>
      </c>
      <c r="K84" s="326">
        <f>$S$59*$O$21</f>
        <v>0</v>
      </c>
      <c r="L84" s="299">
        <f t="shared" si="17"/>
        <v>0</v>
      </c>
      <c r="M84" s="299">
        <f t="shared" si="18"/>
        <v>0</v>
      </c>
      <c r="N84" s="302">
        <f>M84*'Unit Cost Table'!$C$34</f>
        <v>0</v>
      </c>
      <c r="O84" s="329">
        <f t="shared" si="19"/>
        <v>0</v>
      </c>
      <c r="P84" s="302">
        <f t="shared" si="20"/>
        <v>60000</v>
      </c>
      <c r="Q84" s="302">
        <f t="shared" si="21"/>
        <v>900</v>
      </c>
      <c r="R84" s="302">
        <f t="shared" si="22"/>
        <v>9000</v>
      </c>
      <c r="S84" s="302">
        <f>F59*'Unit Cost Table'!$C$35</f>
        <v>10000</v>
      </c>
      <c r="T84" s="330">
        <f t="shared" si="23"/>
        <v>79000</v>
      </c>
      <c r="U84" s="331">
        <f t="shared" si="25"/>
        <v>0</v>
      </c>
      <c r="W84" s="5"/>
      <c r="X84" s="379"/>
      <c r="Y84" s="7"/>
      <c r="Z84" s="149"/>
      <c r="AA84" s="149"/>
      <c r="AB84" s="5"/>
      <c r="AC84" s="7"/>
      <c r="AD84" s="7"/>
      <c r="AE84" s="7"/>
      <c r="AF84" s="47"/>
      <c r="AG84" s="5"/>
      <c r="AH84" s="5"/>
      <c r="AI84" s="5"/>
      <c r="AJ84" s="47"/>
      <c r="AK84" s="7"/>
      <c r="AL84" s="47"/>
      <c r="AM84" s="8"/>
      <c r="AN84" s="11"/>
      <c r="AO84" s="8"/>
      <c r="AP84" s="8"/>
    </row>
    <row r="85" spans="4:42" ht="15.75">
      <c r="D85" s="243" t="str">
        <f aca="true" t="shared" si="38" ref="D85:E85">D60</f>
        <v>Reclaim Pond</v>
      </c>
      <c r="E85" s="228" t="str">
        <f t="shared" si="38"/>
        <v>Surge Tank</v>
      </c>
      <c r="F85" s="326">
        <f>$S$60*$O$20+$T$60</f>
        <v>15221786.064994294</v>
      </c>
      <c r="G85" s="327">
        <f t="shared" si="14"/>
        <v>204.59389872304158</v>
      </c>
      <c r="H85" s="336" t="s">
        <v>60</v>
      </c>
      <c r="I85" s="333">
        <f>G85*O13*'Unit Cost Table'!$C$37</f>
        <v>657.7693843945787</v>
      </c>
      <c r="J85" s="328">
        <f t="shared" si="16"/>
        <v>3946.616306367472</v>
      </c>
      <c r="K85" s="326">
        <f>$S$60*$O$21</f>
        <v>799763.0308341527</v>
      </c>
      <c r="L85" s="299">
        <f t="shared" si="17"/>
        <v>10.74950310260958</v>
      </c>
      <c r="M85" s="336">
        <f>L85*O13*'Unit Cost Table'!$C$37</f>
        <v>34.5596524748898</v>
      </c>
      <c r="N85" s="302">
        <f>M85*'Unit Cost Table'!$C$34</f>
        <v>2.0286516002760315</v>
      </c>
      <c r="O85" s="329">
        <f t="shared" si="19"/>
        <v>0</v>
      </c>
      <c r="P85" s="302">
        <f t="shared" si="20"/>
        <v>0</v>
      </c>
      <c r="Q85" s="302">
        <f t="shared" si="21"/>
        <v>450</v>
      </c>
      <c r="R85" s="302">
        <f t="shared" si="22"/>
        <v>2700</v>
      </c>
      <c r="S85" s="302">
        <f>F60*'Unit Cost Table'!$C$35</f>
        <v>5000</v>
      </c>
      <c r="T85" s="330">
        <f t="shared" si="23"/>
        <v>7700</v>
      </c>
      <c r="U85" s="331">
        <f t="shared" si="25"/>
        <v>3946.616306367472</v>
      </c>
      <c r="W85" s="5"/>
      <c r="X85" s="379"/>
      <c r="Y85" s="7"/>
      <c r="Z85" s="149"/>
      <c r="AA85" s="149"/>
      <c r="AB85" s="5"/>
      <c r="AC85" s="7"/>
      <c r="AD85" s="7"/>
      <c r="AE85" s="7"/>
      <c r="AF85" s="47"/>
      <c r="AG85" s="5"/>
      <c r="AH85" s="5"/>
      <c r="AI85" s="5"/>
      <c r="AJ85" s="47"/>
      <c r="AK85" s="7"/>
      <c r="AL85" s="47"/>
      <c r="AM85" s="8"/>
      <c r="AN85" s="11"/>
      <c r="AO85" s="8"/>
      <c r="AP85" s="8"/>
    </row>
    <row r="86" spans="4:42" ht="15.75">
      <c r="D86" s="243" t="str">
        <f aca="true" t="shared" si="39" ref="D86:E86">D61</f>
        <v>East WRF Containment</v>
      </c>
      <c r="E86" s="228" t="str">
        <f t="shared" si="39"/>
        <v>Decant Pond #4</v>
      </c>
      <c r="F86" s="326">
        <f>$S$61*$O$20+$T$61</f>
        <v>3784850.984597917</v>
      </c>
      <c r="G86" s="327">
        <f t="shared" si="14"/>
        <v>31.54042487164931</v>
      </c>
      <c r="H86" s="333">
        <f>$R61*G86</f>
        <v>3359.009136059592</v>
      </c>
      <c r="I86" s="299">
        <f>H86*'Unit Cost Table'!$C$34</f>
        <v>197.17383628669805</v>
      </c>
      <c r="J86" s="328">
        <f t="shared" si="16"/>
        <v>1183.0430177201883</v>
      </c>
      <c r="K86" s="326">
        <f>$S$61*$O$21</f>
        <v>176600.6312946025</v>
      </c>
      <c r="L86" s="299">
        <f t="shared" si="17"/>
        <v>1.4716719274550207</v>
      </c>
      <c r="M86" s="299">
        <f>$R61*L86</f>
        <v>156.73090865834445</v>
      </c>
      <c r="N86" s="302">
        <f>M86*'Unit Cost Table'!$C$34</f>
        <v>9.20010433824482</v>
      </c>
      <c r="O86" s="329">
        <f t="shared" si="19"/>
        <v>64.40073036771375</v>
      </c>
      <c r="P86" s="302">
        <f t="shared" si="20"/>
        <v>0</v>
      </c>
      <c r="Q86" s="302">
        <f t="shared" si="21"/>
        <v>300</v>
      </c>
      <c r="R86" s="302">
        <f t="shared" si="22"/>
        <v>3900</v>
      </c>
      <c r="S86" s="302">
        <f>F61*'Unit Cost Table'!$C$35</f>
        <v>10000</v>
      </c>
      <c r="T86" s="330">
        <f t="shared" si="23"/>
        <v>13900</v>
      </c>
      <c r="U86" s="331">
        <f t="shared" si="25"/>
        <v>1247.4437480879021</v>
      </c>
      <c r="W86" s="5"/>
      <c r="X86" s="379"/>
      <c r="Y86" s="7"/>
      <c r="Z86" s="149"/>
      <c r="AA86" s="149"/>
      <c r="AB86" s="5"/>
      <c r="AC86" s="7"/>
      <c r="AD86" s="7"/>
      <c r="AE86" s="7"/>
      <c r="AF86" s="47"/>
      <c r="AG86" s="5"/>
      <c r="AH86" s="5"/>
      <c r="AI86" s="5"/>
      <c r="AJ86" s="47"/>
      <c r="AK86" s="7"/>
      <c r="AL86" s="47"/>
      <c r="AM86" s="8"/>
      <c r="AN86" s="11"/>
      <c r="AO86" s="8"/>
      <c r="AP86" s="8"/>
    </row>
    <row r="87" spans="4:42" ht="15.75">
      <c r="D87" s="249" t="str">
        <f aca="true" t="shared" si="40" ref="D87">D62</f>
        <v xml:space="preserve">tailings pipeline flushing </v>
      </c>
      <c r="E87" s="227"/>
      <c r="F87" s="326"/>
      <c r="G87" s="327"/>
      <c r="H87" s="299"/>
      <c r="I87" s="299"/>
      <c r="J87" s="328"/>
      <c r="K87" s="339"/>
      <c r="L87" s="299"/>
      <c r="M87" s="299"/>
      <c r="N87" s="302"/>
      <c r="O87" s="329"/>
      <c r="P87" s="302"/>
      <c r="Q87" s="302"/>
      <c r="R87" s="337"/>
      <c r="S87" s="302"/>
      <c r="T87" s="330">
        <f t="shared" si="23"/>
        <v>0</v>
      </c>
      <c r="U87" s="331">
        <f t="shared" si="25"/>
        <v>0</v>
      </c>
      <c r="W87" s="5"/>
      <c r="X87" s="379"/>
      <c r="Y87" s="7"/>
      <c r="Z87" s="149"/>
      <c r="AA87" s="149"/>
      <c r="AB87" s="5"/>
      <c r="AC87" s="7"/>
      <c r="AD87" s="7"/>
      <c r="AE87" s="7"/>
      <c r="AF87" s="47"/>
      <c r="AG87" s="5"/>
      <c r="AH87" s="5"/>
      <c r="AI87" s="5"/>
      <c r="AJ87" s="47"/>
      <c r="AK87" s="7"/>
      <c r="AL87" s="47"/>
      <c r="AM87" s="8"/>
      <c r="AN87" s="11"/>
      <c r="AO87" s="8"/>
      <c r="AP87" s="8"/>
    </row>
    <row r="88" spans="4:42" ht="15.75">
      <c r="D88" s="243" t="str">
        <f aca="true" t="shared" si="41" ref="D88:E88">D63</f>
        <v>Mill No 1</v>
      </c>
      <c r="E88" s="228" t="str">
        <f t="shared" si="41"/>
        <v>Tailings Impoundment Top</v>
      </c>
      <c r="F88" s="326">
        <v>5764479</v>
      </c>
      <c r="G88" s="327">
        <f>F88/($L63*60)</f>
        <v>22.2498031496063</v>
      </c>
      <c r="H88" s="299">
        <f>$R63*G88</f>
        <v>4864.634205438756</v>
      </c>
      <c r="I88" s="336"/>
      <c r="J88" s="340"/>
      <c r="K88" s="339"/>
      <c r="L88" s="301"/>
      <c r="M88" s="299"/>
      <c r="N88" s="341"/>
      <c r="O88" s="329"/>
      <c r="P88" s="302">
        <f>H88*'Unit Cost Table'!$C$34</f>
        <v>285.554027859255</v>
      </c>
      <c r="Q88" s="341"/>
      <c r="R88" s="302"/>
      <c r="S88" s="301"/>
      <c r="T88" s="330">
        <f t="shared" si="23"/>
        <v>285.554027859255</v>
      </c>
      <c r="U88" s="331">
        <f>O88+J88</f>
        <v>0</v>
      </c>
      <c r="W88" s="5"/>
      <c r="X88" s="379"/>
      <c r="Y88" s="7"/>
      <c r="Z88" s="149"/>
      <c r="AA88" s="149"/>
      <c r="AB88" s="5"/>
      <c r="AC88" s="7"/>
      <c r="AD88" s="7"/>
      <c r="AE88" s="7"/>
      <c r="AF88" s="47"/>
      <c r="AG88" s="5"/>
      <c r="AH88" s="5"/>
      <c r="AI88" s="5"/>
      <c r="AJ88" s="47"/>
      <c r="AK88" s="7"/>
      <c r="AL88" s="47"/>
      <c r="AM88" s="8"/>
      <c r="AN88" s="11"/>
      <c r="AO88" s="8"/>
      <c r="AP88" s="8"/>
    </row>
    <row r="89" spans="4:42" ht="16.5" thickBot="1">
      <c r="D89" s="245" t="str">
        <f aca="true" t="shared" si="42" ref="D89:E89">D64</f>
        <v>Mill No 2</v>
      </c>
      <c r="E89" s="251" t="str">
        <f t="shared" si="42"/>
        <v>Tailings Impoundment Top</v>
      </c>
      <c r="F89" s="344">
        <v>6800790</v>
      </c>
      <c r="G89" s="343">
        <f>F89/($L64*60)</f>
        <v>26.249768411301527</v>
      </c>
      <c r="H89" s="309">
        <f>$R64*G89</f>
        <v>1927.7357067587864</v>
      </c>
      <c r="I89" s="345"/>
      <c r="J89" s="346"/>
      <c r="K89" s="347"/>
      <c r="L89" s="311"/>
      <c r="M89" s="311"/>
      <c r="N89" s="312"/>
      <c r="O89" s="348"/>
      <c r="P89" s="312">
        <f>H89*'Unit Cost Table'!$C$34</f>
        <v>113.15808598674076</v>
      </c>
      <c r="Q89" s="311"/>
      <c r="R89" s="311"/>
      <c r="S89" s="311"/>
      <c r="T89" s="330">
        <f t="shared" si="23"/>
        <v>113.15808598674076</v>
      </c>
      <c r="U89" s="331">
        <f t="shared" si="25"/>
        <v>0</v>
      </c>
      <c r="W89" s="5"/>
      <c r="X89" s="379"/>
      <c r="Y89" s="7"/>
      <c r="Z89" s="149"/>
      <c r="AA89" s="149"/>
      <c r="AB89" s="5"/>
      <c r="AC89" s="7"/>
      <c r="AD89" s="7"/>
      <c r="AE89" s="7"/>
      <c r="AF89" s="47"/>
      <c r="AG89" s="5"/>
      <c r="AH89" s="5"/>
      <c r="AI89" s="5"/>
      <c r="AJ89" s="47"/>
      <c r="AK89" s="7"/>
      <c r="AL89" s="47"/>
      <c r="AM89" s="8"/>
      <c r="AN89" s="11"/>
      <c r="AO89" s="8"/>
      <c r="AP89" s="8"/>
    </row>
    <row r="90" spans="5:42" ht="15.75">
      <c r="E90" s="148" t="s">
        <v>221</v>
      </c>
      <c r="F90" s="315" t="s">
        <v>60</v>
      </c>
      <c r="G90" s="317" t="s">
        <v>60</v>
      </c>
      <c r="H90" s="317" t="s">
        <v>60</v>
      </c>
      <c r="I90" s="349">
        <f>SUM(I71:I86)</f>
        <v>3739.830175013255</v>
      </c>
      <c r="J90" s="350" t="s">
        <v>60</v>
      </c>
      <c r="K90" s="315" t="s">
        <v>60</v>
      </c>
      <c r="L90" s="317" t="s">
        <v>60</v>
      </c>
      <c r="M90" s="317" t="s">
        <v>60</v>
      </c>
      <c r="N90" s="349">
        <f>SUM(N71:N86)</f>
        <v>1961.4953123898667</v>
      </c>
      <c r="O90" s="351" t="s">
        <v>60</v>
      </c>
      <c r="P90" s="352" t="s">
        <v>60</v>
      </c>
      <c r="Q90" s="353">
        <f>SUM(Q71:Q86)</f>
        <v>9900</v>
      </c>
      <c r="R90" s="354" t="s">
        <v>60</v>
      </c>
      <c r="S90" s="352" t="s">
        <v>60</v>
      </c>
      <c r="T90" s="355" t="s">
        <v>60</v>
      </c>
      <c r="U90" s="356" t="s">
        <v>60</v>
      </c>
      <c r="W90" s="5"/>
      <c r="X90" s="379"/>
      <c r="Y90" s="7"/>
      <c r="Z90" s="149"/>
      <c r="AA90" s="149"/>
      <c r="AB90" s="5"/>
      <c r="AC90" s="7"/>
      <c r="AD90" s="7"/>
      <c r="AE90" s="7"/>
      <c r="AF90" s="47"/>
      <c r="AG90" s="5"/>
      <c r="AH90" s="5"/>
      <c r="AI90" s="5"/>
      <c r="AJ90" s="47"/>
      <c r="AK90" s="7"/>
      <c r="AL90" s="47"/>
      <c r="AM90" s="8"/>
      <c r="AN90" s="11"/>
      <c r="AO90" s="8"/>
      <c r="AP90" s="8"/>
    </row>
    <row r="91" spans="5:42" ht="16.5" thickBot="1">
      <c r="E91" s="148" t="s">
        <v>220</v>
      </c>
      <c r="F91" s="357" t="s">
        <v>60</v>
      </c>
      <c r="G91" s="358" t="s">
        <v>60</v>
      </c>
      <c r="H91" s="358" t="s">
        <v>60</v>
      </c>
      <c r="I91" s="320" t="s">
        <v>60</v>
      </c>
      <c r="J91" s="359">
        <f>SUM(J71:J86)</f>
        <v>22438.98105007953</v>
      </c>
      <c r="K91" s="357" t="s">
        <v>60</v>
      </c>
      <c r="L91" s="358" t="s">
        <v>60</v>
      </c>
      <c r="M91" s="358" t="s">
        <v>60</v>
      </c>
      <c r="N91" s="360" t="s">
        <v>60</v>
      </c>
      <c r="O91" s="359">
        <f>SUM(O71:O86)</f>
        <v>13709.406759449397</v>
      </c>
      <c r="P91" s="321">
        <f>SUM(P71:P89)</f>
        <v>570398.712113846</v>
      </c>
      <c r="Q91" s="320" t="s">
        <v>60</v>
      </c>
      <c r="R91" s="321">
        <f>SUM(R71:R86)</f>
        <v>110100</v>
      </c>
      <c r="S91" s="321">
        <f>SUM(S71:S86)</f>
        <v>145000</v>
      </c>
      <c r="T91" s="361">
        <f>SUM(P91:P91,R91,S91)</f>
        <v>825498.712113846</v>
      </c>
      <c r="U91" s="362">
        <f>J91+O91</f>
        <v>36148.387809528926</v>
      </c>
      <c r="W91" s="5"/>
      <c r="X91" s="379"/>
      <c r="Y91" s="7"/>
      <c r="Z91" s="149"/>
      <c r="AA91" s="149"/>
      <c r="AB91" s="5"/>
      <c r="AC91" s="7"/>
      <c r="AD91" s="7"/>
      <c r="AE91" s="7"/>
      <c r="AF91" s="47"/>
      <c r="AG91" s="5"/>
      <c r="AH91" s="5"/>
      <c r="AI91" s="5"/>
      <c r="AJ91" s="47"/>
      <c r="AK91" s="7"/>
      <c r="AL91" s="47"/>
      <c r="AM91" s="8"/>
      <c r="AN91" s="11"/>
      <c r="AO91" s="8"/>
      <c r="AP91" s="8"/>
    </row>
    <row r="92" spans="6:42" ht="15.75">
      <c r="F92" s="3"/>
      <c r="G92" s="5"/>
      <c r="H92" s="5"/>
      <c r="I92" s="5"/>
      <c r="J92" s="5"/>
      <c r="K92" s="5"/>
      <c r="L92" s="5"/>
      <c r="M92" s="5"/>
      <c r="N92" s="5"/>
      <c r="O92" s="6"/>
      <c r="P92" s="5"/>
      <c r="Q92" s="5"/>
      <c r="R92" s="5"/>
      <c r="S92" s="5"/>
      <c r="T92" s="5"/>
      <c r="U92" s="5"/>
      <c r="V92" s="5"/>
      <c r="W92" s="5"/>
      <c r="X92" s="379"/>
      <c r="Y92" s="7"/>
      <c r="Z92" s="149"/>
      <c r="AA92" s="149"/>
      <c r="AB92" s="5"/>
      <c r="AC92" s="7"/>
      <c r="AD92" s="7"/>
      <c r="AE92" s="7"/>
      <c r="AF92" s="47"/>
      <c r="AG92" s="5"/>
      <c r="AH92" s="5"/>
      <c r="AI92" s="5"/>
      <c r="AJ92" s="47"/>
      <c r="AK92" s="7"/>
      <c r="AL92" s="47"/>
      <c r="AM92" s="8"/>
      <c r="AN92" s="11"/>
      <c r="AO92" s="8"/>
      <c r="AP92" s="8"/>
    </row>
    <row r="93" spans="6:32" ht="15.75">
      <c r="F93" s="3"/>
      <c r="U93" s="229"/>
      <c r="V93" s="229"/>
      <c r="W93" s="229"/>
      <c r="X93" s="4"/>
      <c r="Z93" s="5"/>
      <c r="AA93" s="5"/>
      <c r="AB93" s="5"/>
      <c r="AC93" s="5"/>
      <c r="AD93" s="5"/>
      <c r="AF93" s="8"/>
    </row>
    <row r="94" spans="3:39" ht="16.5" thickBot="1">
      <c r="C94" s="1"/>
      <c r="D94" s="43" t="s">
        <v>26</v>
      </c>
      <c r="Z94" s="5"/>
      <c r="AA94" s="62"/>
      <c r="AB94" s="5"/>
      <c r="AC94" s="5"/>
      <c r="AD94" s="5"/>
      <c r="AL94" s="10"/>
      <c r="AM94" s="10"/>
    </row>
    <row r="95" spans="2:35" s="2" customFormat="1" ht="63" customHeight="1">
      <c r="B95" s="231"/>
      <c r="C95" s="150"/>
      <c r="D95" s="235" t="s">
        <v>28</v>
      </c>
      <c r="E95" s="236" t="s">
        <v>27</v>
      </c>
      <c r="F95" s="236" t="s">
        <v>21</v>
      </c>
      <c r="G95" s="237" t="s">
        <v>167</v>
      </c>
      <c r="H95" s="237" t="s">
        <v>34</v>
      </c>
      <c r="I95" s="236" t="s">
        <v>14</v>
      </c>
      <c r="J95" s="238" t="s">
        <v>243</v>
      </c>
      <c r="K95" s="236" t="s">
        <v>40</v>
      </c>
      <c r="L95" s="239" t="s">
        <v>168</v>
      </c>
      <c r="M95" s="236" t="s">
        <v>64</v>
      </c>
      <c r="N95" s="238" t="s">
        <v>310</v>
      </c>
      <c r="O95" s="238" t="s">
        <v>311</v>
      </c>
      <c r="P95" s="238" t="s">
        <v>312</v>
      </c>
      <c r="Q95" s="232" t="s">
        <v>299</v>
      </c>
      <c r="R95" s="233" t="s">
        <v>302</v>
      </c>
      <c r="S95" s="233" t="s">
        <v>303</v>
      </c>
      <c r="T95" s="292" t="s">
        <v>301</v>
      </c>
      <c r="U95" s="234" t="s">
        <v>283</v>
      </c>
      <c r="V95" s="298"/>
      <c r="W95" s="298"/>
      <c r="Z95" s="226"/>
      <c r="AA95" s="230"/>
      <c r="AB95" s="225"/>
      <c r="AC95" s="230"/>
      <c r="AD95" s="226"/>
      <c r="AE95" s="150"/>
      <c r="AI95" s="112"/>
    </row>
    <row r="96" spans="4:30" s="5" customFormat="1" ht="15.75">
      <c r="D96" s="241" t="str">
        <f aca="true" t="shared" si="43" ref="D96:E106">D46</f>
        <v>SWRF Dam 1 (181-2003-Dam 1)</v>
      </c>
      <c r="E96" s="227" t="str">
        <f t="shared" si="43"/>
        <v>SWRF Dam 3 (181-2003-Dam 3)</v>
      </c>
      <c r="F96" s="301" t="s">
        <v>29</v>
      </c>
      <c r="G96" s="333">
        <v>4466</v>
      </c>
      <c r="H96" s="323">
        <v>10</v>
      </c>
      <c r="I96" s="301">
        <v>11</v>
      </c>
      <c r="J96" s="301">
        <f>I96+'1 Reclamation and O&amp;M costs'!$O$23-'1 Reclamation and O&amp;M costs'!$O$22</f>
        <v>17</v>
      </c>
      <c r="K96" s="301">
        <f aca="true" t="shared" si="44" ref="K96:K106">I46</f>
        <v>12</v>
      </c>
      <c r="L96" s="301" t="str">
        <f aca="true" t="shared" si="45" ref="L96:L113">IF(($O$11-J96)&gt;K96,"-",IF($O$11-J96&lt;K96,$O$11-J96,"-"))</f>
        <v>-</v>
      </c>
      <c r="M96" s="301">
        <f>COUNT(L96)</f>
        <v>0</v>
      </c>
      <c r="N96" s="363">
        <f>'Unit Cost Table'!$C$29*$O$6</f>
        <v>23.555069999999997</v>
      </c>
      <c r="O96" s="363">
        <f>'Unit Cost Table'!$C$17*$O$6</f>
        <v>2.7696899999999998</v>
      </c>
      <c r="P96" s="302">
        <f aca="true" t="shared" si="46" ref="P96:P108">N96*G96</f>
        <v>105196.94261999999</v>
      </c>
      <c r="Q96" s="303">
        <f aca="true" t="shared" si="47" ref="Q96:Q113">P96*M96</f>
        <v>0</v>
      </c>
      <c r="R96" s="363">
        <f aca="true" t="shared" si="48" ref="R96:R113">P96*$O$18</f>
        <v>1051.9694261999998</v>
      </c>
      <c r="S96" s="363">
        <f aca="true" t="shared" si="49" ref="S96:S113">R96*(K96+1)</f>
        <v>13675.602540599997</v>
      </c>
      <c r="T96" s="329">
        <f aca="true" t="shared" si="50" ref="T96:T113">O96*G96</f>
        <v>12369.435539999999</v>
      </c>
      <c r="U96" s="364">
        <f aca="true" t="shared" si="51" ref="U96:U113">S96+Q96+T96</f>
        <v>26045.038080599996</v>
      </c>
      <c r="V96" s="258"/>
      <c r="W96" s="258"/>
      <c r="AA96" s="230"/>
      <c r="AC96" s="230"/>
      <c r="AD96" s="226"/>
    </row>
    <row r="97" spans="2:31" ht="15.75">
      <c r="B97" s="5"/>
      <c r="C97" s="5"/>
      <c r="D97" s="241" t="str">
        <f t="shared" si="43"/>
        <v>SWRF Dam 2 (181-2003-Dam 2)</v>
      </c>
      <c r="E97" s="227" t="str">
        <f t="shared" si="43"/>
        <v>SWRF Dam 3 (181-2003-Dam 3)</v>
      </c>
      <c r="F97" s="301" t="s">
        <v>29</v>
      </c>
      <c r="G97" s="333">
        <v>3300</v>
      </c>
      <c r="H97" s="301">
        <v>10</v>
      </c>
      <c r="I97" s="301">
        <v>11</v>
      </c>
      <c r="J97" s="301">
        <f>I97+'1 Reclamation and O&amp;M costs'!$O$23-'1 Reclamation and O&amp;M costs'!$O$22</f>
        <v>17</v>
      </c>
      <c r="K97" s="301">
        <f t="shared" si="44"/>
        <v>12</v>
      </c>
      <c r="L97" s="301" t="str">
        <f t="shared" si="45"/>
        <v>-</v>
      </c>
      <c r="M97" s="301">
        <f aca="true" t="shared" si="52" ref="M97:M113">COUNT(L97)</f>
        <v>0</v>
      </c>
      <c r="N97" s="363">
        <f>'Unit Cost Table'!$C$29*$O$6</f>
        <v>23.555069999999997</v>
      </c>
      <c r="O97" s="363">
        <f>'Unit Cost Table'!$C$17*$O$6</f>
        <v>2.7696899999999998</v>
      </c>
      <c r="P97" s="302">
        <f t="shared" si="46"/>
        <v>77731.73099999999</v>
      </c>
      <c r="Q97" s="303">
        <f t="shared" si="47"/>
        <v>0</v>
      </c>
      <c r="R97" s="363">
        <f t="shared" si="48"/>
        <v>777.3173099999999</v>
      </c>
      <c r="S97" s="363">
        <f t="shared" si="49"/>
        <v>10105.12503</v>
      </c>
      <c r="T97" s="329">
        <f t="shared" si="50"/>
        <v>9139.976999999999</v>
      </c>
      <c r="U97" s="364">
        <f t="shared" si="51"/>
        <v>19245.10203</v>
      </c>
      <c r="V97" s="258"/>
      <c r="W97" s="258"/>
      <c r="Z97" s="5"/>
      <c r="AA97" s="230"/>
      <c r="AB97" s="225"/>
      <c r="AC97" s="230"/>
      <c r="AD97" s="226"/>
      <c r="AE97" s="5"/>
    </row>
    <row r="98" spans="2:31" ht="15.75">
      <c r="B98" s="5"/>
      <c r="C98" s="5"/>
      <c r="D98" s="241" t="str">
        <f t="shared" si="43"/>
        <v>SWRF Dam 3 (181-2003-Dam 3)</v>
      </c>
      <c r="E98" s="227" t="str">
        <f t="shared" si="43"/>
        <v xml:space="preserve">Bullfrog pipeline </v>
      </c>
      <c r="F98" s="323" t="s">
        <v>29</v>
      </c>
      <c r="G98" s="333">
        <v>220</v>
      </c>
      <c r="H98" s="323">
        <v>6</v>
      </c>
      <c r="I98" s="301">
        <v>11</v>
      </c>
      <c r="J98" s="301">
        <f>I98+'1 Reclamation and O&amp;M costs'!$O$23-'1 Reclamation and O&amp;M costs'!$O$22</f>
        <v>17</v>
      </c>
      <c r="K98" s="301">
        <f t="shared" si="44"/>
        <v>12</v>
      </c>
      <c r="L98" s="301" t="str">
        <f t="shared" si="45"/>
        <v>-</v>
      </c>
      <c r="M98" s="301">
        <f t="shared" si="52"/>
        <v>0</v>
      </c>
      <c r="N98" s="363">
        <f>'Unit Cost Table'!$C$27*$O$6</f>
        <v>12.154449999999999</v>
      </c>
      <c r="O98" s="363">
        <f>'Unit Cost Table'!$C$16*$O$6</f>
        <v>1.6601199999999998</v>
      </c>
      <c r="P98" s="302">
        <f t="shared" si="46"/>
        <v>2673.979</v>
      </c>
      <c r="Q98" s="303">
        <f t="shared" si="47"/>
        <v>0</v>
      </c>
      <c r="R98" s="363">
        <f t="shared" si="48"/>
        <v>26.73979</v>
      </c>
      <c r="S98" s="363">
        <f t="shared" si="49"/>
        <v>347.61726999999996</v>
      </c>
      <c r="T98" s="329">
        <f t="shared" si="50"/>
        <v>365.22639999999996</v>
      </c>
      <c r="U98" s="364">
        <f t="shared" si="51"/>
        <v>712.84367</v>
      </c>
      <c r="V98" s="258"/>
      <c r="W98" s="258"/>
      <c r="Z98" s="5"/>
      <c r="AA98" s="230"/>
      <c r="AB98" s="225"/>
      <c r="AC98" s="230"/>
      <c r="AD98" s="226"/>
      <c r="AE98" s="5"/>
    </row>
    <row r="99" spans="2:31" ht="15.75">
      <c r="B99" s="5"/>
      <c r="C99" s="5"/>
      <c r="D99" s="241" t="str">
        <f t="shared" si="43"/>
        <v>Decant Pond #4</v>
      </c>
      <c r="E99" s="227" t="str">
        <f t="shared" si="43"/>
        <v>Booster Pump 2</v>
      </c>
      <c r="F99" s="301" t="s">
        <v>29</v>
      </c>
      <c r="G99" s="333">
        <v>100</v>
      </c>
      <c r="H99" s="301">
        <v>15</v>
      </c>
      <c r="I99" s="301">
        <v>20</v>
      </c>
      <c r="J99" s="301">
        <f>I99+'1 Reclamation and O&amp;M costs'!$O$23-'1 Reclamation and O&amp;M costs'!$O$22</f>
        <v>26</v>
      </c>
      <c r="K99" s="301">
        <f t="shared" si="44"/>
        <v>12</v>
      </c>
      <c r="L99" s="301" t="str">
        <f t="shared" si="45"/>
        <v>-</v>
      </c>
      <c r="M99" s="301">
        <f t="shared" si="52"/>
        <v>0</v>
      </c>
      <c r="N99" s="363">
        <f>'Unit Cost Table'!$C$32*$O$6</f>
        <v>50.354150000000004</v>
      </c>
      <c r="O99" s="363">
        <f>'Unit Cost Table'!$C$17*$O$6</f>
        <v>2.7696899999999998</v>
      </c>
      <c r="P99" s="302">
        <f t="shared" si="46"/>
        <v>5035.415000000001</v>
      </c>
      <c r="Q99" s="303">
        <f t="shared" si="47"/>
        <v>0</v>
      </c>
      <c r="R99" s="363">
        <f t="shared" si="48"/>
        <v>50.35415000000001</v>
      </c>
      <c r="S99" s="363">
        <f t="shared" si="49"/>
        <v>654.6039500000002</v>
      </c>
      <c r="T99" s="329">
        <f t="shared" si="50"/>
        <v>276.969</v>
      </c>
      <c r="U99" s="364">
        <f t="shared" si="51"/>
        <v>931.5729500000002</v>
      </c>
      <c r="V99" s="258"/>
      <c r="W99" s="258"/>
      <c r="Z99" s="5"/>
      <c r="AA99" s="230"/>
      <c r="AB99" s="5"/>
      <c r="AC99" s="230"/>
      <c r="AD99" s="226"/>
      <c r="AE99" s="5"/>
    </row>
    <row r="100" spans="2:31" ht="15.75">
      <c r="B100" s="5"/>
      <c r="C100" s="5"/>
      <c r="D100" s="241" t="str">
        <f t="shared" si="43"/>
        <v>Booster Pump 2</v>
      </c>
      <c r="E100" s="227" t="str">
        <f t="shared" si="43"/>
        <v>Surge Tank</v>
      </c>
      <c r="F100" s="301" t="s">
        <v>29</v>
      </c>
      <c r="G100" s="333">
        <v>1936</v>
      </c>
      <c r="H100" s="301">
        <v>15</v>
      </c>
      <c r="I100" s="301">
        <v>20</v>
      </c>
      <c r="J100" s="301">
        <f>I100+'1 Reclamation and O&amp;M costs'!$O$23-'1 Reclamation and O&amp;M costs'!$O$22</f>
        <v>26</v>
      </c>
      <c r="K100" s="301">
        <f t="shared" si="44"/>
        <v>12</v>
      </c>
      <c r="L100" s="301" t="str">
        <f t="shared" si="45"/>
        <v>-</v>
      </c>
      <c r="M100" s="301">
        <f t="shared" si="52"/>
        <v>0</v>
      </c>
      <c r="N100" s="363">
        <f>'Unit Cost Table'!$C$32*$O$6</f>
        <v>50.354150000000004</v>
      </c>
      <c r="O100" s="363">
        <f>'Unit Cost Table'!$C$17*$O$6</f>
        <v>2.7696899999999998</v>
      </c>
      <c r="P100" s="302">
        <f t="shared" si="46"/>
        <v>97485.63440000001</v>
      </c>
      <c r="Q100" s="303">
        <f t="shared" si="47"/>
        <v>0</v>
      </c>
      <c r="R100" s="363">
        <f t="shared" si="48"/>
        <v>974.8563440000001</v>
      </c>
      <c r="S100" s="363">
        <f t="shared" si="49"/>
        <v>12673.132472000001</v>
      </c>
      <c r="T100" s="329">
        <f t="shared" si="50"/>
        <v>5362.119839999999</v>
      </c>
      <c r="U100" s="364">
        <f t="shared" si="51"/>
        <v>18035.252312</v>
      </c>
      <c r="V100" s="258"/>
      <c r="W100" s="258"/>
      <c r="Z100" s="5"/>
      <c r="AA100" s="230"/>
      <c r="AB100" s="225"/>
      <c r="AC100" s="230"/>
      <c r="AD100" s="226"/>
      <c r="AE100" s="5"/>
    </row>
    <row r="101" spans="2:31" ht="15.75">
      <c r="B101" s="5"/>
      <c r="C101" s="5"/>
      <c r="D101" s="241" t="str">
        <f t="shared" si="43"/>
        <v>Decant Pond #4</v>
      </c>
      <c r="E101" s="227" t="str">
        <f t="shared" si="43"/>
        <v>Reclaim Pond</v>
      </c>
      <c r="F101" s="301" t="s">
        <v>29</v>
      </c>
      <c r="G101" s="299">
        <v>5502</v>
      </c>
      <c r="H101" s="301">
        <v>12</v>
      </c>
      <c r="I101" s="301">
        <v>20</v>
      </c>
      <c r="J101" s="301">
        <f>I101+'1 Reclamation and O&amp;M costs'!$O$23-'1 Reclamation and O&amp;M costs'!$O$22</f>
        <v>26</v>
      </c>
      <c r="K101" s="301">
        <f t="shared" si="44"/>
        <v>5</v>
      </c>
      <c r="L101" s="301" t="str">
        <f t="shared" si="45"/>
        <v>-</v>
      </c>
      <c r="M101" s="301">
        <f t="shared" si="52"/>
        <v>0</v>
      </c>
      <c r="N101" s="363">
        <f>'Unit Cost Table'!$C$30*$O$6</f>
        <v>26.6805</v>
      </c>
      <c r="O101" s="363">
        <f>'Unit Cost Table'!$C$17*$O$6</f>
        <v>2.7696899999999998</v>
      </c>
      <c r="P101" s="302">
        <f t="shared" si="46"/>
        <v>146796.111</v>
      </c>
      <c r="Q101" s="303">
        <f t="shared" si="47"/>
        <v>0</v>
      </c>
      <c r="R101" s="363">
        <f t="shared" si="48"/>
        <v>1467.96111</v>
      </c>
      <c r="S101" s="363">
        <f t="shared" si="49"/>
        <v>8807.76666</v>
      </c>
      <c r="T101" s="329">
        <f t="shared" si="50"/>
        <v>15238.834379999998</v>
      </c>
      <c r="U101" s="364">
        <f t="shared" si="51"/>
        <v>24046.601039999998</v>
      </c>
      <c r="V101" s="258"/>
      <c r="W101" s="258"/>
      <c r="Z101" s="5"/>
      <c r="AA101" s="230"/>
      <c r="AB101" s="225"/>
      <c r="AC101" s="230"/>
      <c r="AD101" s="226"/>
      <c r="AE101" s="5"/>
    </row>
    <row r="102" spans="2:31" ht="15.75">
      <c r="B102" s="5"/>
      <c r="C102" s="5"/>
      <c r="D102" s="241" t="str">
        <f t="shared" si="43"/>
        <v>Magnetite Interceptor Trench</v>
      </c>
      <c r="E102" s="227" t="str">
        <f t="shared" si="43"/>
        <v>Magnetite Tailings Seepage Pond</v>
      </c>
      <c r="F102" s="301" t="s">
        <v>29</v>
      </c>
      <c r="G102" s="299">
        <v>200</v>
      </c>
      <c r="H102" s="301">
        <v>5</v>
      </c>
      <c r="I102" s="301">
        <v>20</v>
      </c>
      <c r="J102" s="301">
        <f>I102+'1 Reclamation and O&amp;M costs'!$O$23-'1 Reclamation and O&amp;M costs'!$O$22</f>
        <v>26</v>
      </c>
      <c r="K102" s="301">
        <f t="shared" si="44"/>
        <v>5</v>
      </c>
      <c r="L102" s="301" t="str">
        <f t="shared" si="45"/>
        <v>-</v>
      </c>
      <c r="M102" s="301">
        <f t="shared" si="52"/>
        <v>0</v>
      </c>
      <c r="N102" s="363">
        <f>'Unit Cost Table'!$C$27*$O$6</f>
        <v>12.154449999999999</v>
      </c>
      <c r="O102" s="363">
        <f>'Unit Cost Table'!$C$16*$O$6</f>
        <v>1.6601199999999998</v>
      </c>
      <c r="P102" s="302">
        <f t="shared" si="46"/>
        <v>2430.89</v>
      </c>
      <c r="Q102" s="303">
        <f t="shared" si="47"/>
        <v>0</v>
      </c>
      <c r="R102" s="363">
        <f t="shared" si="48"/>
        <v>24.308899999999998</v>
      </c>
      <c r="S102" s="363">
        <f t="shared" si="49"/>
        <v>145.8534</v>
      </c>
      <c r="T102" s="329">
        <f t="shared" si="50"/>
        <v>332.02399999999994</v>
      </c>
      <c r="U102" s="364">
        <f t="shared" si="51"/>
        <v>477.87739999999997</v>
      </c>
      <c r="V102" s="258"/>
      <c r="W102" s="258"/>
      <c r="Z102" s="5"/>
      <c r="AA102" s="230"/>
      <c r="AB102" s="225"/>
      <c r="AC102" s="230"/>
      <c r="AD102" s="226"/>
      <c r="AE102" s="5"/>
    </row>
    <row r="103" spans="2:31" ht="15.75">
      <c r="B103" s="5"/>
      <c r="C103" s="5"/>
      <c r="D103" s="241" t="str">
        <f t="shared" si="43"/>
        <v>Magnetite Seepage Pond</v>
      </c>
      <c r="E103" s="227" t="str">
        <f t="shared" si="43"/>
        <v>Decant Pond #4</v>
      </c>
      <c r="F103" s="301" t="s">
        <v>29</v>
      </c>
      <c r="G103" s="299">
        <v>1188</v>
      </c>
      <c r="H103" s="301">
        <v>4</v>
      </c>
      <c r="I103" s="301">
        <v>20</v>
      </c>
      <c r="J103" s="301">
        <f>I103+'1 Reclamation and O&amp;M costs'!$O$23-'1 Reclamation and O&amp;M costs'!$O$22</f>
        <v>26</v>
      </c>
      <c r="K103" s="301">
        <f t="shared" si="44"/>
        <v>12</v>
      </c>
      <c r="L103" s="301" t="str">
        <f t="shared" si="45"/>
        <v>-</v>
      </c>
      <c r="M103" s="301">
        <f t="shared" si="52"/>
        <v>0</v>
      </c>
      <c r="N103" s="363">
        <f>'Unit Cost Table'!$C$26*$O$6</f>
        <v>8.45306</v>
      </c>
      <c r="O103" s="363">
        <f>'Unit Cost Table'!$C$15*$O$6</f>
        <v>1.1858</v>
      </c>
      <c r="P103" s="302">
        <f t="shared" si="46"/>
        <v>10042.23528</v>
      </c>
      <c r="Q103" s="303">
        <f t="shared" si="47"/>
        <v>0</v>
      </c>
      <c r="R103" s="363">
        <f t="shared" si="48"/>
        <v>100.42235280000001</v>
      </c>
      <c r="S103" s="363">
        <f t="shared" si="49"/>
        <v>1305.4905864000002</v>
      </c>
      <c r="T103" s="329">
        <f t="shared" si="50"/>
        <v>1408.7304</v>
      </c>
      <c r="U103" s="364">
        <f t="shared" si="51"/>
        <v>2714.2209864</v>
      </c>
      <c r="V103" s="258"/>
      <c r="W103" s="258"/>
      <c r="Z103" s="5"/>
      <c r="AA103" s="230"/>
      <c r="AB103" s="225"/>
      <c r="AC103" s="230"/>
      <c r="AD103" s="226"/>
      <c r="AE103" s="5"/>
    </row>
    <row r="104" spans="2:31" ht="15.75">
      <c r="B104" s="5"/>
      <c r="C104" s="5"/>
      <c r="D104" s="241" t="str">
        <f t="shared" si="43"/>
        <v>Estrada Seep</v>
      </c>
      <c r="E104" s="227" t="str">
        <f t="shared" si="43"/>
        <v>Decant Pond #4</v>
      </c>
      <c r="F104" s="301" t="s">
        <v>29</v>
      </c>
      <c r="G104" s="299">
        <v>3470</v>
      </c>
      <c r="H104" s="301">
        <v>3</v>
      </c>
      <c r="I104" s="301">
        <v>20</v>
      </c>
      <c r="J104" s="301">
        <f>I104+'1 Reclamation and O&amp;M costs'!$O$23-'1 Reclamation and O&amp;M costs'!$O$22</f>
        <v>26</v>
      </c>
      <c r="K104" s="301">
        <f t="shared" si="44"/>
        <v>5</v>
      </c>
      <c r="L104" s="301" t="str">
        <f t="shared" si="45"/>
        <v>-</v>
      </c>
      <c r="M104" s="301">
        <f t="shared" si="52"/>
        <v>0</v>
      </c>
      <c r="N104" s="363">
        <f>'Unit Cost Table'!$C$26*$O$6</f>
        <v>8.45306</v>
      </c>
      <c r="O104" s="363">
        <f>'Unit Cost Table'!$C$15*$O$6</f>
        <v>1.1858</v>
      </c>
      <c r="P104" s="302">
        <f t="shared" si="46"/>
        <v>29332.1182</v>
      </c>
      <c r="Q104" s="303">
        <f t="shared" si="47"/>
        <v>0</v>
      </c>
      <c r="R104" s="363">
        <f t="shared" si="48"/>
        <v>293.321182</v>
      </c>
      <c r="S104" s="363">
        <f t="shared" si="49"/>
        <v>1759.9270920000001</v>
      </c>
      <c r="T104" s="329">
        <f t="shared" si="50"/>
        <v>4114.726</v>
      </c>
      <c r="U104" s="364">
        <f t="shared" si="51"/>
        <v>5874.653092</v>
      </c>
      <c r="V104" s="258"/>
      <c r="W104" s="258"/>
      <c r="Z104" s="5"/>
      <c r="AA104" s="230"/>
      <c r="AB104" s="6"/>
      <c r="AC104" s="230"/>
      <c r="AD104" s="226"/>
      <c r="AE104" s="5"/>
    </row>
    <row r="105" spans="2:31" ht="15.75">
      <c r="B105" s="5"/>
      <c r="C105" s="5"/>
      <c r="D105" s="241" t="str">
        <f t="shared" si="43"/>
        <v>Union Hill Adit Seep</v>
      </c>
      <c r="E105" s="227" t="str">
        <f t="shared" si="43"/>
        <v>Decant Pond #4</v>
      </c>
      <c r="F105" s="301" t="s">
        <v>29</v>
      </c>
      <c r="G105" s="299">
        <v>5250</v>
      </c>
      <c r="H105" s="301">
        <v>2</v>
      </c>
      <c r="I105" s="301">
        <v>20</v>
      </c>
      <c r="J105" s="301">
        <f>I105+'1 Reclamation and O&amp;M costs'!$O$23-'1 Reclamation and O&amp;M costs'!$O$22</f>
        <v>26</v>
      </c>
      <c r="K105" s="301">
        <f t="shared" si="44"/>
        <v>5</v>
      </c>
      <c r="L105" s="301" t="str">
        <f t="shared" si="45"/>
        <v>-</v>
      </c>
      <c r="M105" s="301">
        <f t="shared" si="52"/>
        <v>0</v>
      </c>
      <c r="N105" s="363">
        <f>'Unit Cost Table'!$C$26*$O$6</f>
        <v>8.45306</v>
      </c>
      <c r="O105" s="363">
        <f>'Unit Cost Table'!$C$15*$O$6</f>
        <v>1.1858</v>
      </c>
      <c r="P105" s="302">
        <f t="shared" si="46"/>
        <v>44378.565</v>
      </c>
      <c r="Q105" s="303">
        <f t="shared" si="47"/>
        <v>0</v>
      </c>
      <c r="R105" s="363">
        <f t="shared" si="48"/>
        <v>443.78565000000003</v>
      </c>
      <c r="S105" s="363">
        <f t="shared" si="49"/>
        <v>2662.7139</v>
      </c>
      <c r="T105" s="329">
        <f t="shared" si="50"/>
        <v>6225.45</v>
      </c>
      <c r="U105" s="364">
        <f t="shared" si="51"/>
        <v>8888.1639</v>
      </c>
      <c r="V105" s="258"/>
      <c r="W105" s="258"/>
      <c r="AD105" s="5"/>
      <c r="AE105" s="5"/>
    </row>
    <row r="106" spans="2:31" ht="15.75">
      <c r="B106" s="5"/>
      <c r="C106" s="5"/>
      <c r="D106" s="241" t="str">
        <f t="shared" si="43"/>
        <v>Upper Creek Containment Pond #1</v>
      </c>
      <c r="E106" s="227" t="str">
        <f t="shared" si="43"/>
        <v>Surge Tank</v>
      </c>
      <c r="F106" s="301" t="s">
        <v>29</v>
      </c>
      <c r="G106" s="299">
        <v>1770</v>
      </c>
      <c r="H106" s="301">
        <v>6</v>
      </c>
      <c r="I106" s="301">
        <v>20</v>
      </c>
      <c r="J106" s="301">
        <f>I106+'1 Reclamation and O&amp;M costs'!$O$23-'1 Reclamation and O&amp;M costs'!$O$22</f>
        <v>26</v>
      </c>
      <c r="K106" s="301">
        <f t="shared" si="44"/>
        <v>12</v>
      </c>
      <c r="L106" s="301" t="str">
        <f t="shared" si="45"/>
        <v>-</v>
      </c>
      <c r="M106" s="301">
        <f t="shared" si="52"/>
        <v>0</v>
      </c>
      <c r="N106" s="363">
        <f>'Unit Cost Table'!$C$27*$O$6</f>
        <v>12.154449999999999</v>
      </c>
      <c r="O106" s="363">
        <f>'Unit Cost Table'!$C$16*$O$6</f>
        <v>1.6601199999999998</v>
      </c>
      <c r="P106" s="302">
        <f t="shared" si="46"/>
        <v>21513.3765</v>
      </c>
      <c r="Q106" s="303">
        <f t="shared" si="47"/>
        <v>0</v>
      </c>
      <c r="R106" s="363">
        <f t="shared" si="48"/>
        <v>215.13376499999998</v>
      </c>
      <c r="S106" s="363">
        <f t="shared" si="49"/>
        <v>2796.7389449999996</v>
      </c>
      <c r="T106" s="329">
        <f t="shared" si="50"/>
        <v>2938.4123999999997</v>
      </c>
      <c r="U106" s="364">
        <f t="shared" si="51"/>
        <v>5735.151344999999</v>
      </c>
      <c r="V106" s="258"/>
      <c r="W106" s="258"/>
      <c r="AD106" s="5"/>
      <c r="AE106" s="5"/>
    </row>
    <row r="107" spans="2:23" ht="15.75">
      <c r="B107" s="5"/>
      <c r="C107" s="5"/>
      <c r="D107" s="241" t="str">
        <f>D106</f>
        <v>Upper Creek Containment Pond #1</v>
      </c>
      <c r="E107" s="227" t="str">
        <f>E106</f>
        <v>Surge Tank</v>
      </c>
      <c r="F107" s="301" t="s">
        <v>29</v>
      </c>
      <c r="G107" s="299">
        <v>1770</v>
      </c>
      <c r="H107" s="301">
        <v>8</v>
      </c>
      <c r="I107" s="301">
        <v>20</v>
      </c>
      <c r="J107" s="301">
        <f>I107+'1 Reclamation and O&amp;M costs'!$O$23-'1 Reclamation and O&amp;M costs'!$O$22</f>
        <v>26</v>
      </c>
      <c r="K107" s="301">
        <f>K106</f>
        <v>12</v>
      </c>
      <c r="L107" s="301" t="str">
        <f t="shared" si="45"/>
        <v>-</v>
      </c>
      <c r="M107" s="301">
        <f t="shared" si="52"/>
        <v>0</v>
      </c>
      <c r="N107" s="363">
        <f>'Unit Cost Table'!$C$28*$O$6</f>
        <v>15.220589999999998</v>
      </c>
      <c r="O107" s="363">
        <f>'Unit Cost Table'!$C$16*$O$6</f>
        <v>1.6601199999999998</v>
      </c>
      <c r="P107" s="302">
        <f t="shared" si="46"/>
        <v>26940.444299999996</v>
      </c>
      <c r="Q107" s="303">
        <f t="shared" si="47"/>
        <v>0</v>
      </c>
      <c r="R107" s="363">
        <f t="shared" si="48"/>
        <v>269.40444299999996</v>
      </c>
      <c r="S107" s="363">
        <f t="shared" si="49"/>
        <v>3502.2577589999996</v>
      </c>
      <c r="T107" s="329">
        <f t="shared" si="50"/>
        <v>2938.4123999999997</v>
      </c>
      <c r="U107" s="364">
        <f t="shared" si="51"/>
        <v>6440.670158999999</v>
      </c>
      <c r="V107" s="258"/>
      <c r="W107" s="258"/>
    </row>
    <row r="108" spans="2:23" ht="15.75">
      <c r="B108" s="5"/>
      <c r="C108" s="5"/>
      <c r="D108" s="241" t="str">
        <f>D57</f>
        <v>Grape Gulch Pond #3</v>
      </c>
      <c r="E108" s="227" t="str">
        <f>E57</f>
        <v>Surge Tank</v>
      </c>
      <c r="F108" s="301" t="s">
        <v>29</v>
      </c>
      <c r="G108" s="299">
        <v>861</v>
      </c>
      <c r="H108" s="301">
        <v>8</v>
      </c>
      <c r="I108" s="301">
        <v>20</v>
      </c>
      <c r="J108" s="301">
        <f>I108+'1 Reclamation and O&amp;M costs'!$O$23-'1 Reclamation and O&amp;M costs'!$O$22</f>
        <v>26</v>
      </c>
      <c r="K108" s="301">
        <f>I57</f>
        <v>12</v>
      </c>
      <c r="L108" s="301" t="str">
        <f t="shared" si="45"/>
        <v>-</v>
      </c>
      <c r="M108" s="301">
        <f t="shared" si="52"/>
        <v>0</v>
      </c>
      <c r="N108" s="363">
        <f>'Unit Cost Table'!$C$28*$O$6</f>
        <v>15.220589999999998</v>
      </c>
      <c r="O108" s="363">
        <f>'Unit Cost Table'!$C$16*$O$6</f>
        <v>1.6601199999999998</v>
      </c>
      <c r="P108" s="302">
        <f t="shared" si="46"/>
        <v>13104.927989999998</v>
      </c>
      <c r="Q108" s="303">
        <f t="shared" si="47"/>
        <v>0</v>
      </c>
      <c r="R108" s="363">
        <f t="shared" si="48"/>
        <v>131.0492799</v>
      </c>
      <c r="S108" s="363">
        <f t="shared" si="49"/>
        <v>1703.6406386999997</v>
      </c>
      <c r="T108" s="329">
        <f t="shared" si="50"/>
        <v>1429.36332</v>
      </c>
      <c r="U108" s="364">
        <f t="shared" si="51"/>
        <v>3133.0039586999997</v>
      </c>
      <c r="V108" s="258"/>
      <c r="W108" s="258"/>
    </row>
    <row r="109" spans="2:23" ht="15.75">
      <c r="B109" s="5"/>
      <c r="C109" s="5"/>
      <c r="D109" s="241" t="str">
        <f>D58</f>
        <v>Blackman's Seep (Pond #2)</v>
      </c>
      <c r="E109" s="227" t="str">
        <f>E58</f>
        <v>Upper Creek Containment Pond 1</v>
      </c>
      <c r="F109" s="301" t="s">
        <v>29</v>
      </c>
      <c r="G109" s="299">
        <v>100</v>
      </c>
      <c r="H109" s="301">
        <f>ROUNDUP(2*SQRT(L58/448.8/(3*PI()))*12,0)</f>
        <v>5</v>
      </c>
      <c r="I109" s="301">
        <v>20</v>
      </c>
      <c r="J109" s="301">
        <f>I109+'1 Reclamation and O&amp;M costs'!$O$23-'1 Reclamation and O&amp;M costs'!$O$22</f>
        <v>26</v>
      </c>
      <c r="K109" s="301">
        <f>I58</f>
        <v>9</v>
      </c>
      <c r="L109" s="301" t="str">
        <f t="shared" si="45"/>
        <v>-</v>
      </c>
      <c r="M109" s="301">
        <f t="shared" si="52"/>
        <v>0</v>
      </c>
      <c r="N109" s="363">
        <f>'Unit Cost Table'!$C$27*$O$6</f>
        <v>12.154449999999999</v>
      </c>
      <c r="O109" s="363">
        <f>'Unit Cost Table'!$C$16*$O$6</f>
        <v>1.6601199999999998</v>
      </c>
      <c r="P109" s="302">
        <f>N109*G109</f>
        <v>1215.445</v>
      </c>
      <c r="Q109" s="303">
        <f t="shared" si="47"/>
        <v>0</v>
      </c>
      <c r="R109" s="363">
        <f t="shared" si="48"/>
        <v>12.154449999999999</v>
      </c>
      <c r="S109" s="363">
        <f t="shared" si="49"/>
        <v>121.54449999999999</v>
      </c>
      <c r="T109" s="329">
        <f>O109*G109</f>
        <v>166.01199999999997</v>
      </c>
      <c r="U109" s="364">
        <f t="shared" si="51"/>
        <v>287.55649999999997</v>
      </c>
      <c r="V109" s="258"/>
      <c r="W109" s="258"/>
    </row>
    <row r="110" spans="2:23" ht="15.75">
      <c r="B110" s="5"/>
      <c r="C110" s="5"/>
      <c r="D110" s="243" t="s">
        <v>16</v>
      </c>
      <c r="E110" s="228" t="s">
        <v>363</v>
      </c>
      <c r="F110" s="323" t="s">
        <v>29</v>
      </c>
      <c r="G110" s="299">
        <v>31850</v>
      </c>
      <c r="H110" s="301">
        <v>8</v>
      </c>
      <c r="I110" s="301">
        <v>3</v>
      </c>
      <c r="J110" s="301">
        <f>I110+'1 Reclamation and O&amp;M costs'!$O$23-'1 Reclamation and O&amp;M costs'!$O$22</f>
        <v>9</v>
      </c>
      <c r="K110" s="301">
        <f>M36</f>
        <v>12</v>
      </c>
      <c r="L110" s="301" t="str">
        <f t="shared" si="45"/>
        <v>-</v>
      </c>
      <c r="M110" s="301">
        <f t="shared" si="52"/>
        <v>0</v>
      </c>
      <c r="N110" s="363">
        <f>'Unit Cost Table'!$C$28*$O$6</f>
        <v>15.220589999999998</v>
      </c>
      <c r="O110" s="388" t="s">
        <v>60</v>
      </c>
      <c r="P110" s="302">
        <f>N110*G110</f>
        <v>484775.79149999993</v>
      </c>
      <c r="Q110" s="303">
        <f t="shared" si="47"/>
        <v>0</v>
      </c>
      <c r="R110" s="363">
        <f t="shared" si="48"/>
        <v>4847.757914999999</v>
      </c>
      <c r="S110" s="363">
        <f t="shared" si="49"/>
        <v>63020.85289499999</v>
      </c>
      <c r="T110" s="351">
        <v>0</v>
      </c>
      <c r="U110" s="364">
        <f>S110+Q110+T110</f>
        <v>63020.85289499999</v>
      </c>
      <c r="V110" s="258"/>
      <c r="W110" s="258"/>
    </row>
    <row r="111" spans="2:23" ht="15.75">
      <c r="B111" s="5"/>
      <c r="C111" s="5"/>
      <c r="D111" s="241" t="str">
        <f aca="true" t="shared" si="53" ref="D111:E113">D59</f>
        <v>Surge Tank</v>
      </c>
      <c r="E111" s="227" t="str">
        <f t="shared" si="53"/>
        <v>Reclaim Pond</v>
      </c>
      <c r="F111" s="301" t="s">
        <v>29</v>
      </c>
      <c r="G111" s="299">
        <v>3923</v>
      </c>
      <c r="H111" s="301">
        <v>15</v>
      </c>
      <c r="I111" s="301">
        <v>20</v>
      </c>
      <c r="J111" s="301">
        <f>I111+'1 Reclamation and O&amp;M costs'!$O$23-'1 Reclamation and O&amp;M costs'!$O$22</f>
        <v>26</v>
      </c>
      <c r="K111" s="301">
        <f>I59</f>
        <v>9</v>
      </c>
      <c r="L111" s="301" t="str">
        <f t="shared" si="45"/>
        <v>-</v>
      </c>
      <c r="M111" s="301">
        <f t="shared" si="52"/>
        <v>0</v>
      </c>
      <c r="N111" s="363">
        <f>'Unit Cost Table'!$C$31*$O$6</f>
        <v>43.32405</v>
      </c>
      <c r="O111" s="363">
        <f>'Unit Cost Table'!$C$17*$O$6</f>
        <v>2.7696899999999998</v>
      </c>
      <c r="P111" s="302">
        <f>N111*G111</f>
        <v>169960.24815</v>
      </c>
      <c r="Q111" s="303">
        <f t="shared" si="47"/>
        <v>0</v>
      </c>
      <c r="R111" s="363">
        <f t="shared" si="48"/>
        <v>1699.6024815</v>
      </c>
      <c r="S111" s="363">
        <f t="shared" si="49"/>
        <v>16996.024815</v>
      </c>
      <c r="T111" s="329">
        <f t="shared" si="50"/>
        <v>10865.493869999998</v>
      </c>
      <c r="U111" s="364">
        <f t="shared" si="51"/>
        <v>27861.518685</v>
      </c>
      <c r="V111" s="258"/>
      <c r="W111" s="258"/>
    </row>
    <row r="112" spans="2:23" ht="15.75">
      <c r="B112" s="5"/>
      <c r="C112" s="5"/>
      <c r="D112" s="241" t="str">
        <f t="shared" si="53"/>
        <v>Reclaim Pond</v>
      </c>
      <c r="E112" s="227" t="str">
        <f t="shared" si="53"/>
        <v>Surge Tank</v>
      </c>
      <c r="F112" s="301" t="s">
        <v>29</v>
      </c>
      <c r="G112" s="299">
        <v>3855</v>
      </c>
      <c r="H112" s="301">
        <v>9</v>
      </c>
      <c r="I112" s="301">
        <v>20</v>
      </c>
      <c r="J112" s="301">
        <f>I112+'1 Reclamation and O&amp;M costs'!$O$23-'1 Reclamation and O&amp;M costs'!$O$22</f>
        <v>26</v>
      </c>
      <c r="K112" s="301">
        <f>I60</f>
        <v>5</v>
      </c>
      <c r="L112" s="301" t="str">
        <f t="shared" si="45"/>
        <v>-</v>
      </c>
      <c r="M112" s="301">
        <f t="shared" si="52"/>
        <v>0</v>
      </c>
      <c r="N112" s="363">
        <f>'Unit Cost Table'!$C$28*$O$6</f>
        <v>15.220589999999998</v>
      </c>
      <c r="O112" s="363">
        <f>'Unit Cost Table'!$C$17*$O$6</f>
        <v>2.7696899999999998</v>
      </c>
      <c r="P112" s="302">
        <f>N112*G112</f>
        <v>58675.37444999999</v>
      </c>
      <c r="Q112" s="303">
        <f t="shared" si="47"/>
        <v>0</v>
      </c>
      <c r="R112" s="363">
        <f t="shared" si="48"/>
        <v>586.7537444999999</v>
      </c>
      <c r="S112" s="363">
        <f t="shared" si="49"/>
        <v>3520.522467</v>
      </c>
      <c r="T112" s="329">
        <f t="shared" si="50"/>
        <v>10677.154949999998</v>
      </c>
      <c r="U112" s="364">
        <f t="shared" si="51"/>
        <v>14197.677416999999</v>
      </c>
      <c r="V112" s="258"/>
      <c r="W112" s="258"/>
    </row>
    <row r="113" spans="2:23" ht="15.75">
      <c r="B113" s="5"/>
      <c r="C113" s="5"/>
      <c r="D113" s="241" t="str">
        <f t="shared" si="53"/>
        <v>East WRF Containment</v>
      </c>
      <c r="E113" s="227" t="str">
        <f t="shared" si="53"/>
        <v>Decant Pond #4</v>
      </c>
      <c r="F113" s="301" t="s">
        <v>29</v>
      </c>
      <c r="G113" s="299">
        <v>4073</v>
      </c>
      <c r="H113" s="301">
        <v>10</v>
      </c>
      <c r="I113" s="301">
        <f>K38</f>
        <v>-5</v>
      </c>
      <c r="J113" s="301">
        <f>I113+'1 Reclamation and O&amp;M costs'!$O$23-'1 Reclamation and O&amp;M costs'!$O$22</f>
        <v>1</v>
      </c>
      <c r="K113" s="301">
        <f>I61</f>
        <v>12</v>
      </c>
      <c r="L113" s="301" t="str">
        <f t="shared" si="45"/>
        <v>-</v>
      </c>
      <c r="M113" s="301">
        <f t="shared" si="52"/>
        <v>0</v>
      </c>
      <c r="N113" s="363">
        <f>'Unit Cost Table'!$C$29*$O$6</f>
        <v>23.555069999999997</v>
      </c>
      <c r="O113" s="363">
        <f>'Unit Cost Table'!$C$17*$O$6</f>
        <v>2.7696899999999998</v>
      </c>
      <c r="P113" s="302">
        <f>N113*G113</f>
        <v>95939.80010999998</v>
      </c>
      <c r="Q113" s="303">
        <f t="shared" si="47"/>
        <v>0</v>
      </c>
      <c r="R113" s="363">
        <f t="shared" si="48"/>
        <v>959.3980010999999</v>
      </c>
      <c r="S113" s="363">
        <f t="shared" si="49"/>
        <v>12472.174014299999</v>
      </c>
      <c r="T113" s="329">
        <f t="shared" si="50"/>
        <v>11280.94737</v>
      </c>
      <c r="U113" s="364">
        <f t="shared" si="51"/>
        <v>23753.1213843</v>
      </c>
      <c r="V113" s="258"/>
      <c r="W113" s="258"/>
    </row>
    <row r="114" spans="4:23" ht="15.75">
      <c r="D114" s="249" t="s">
        <v>284</v>
      </c>
      <c r="E114" s="227"/>
      <c r="F114" s="301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65"/>
      <c r="R114" s="337"/>
      <c r="S114" s="337"/>
      <c r="T114" s="366"/>
      <c r="U114" s="366"/>
      <c r="V114" s="259"/>
      <c r="W114" s="259"/>
    </row>
    <row r="115" spans="4:46" ht="15.75">
      <c r="D115" s="241" t="str">
        <f>D63</f>
        <v>Mill No 1</v>
      </c>
      <c r="E115" s="227" t="str">
        <f>E63</f>
        <v>Tailings Impoundment Top</v>
      </c>
      <c r="F115" s="301" t="s">
        <v>29</v>
      </c>
      <c r="G115" s="299">
        <v>6850</v>
      </c>
      <c r="H115" s="301">
        <v>21</v>
      </c>
      <c r="I115" s="301"/>
      <c r="J115" s="301"/>
      <c r="K115" s="301"/>
      <c r="L115" s="301"/>
      <c r="M115" s="301"/>
      <c r="N115" s="301"/>
      <c r="O115" s="301"/>
      <c r="P115" s="301"/>
      <c r="Q115" s="367"/>
      <c r="R115" s="299"/>
      <c r="S115" s="301"/>
      <c r="T115" s="368"/>
      <c r="U115" s="368"/>
      <c r="V115" s="250"/>
      <c r="W115" s="250"/>
      <c r="X115" s="42"/>
      <c r="AJ115" s="9"/>
      <c r="AK115" s="8"/>
      <c r="AL115" s="9"/>
      <c r="AM115" s="8"/>
      <c r="AO115" s="47"/>
      <c r="AP115" s="8"/>
      <c r="AQ115" s="8"/>
      <c r="AR115" s="11"/>
      <c r="AS115" s="8"/>
      <c r="AT115" s="8"/>
    </row>
    <row r="116" spans="4:31" ht="16.5" thickBot="1">
      <c r="D116" s="253" t="str">
        <f>D64</f>
        <v>Mill No 2</v>
      </c>
      <c r="E116" s="252" t="str">
        <f>E64</f>
        <v>Tailings Impoundment Top</v>
      </c>
      <c r="F116" s="311" t="s">
        <v>29</v>
      </c>
      <c r="G116" s="309">
        <v>6850</v>
      </c>
      <c r="H116" s="311">
        <v>21</v>
      </c>
      <c r="I116" s="311"/>
      <c r="J116" s="311"/>
      <c r="K116" s="311"/>
      <c r="L116" s="309"/>
      <c r="M116" s="311"/>
      <c r="N116" s="369"/>
      <c r="O116" s="369"/>
      <c r="P116" s="369"/>
      <c r="Q116" s="370"/>
      <c r="R116" s="369"/>
      <c r="S116" s="311"/>
      <c r="T116" s="371"/>
      <c r="U116" s="372"/>
      <c r="V116" s="250"/>
      <c r="W116" s="250"/>
      <c r="X116" s="42"/>
      <c r="AB116" s="9"/>
      <c r="AD116" s="9"/>
      <c r="AE116" s="8"/>
    </row>
    <row r="117" spans="4:23" ht="15.75">
      <c r="D117" s="62" t="s">
        <v>364</v>
      </c>
      <c r="E117" s="5"/>
      <c r="F117" s="5"/>
      <c r="P117" s="110" t="s">
        <v>221</v>
      </c>
      <c r="Q117" s="355" t="s">
        <v>60</v>
      </c>
      <c r="R117" s="353">
        <f>SUM(R96:R113)</f>
        <v>13932.290295</v>
      </c>
      <c r="S117" s="352" t="s">
        <v>60</v>
      </c>
      <c r="T117" s="373" t="s">
        <v>60</v>
      </c>
      <c r="U117" s="373" t="s">
        <v>60</v>
      </c>
      <c r="V117" s="250"/>
      <c r="W117" s="250"/>
    </row>
    <row r="118" spans="4:31" ht="16.5" thickBot="1">
      <c r="D118" s="5"/>
      <c r="E118" s="5"/>
      <c r="F118" s="42"/>
      <c r="G118" s="6"/>
      <c r="H118" s="42"/>
      <c r="I118" s="5"/>
      <c r="J118" s="5"/>
      <c r="K118" s="5"/>
      <c r="L118" s="6"/>
      <c r="M118" s="5"/>
      <c r="P118" s="110" t="s">
        <v>220</v>
      </c>
      <c r="Q118" s="319">
        <f>SUM(Q96:Q113)</f>
        <v>0</v>
      </c>
      <c r="R118" s="320" t="s">
        <v>60</v>
      </c>
      <c r="S118" s="374">
        <f>SUM(S96:S113)</f>
        <v>156271.588935</v>
      </c>
      <c r="T118" s="359">
        <f>SUM(T96:T113)</f>
        <v>95129.28886999997</v>
      </c>
      <c r="U118" s="375">
        <f>SUM(Q118:Q118,S118,T118)</f>
        <v>251400.877805</v>
      </c>
      <c r="V118" s="265"/>
      <c r="W118" s="265"/>
      <c r="AB118" s="9"/>
      <c r="AD118" s="9"/>
      <c r="AE118" s="8"/>
    </row>
    <row r="119" spans="4:6" ht="15.75">
      <c r="D119" s="5"/>
      <c r="E119" s="5"/>
      <c r="F119" s="5"/>
    </row>
    <row r="120" spans="16:24" ht="15.75">
      <c r="P120" s="11"/>
      <c r="Q120" s="11"/>
      <c r="R120" s="8"/>
      <c r="S120" s="8"/>
      <c r="T120" s="8"/>
      <c r="U120" s="8"/>
      <c r="V120" s="8"/>
      <c r="W120" s="8"/>
      <c r="X120" s="8"/>
    </row>
    <row r="121" spans="3:21" ht="16.5" thickBot="1">
      <c r="C121" s="5"/>
      <c r="D121" s="43" t="s">
        <v>37</v>
      </c>
      <c r="U121" s="400"/>
    </row>
    <row r="122" spans="4:18" s="2" customFormat="1" ht="63" customHeight="1">
      <c r="D122" s="235" t="s">
        <v>28</v>
      </c>
      <c r="E122" s="236" t="s">
        <v>27</v>
      </c>
      <c r="F122" s="240" t="s">
        <v>290</v>
      </c>
      <c r="G122" s="236" t="s">
        <v>42</v>
      </c>
      <c r="H122" s="236" t="s">
        <v>39</v>
      </c>
      <c r="I122" s="238" t="s">
        <v>305</v>
      </c>
      <c r="J122" s="240" t="s">
        <v>306</v>
      </c>
      <c r="K122" s="236" t="s">
        <v>127</v>
      </c>
      <c r="L122" s="238" t="s">
        <v>307</v>
      </c>
      <c r="M122" s="240" t="s">
        <v>308</v>
      </c>
      <c r="N122" s="395" t="s">
        <v>309</v>
      </c>
      <c r="O122" s="233" t="s">
        <v>294</v>
      </c>
      <c r="P122" s="233" t="s">
        <v>295</v>
      </c>
      <c r="Q122" s="292" t="s">
        <v>304</v>
      </c>
      <c r="R122" s="256" t="s">
        <v>283</v>
      </c>
    </row>
    <row r="123" spans="2:18" ht="15.75">
      <c r="B123" s="5"/>
      <c r="D123" s="241" t="s">
        <v>7</v>
      </c>
      <c r="E123" s="227" t="s">
        <v>8</v>
      </c>
      <c r="F123" s="333">
        <f>G96-G97</f>
        <v>1166</v>
      </c>
      <c r="G123" s="299">
        <f aca="true" t="shared" si="54" ref="G123:G133">ROUNDUP(F123/$O$15,0)+1</f>
        <v>13</v>
      </c>
      <c r="H123" s="299">
        <f>K96</f>
        <v>12</v>
      </c>
      <c r="I123" s="302">
        <f>SUM('Unit Cost Table'!$C$7:$C$10)*G123*$O$6</f>
        <v>23859.19994791667</v>
      </c>
      <c r="J123" s="302">
        <f>F123/5280*SUM('Unit Cost Table'!$C$11:$C$13)*$O$6</f>
        <v>2626.7781604166667</v>
      </c>
      <c r="K123" s="301">
        <v>2</v>
      </c>
      <c r="L123" s="302">
        <f>'Unit Cost Table'!$C$14*K123*$O$6</f>
        <v>8101.554999999999</v>
      </c>
      <c r="M123" s="302">
        <f>'Unit Cost Table'!$C$36*K123</f>
        <v>20000</v>
      </c>
      <c r="N123" s="396">
        <f aca="true" t="shared" si="55" ref="N123:N133">L123+J123+I123+M123</f>
        <v>54587.53310833334</v>
      </c>
      <c r="O123" s="393">
        <f aca="true" t="shared" si="56" ref="O123:O133">N123*$O$19</f>
        <v>818.812996625</v>
      </c>
      <c r="P123" s="302">
        <f aca="true" t="shared" si="57" ref="P123:P133">O123*(H123+1)</f>
        <v>10644.568956125</v>
      </c>
      <c r="Q123" s="329">
        <f>G123*('Unit Cost Table'!$C$5+'Unit Cost Table'!$C$6)*$O$6</f>
        <v>3138.1349999999998</v>
      </c>
      <c r="R123" s="377">
        <f aca="true" t="shared" si="58" ref="R123:R133">Q123+P123</f>
        <v>13782.703956125</v>
      </c>
    </row>
    <row r="124" spans="2:18" ht="15.75">
      <c r="B124" s="5"/>
      <c r="D124" s="241" t="s">
        <v>8</v>
      </c>
      <c r="E124" s="227" t="s">
        <v>9</v>
      </c>
      <c r="F124" s="333">
        <f>G97</f>
        <v>3300</v>
      </c>
      <c r="G124" s="299">
        <f t="shared" si="54"/>
        <v>34</v>
      </c>
      <c r="H124" s="299">
        <f>K97</f>
        <v>12</v>
      </c>
      <c r="I124" s="302">
        <f>SUM('Unit Cost Table'!$C$7:$C$10)*G124*$O$6</f>
        <v>62400.98447916667</v>
      </c>
      <c r="J124" s="302">
        <f>F124/5280*SUM('Unit Cost Table'!$C$11:$C$13)*$O$6</f>
        <v>7434.2778124999995</v>
      </c>
      <c r="K124" s="301">
        <v>2</v>
      </c>
      <c r="L124" s="302">
        <f>'Unit Cost Table'!$C$14*K124*$O$6</f>
        <v>8101.554999999999</v>
      </c>
      <c r="M124" s="302">
        <f>'Unit Cost Table'!$C$36*K124</f>
        <v>20000</v>
      </c>
      <c r="N124" s="396">
        <f t="shared" si="55"/>
        <v>97936.81729166667</v>
      </c>
      <c r="O124" s="393">
        <f t="shared" si="56"/>
        <v>1469.052259375</v>
      </c>
      <c r="P124" s="302">
        <f t="shared" si="57"/>
        <v>19097.679371874998</v>
      </c>
      <c r="Q124" s="329">
        <f>G124*('Unit Cost Table'!$C$5+'Unit Cost Table'!$C$6)*$O$6</f>
        <v>8207.43</v>
      </c>
      <c r="R124" s="377">
        <f t="shared" si="58"/>
        <v>27305.109371874998</v>
      </c>
    </row>
    <row r="125" spans="2:18" ht="15.75">
      <c r="B125" s="5"/>
      <c r="D125" s="241" t="s">
        <v>9</v>
      </c>
      <c r="E125" s="228" t="s">
        <v>126</v>
      </c>
      <c r="F125" s="299">
        <f>G98</f>
        <v>220</v>
      </c>
      <c r="G125" s="299">
        <f t="shared" si="54"/>
        <v>4</v>
      </c>
      <c r="H125" s="299">
        <f>K98</f>
        <v>12</v>
      </c>
      <c r="I125" s="302">
        <f>SUM('Unit Cost Table'!$C$7:$C$10)*G125*$O$6</f>
        <v>7341.292291666668</v>
      </c>
      <c r="J125" s="302">
        <f>F125/5280*SUM('Unit Cost Table'!$C$11:$C$13)*$O$6</f>
        <v>495.61852083333326</v>
      </c>
      <c r="K125" s="301">
        <v>2</v>
      </c>
      <c r="L125" s="302">
        <f>'Unit Cost Table'!$C$14*K125*$O$6</f>
        <v>8101.554999999999</v>
      </c>
      <c r="M125" s="302">
        <f>'Unit Cost Table'!$C$36*K125</f>
        <v>20000</v>
      </c>
      <c r="N125" s="396">
        <f t="shared" si="55"/>
        <v>35938.4658125</v>
      </c>
      <c r="O125" s="393">
        <f t="shared" si="56"/>
        <v>539.0769871875</v>
      </c>
      <c r="P125" s="302">
        <f t="shared" si="57"/>
        <v>7008.0008334375</v>
      </c>
      <c r="Q125" s="329">
        <f>G125*('Unit Cost Table'!$C$5+'Unit Cost Table'!$C$6)*$O$6</f>
        <v>965.5799999999999</v>
      </c>
      <c r="R125" s="377">
        <f t="shared" si="58"/>
        <v>7973.5808334375</v>
      </c>
    </row>
    <row r="126" spans="2:18" ht="15.75">
      <c r="B126" s="62"/>
      <c r="D126" s="243" t="s">
        <v>161</v>
      </c>
      <c r="E126" s="227" t="s">
        <v>16</v>
      </c>
      <c r="F126" s="299">
        <f>G99+G100</f>
        <v>2036</v>
      </c>
      <c r="G126" s="299">
        <f t="shared" si="54"/>
        <v>22</v>
      </c>
      <c r="H126" s="299">
        <f>K99</f>
        <v>12</v>
      </c>
      <c r="I126" s="302">
        <f>SUM('Unit Cost Table'!$C$7:$C$10)*G126*$O$6</f>
        <v>40377.10760416667</v>
      </c>
      <c r="J126" s="302">
        <f>F126/5280*SUM('Unit Cost Table'!$C$11:$C$13)*$O$6</f>
        <v>4586.724129166667</v>
      </c>
      <c r="K126" s="301">
        <v>2</v>
      </c>
      <c r="L126" s="302">
        <f>'Unit Cost Table'!$C$14*K126*$O$6</f>
        <v>8101.554999999999</v>
      </c>
      <c r="M126" s="302">
        <f>'Unit Cost Table'!$C$36*K126</f>
        <v>20000</v>
      </c>
      <c r="N126" s="396">
        <f t="shared" si="55"/>
        <v>73065.38673333333</v>
      </c>
      <c r="O126" s="393">
        <f t="shared" si="56"/>
        <v>1095.980801</v>
      </c>
      <c r="P126" s="302">
        <f t="shared" si="57"/>
        <v>14247.750413</v>
      </c>
      <c r="Q126" s="329">
        <f>G126*('Unit Cost Table'!$C$5+'Unit Cost Table'!$C$6)*$O$6</f>
        <v>5310.69</v>
      </c>
      <c r="R126" s="377">
        <f t="shared" si="58"/>
        <v>19558.440413</v>
      </c>
    </row>
    <row r="127" spans="4:18" ht="60.75" customHeight="1">
      <c r="D127" s="399" t="s">
        <v>217</v>
      </c>
      <c r="E127" s="224" t="s">
        <v>41</v>
      </c>
      <c r="F127" s="299">
        <v>582</v>
      </c>
      <c r="G127" s="299">
        <f t="shared" si="54"/>
        <v>7</v>
      </c>
      <c r="H127" s="299">
        <f>K106</f>
        <v>12</v>
      </c>
      <c r="I127" s="302">
        <f>SUM('Unit Cost Table'!$C$7:$C$10)*G127*$O$6</f>
        <v>12847.261510416667</v>
      </c>
      <c r="J127" s="302">
        <f>F127/5280*SUM('Unit Cost Table'!$C$11:$C$13)*$O$6</f>
        <v>1311.13626875</v>
      </c>
      <c r="K127" s="301">
        <v>1</v>
      </c>
      <c r="L127" s="302">
        <f>'Unit Cost Table'!$C$14*K127*$O$6</f>
        <v>4050.7774999999997</v>
      </c>
      <c r="M127" s="302">
        <f>'Unit Cost Table'!$C$36*K127</f>
        <v>10000</v>
      </c>
      <c r="N127" s="396">
        <f t="shared" si="55"/>
        <v>28209.175279166666</v>
      </c>
      <c r="O127" s="393">
        <f t="shared" si="56"/>
        <v>423.13762918749995</v>
      </c>
      <c r="P127" s="302">
        <f t="shared" si="57"/>
        <v>5500.789179437499</v>
      </c>
      <c r="Q127" s="329">
        <f>G127*('Unit Cost Table'!$C$5+'Unit Cost Table'!$C$6)*$O$6</f>
        <v>1689.7649999999999</v>
      </c>
      <c r="R127" s="377">
        <f t="shared" si="58"/>
        <v>7190.5541794374985</v>
      </c>
    </row>
    <row r="128" spans="4:18" ht="15.75">
      <c r="D128" s="241" t="s">
        <v>16</v>
      </c>
      <c r="E128" s="227" t="s">
        <v>12</v>
      </c>
      <c r="F128" s="299">
        <f>G106</f>
        <v>1770</v>
      </c>
      <c r="G128" s="299">
        <f t="shared" si="54"/>
        <v>19</v>
      </c>
      <c r="H128" s="299">
        <f>K106</f>
        <v>12</v>
      </c>
      <c r="I128" s="302">
        <f>SUM('Unit Cost Table'!$C$7:$C$10)*G128*$O$6</f>
        <v>34871.13838541667</v>
      </c>
      <c r="J128" s="302">
        <f>F128/5280*SUM('Unit Cost Table'!$C$11:$C$13)*$O$6</f>
        <v>3987.4762812499994</v>
      </c>
      <c r="K128" s="301">
        <v>1</v>
      </c>
      <c r="L128" s="302">
        <f>'Unit Cost Table'!$C$14*K128*$O$6</f>
        <v>4050.7774999999997</v>
      </c>
      <c r="M128" s="302">
        <f>'Unit Cost Table'!$C$36*K128</f>
        <v>10000</v>
      </c>
      <c r="N128" s="396">
        <f t="shared" si="55"/>
        <v>52909.39216666667</v>
      </c>
      <c r="O128" s="393">
        <f t="shared" si="56"/>
        <v>793.6408825000001</v>
      </c>
      <c r="P128" s="302">
        <f t="shared" si="57"/>
        <v>10317.331472500002</v>
      </c>
      <c r="Q128" s="329">
        <f>G128*('Unit Cost Table'!$C$5+'Unit Cost Table'!$C$6)*$O$6</f>
        <v>4586.505</v>
      </c>
      <c r="R128" s="377">
        <f t="shared" si="58"/>
        <v>14903.836472500003</v>
      </c>
    </row>
    <row r="129" spans="2:18" ht="15.75">
      <c r="B129" s="62"/>
      <c r="D129" s="241" t="s">
        <v>17</v>
      </c>
      <c r="E129" s="228" t="s">
        <v>161</v>
      </c>
      <c r="F129" s="299">
        <f>G103</f>
        <v>1188</v>
      </c>
      <c r="G129" s="299">
        <f t="shared" si="54"/>
        <v>13</v>
      </c>
      <c r="H129" s="299">
        <f>K102</f>
        <v>5</v>
      </c>
      <c r="I129" s="302">
        <f>SUM('Unit Cost Table'!$C$7:$C$10)*G129*$O$6</f>
        <v>23859.19994791667</v>
      </c>
      <c r="J129" s="302">
        <f>F129/5280*SUM('Unit Cost Table'!$C$11:$C$13)*$O$6</f>
        <v>2676.3400125</v>
      </c>
      <c r="K129" s="301">
        <v>1</v>
      </c>
      <c r="L129" s="302">
        <f>'Unit Cost Table'!$C$14*K129*$O$6</f>
        <v>4050.7774999999997</v>
      </c>
      <c r="M129" s="302">
        <f>'Unit Cost Table'!$C$36*K129</f>
        <v>10000</v>
      </c>
      <c r="N129" s="396">
        <f t="shared" si="55"/>
        <v>40586.31746041667</v>
      </c>
      <c r="O129" s="393">
        <f t="shared" si="56"/>
        <v>608.7947619062501</v>
      </c>
      <c r="P129" s="302">
        <f t="shared" si="57"/>
        <v>3652.7685714375</v>
      </c>
      <c r="Q129" s="329">
        <f>G129*('Unit Cost Table'!$C$5+'Unit Cost Table'!$C$6)*$O$6</f>
        <v>3138.1349999999998</v>
      </c>
      <c r="R129" s="377">
        <f t="shared" si="58"/>
        <v>6790.9035714375</v>
      </c>
    </row>
    <row r="130" spans="2:18" ht="15.75">
      <c r="B130" s="62"/>
      <c r="D130" s="243" t="s">
        <v>214</v>
      </c>
      <c r="E130" s="228" t="s">
        <v>126</v>
      </c>
      <c r="F130" s="333">
        <v>500</v>
      </c>
      <c r="G130" s="299">
        <f t="shared" si="54"/>
        <v>6</v>
      </c>
      <c r="H130" s="299">
        <f>K104</f>
        <v>5</v>
      </c>
      <c r="I130" s="302">
        <f>SUM('Unit Cost Table'!$C$7:$C$10)*G130*$O$6</f>
        <v>11011.9384375</v>
      </c>
      <c r="J130" s="302">
        <f>F130/5280*SUM('Unit Cost Table'!$C$11:$C$13)*$O$6</f>
        <v>1126.4057291666668</v>
      </c>
      <c r="K130" s="301">
        <v>1</v>
      </c>
      <c r="L130" s="302">
        <f>'Unit Cost Table'!$C$14*K130*$O$6</f>
        <v>4050.7774999999997</v>
      </c>
      <c r="M130" s="302">
        <f>'Unit Cost Table'!$C$36*K130</f>
        <v>10000</v>
      </c>
      <c r="N130" s="396">
        <f t="shared" si="55"/>
        <v>26189.121666666666</v>
      </c>
      <c r="O130" s="393">
        <f t="shared" si="56"/>
        <v>392.836825</v>
      </c>
      <c r="P130" s="302">
        <f t="shared" si="57"/>
        <v>2357.02095</v>
      </c>
      <c r="Q130" s="329">
        <f>G130*('Unit Cost Table'!$C$5+'Unit Cost Table'!$C$6)*$O$6</f>
        <v>1448.37</v>
      </c>
      <c r="R130" s="377">
        <f t="shared" si="58"/>
        <v>3805.39095</v>
      </c>
    </row>
    <row r="131" spans="4:18" ht="15.75">
      <c r="D131" s="241" t="s">
        <v>11</v>
      </c>
      <c r="E131" s="224" t="s">
        <v>126</v>
      </c>
      <c r="F131" s="299">
        <v>727</v>
      </c>
      <c r="G131" s="299">
        <f t="shared" si="54"/>
        <v>9</v>
      </c>
      <c r="H131" s="299">
        <f>K105</f>
        <v>5</v>
      </c>
      <c r="I131" s="302">
        <f>SUM('Unit Cost Table'!$C$7:$C$10)*G131*$O$6</f>
        <v>16517.90765625</v>
      </c>
      <c r="J131" s="302">
        <f>F131/5280*SUM('Unit Cost Table'!$C$11:$C$13)*$O$6</f>
        <v>1637.7939302083332</v>
      </c>
      <c r="K131" s="301">
        <v>1</v>
      </c>
      <c r="L131" s="302">
        <f>'Unit Cost Table'!$C$14*K131*$O$6</f>
        <v>4050.7774999999997</v>
      </c>
      <c r="M131" s="302">
        <f>'Unit Cost Table'!$C$36*K131</f>
        <v>10000</v>
      </c>
      <c r="N131" s="396">
        <f t="shared" si="55"/>
        <v>32206.479086458334</v>
      </c>
      <c r="O131" s="393">
        <f t="shared" si="56"/>
        <v>483.097186296875</v>
      </c>
      <c r="P131" s="302">
        <f t="shared" si="57"/>
        <v>2898.58311778125</v>
      </c>
      <c r="Q131" s="329">
        <f>G131*('Unit Cost Table'!$C$5+'Unit Cost Table'!$C$6)*$O$6</f>
        <v>2172.555</v>
      </c>
      <c r="R131" s="377">
        <f t="shared" si="58"/>
        <v>5071.13811778125</v>
      </c>
    </row>
    <row r="132" spans="4:18" ht="15.75">
      <c r="D132" s="243" t="s">
        <v>355</v>
      </c>
      <c r="E132" s="228" t="s">
        <v>161</v>
      </c>
      <c r="F132" s="299">
        <v>4582</v>
      </c>
      <c r="G132" s="299">
        <f t="shared" si="54"/>
        <v>47</v>
      </c>
      <c r="H132" s="299">
        <f>K113</f>
        <v>12</v>
      </c>
      <c r="I132" s="302">
        <f>SUM('Unit Cost Table'!$C$7:$C$10)*G132*$O$6</f>
        <v>86260.18442708334</v>
      </c>
      <c r="J132" s="302">
        <f>F132/5280*SUM('Unit Cost Table'!$C$11:$C$13)*$O$6</f>
        <v>10322.382102083333</v>
      </c>
      <c r="K132" s="301">
        <v>1</v>
      </c>
      <c r="L132" s="302">
        <f>'Unit Cost Table'!$C$14*K132*$O$6</f>
        <v>4050.7774999999997</v>
      </c>
      <c r="M132" s="302">
        <f>'Unit Cost Table'!$C$36*K132</f>
        <v>10000</v>
      </c>
      <c r="N132" s="396">
        <f t="shared" si="55"/>
        <v>110633.34402916668</v>
      </c>
      <c r="O132" s="393">
        <f t="shared" si="56"/>
        <v>1659.5001604375002</v>
      </c>
      <c r="P132" s="302">
        <f t="shared" si="57"/>
        <v>21573.5020856875</v>
      </c>
      <c r="Q132" s="329">
        <f>G132*('Unit Cost Table'!$C$5+'Unit Cost Table'!$C$6)*$O$6</f>
        <v>11345.565</v>
      </c>
      <c r="R132" s="377">
        <f t="shared" si="58"/>
        <v>32919.0670856875</v>
      </c>
    </row>
    <row r="133" spans="4:18" s="2" customFormat="1" ht="15.75" customHeight="1" thickBot="1">
      <c r="D133" s="254" t="s">
        <v>41</v>
      </c>
      <c r="E133" s="255" t="s">
        <v>126</v>
      </c>
      <c r="F133" s="376">
        <v>2327</v>
      </c>
      <c r="G133" s="309">
        <f t="shared" si="54"/>
        <v>25</v>
      </c>
      <c r="H133" s="309">
        <f>K99</f>
        <v>12</v>
      </c>
      <c r="I133" s="312">
        <f>SUM('Unit Cost Table'!$C$7:$C$10)*G133*$O$6</f>
        <v>45883.07682291667</v>
      </c>
      <c r="J133" s="312">
        <f>F133/5280*SUM('Unit Cost Table'!$C$11:$C$13)*$O$6</f>
        <v>5242.292263541667</v>
      </c>
      <c r="K133" s="311">
        <v>1</v>
      </c>
      <c r="L133" s="312">
        <f>'Unit Cost Table'!$C$14*K133*$O$6</f>
        <v>4050.7774999999997</v>
      </c>
      <c r="M133" s="312">
        <f>'Unit Cost Table'!$C$36*K133</f>
        <v>10000</v>
      </c>
      <c r="N133" s="397">
        <f t="shared" si="55"/>
        <v>65176.14658645834</v>
      </c>
      <c r="O133" s="394">
        <f t="shared" si="56"/>
        <v>977.642198796875</v>
      </c>
      <c r="P133" s="312">
        <f t="shared" si="57"/>
        <v>12709.348584359375</v>
      </c>
      <c r="Q133" s="348">
        <f>G133*('Unit Cost Table'!$C$5+'Unit Cost Table'!$C$6)*$O$6</f>
        <v>6034.875</v>
      </c>
      <c r="R133" s="377">
        <f t="shared" si="58"/>
        <v>18744.223584359373</v>
      </c>
    </row>
    <row r="134" spans="2:18" ht="15.75">
      <c r="B134" s="5"/>
      <c r="C134" s="5"/>
      <c r="F134" s="4"/>
      <c r="G134" s="40"/>
      <c r="J134" s="10"/>
      <c r="K134" s="13"/>
      <c r="L134" s="13"/>
      <c r="M134" s="148" t="s">
        <v>221</v>
      </c>
      <c r="N134" s="391" t="s">
        <v>60</v>
      </c>
      <c r="O134" s="353">
        <f>SUM(O123:O133)</f>
        <v>9261.5726883125</v>
      </c>
      <c r="P134" s="353"/>
      <c r="Q134" s="378" t="s">
        <v>60</v>
      </c>
      <c r="R134" s="398" t="s">
        <v>60</v>
      </c>
    </row>
    <row r="135" spans="2:19" ht="16.5" thickBot="1">
      <c r="B135" s="5"/>
      <c r="C135" s="5"/>
      <c r="L135" s="5"/>
      <c r="M135" s="148" t="s">
        <v>220</v>
      </c>
      <c r="N135" s="392" t="s">
        <v>60</v>
      </c>
      <c r="O135" s="320" t="s">
        <v>60</v>
      </c>
      <c r="P135" s="321">
        <f>SUM(P123:P133)</f>
        <v>110007.34353564064</v>
      </c>
      <c r="Q135" s="359">
        <f>SUM(Q123:Q133)</f>
        <v>48037.604999999996</v>
      </c>
      <c r="R135" s="322">
        <f>SUM(Q135:Q135,P135)</f>
        <v>158044.94853564064</v>
      </c>
      <c r="S135" s="10"/>
    </row>
    <row r="136" spans="2:18" ht="15.75">
      <c r="B136" s="62"/>
      <c r="C136" s="5"/>
      <c r="D136" s="5"/>
      <c r="L136" s="5"/>
      <c r="M136" s="5"/>
      <c r="N136" s="5"/>
      <c r="O136" s="5"/>
      <c r="P136" s="5"/>
      <c r="Q136" s="5"/>
      <c r="R136" s="5"/>
    </row>
    <row r="137" spans="2:4" ht="15.75">
      <c r="B137" s="62"/>
      <c r="C137" s="5"/>
      <c r="D137" s="5"/>
    </row>
    <row r="138" spans="2:4" ht="15.75">
      <c r="B138" s="5"/>
      <c r="C138" s="5"/>
      <c r="D138" s="62"/>
    </row>
    <row r="139" spans="2:4" ht="15.75">
      <c r="B139" s="5"/>
      <c r="C139" s="5"/>
      <c r="D139" s="5"/>
    </row>
    <row r="140" spans="2:4" ht="15.75">
      <c r="B140" s="5"/>
      <c r="C140" s="5"/>
      <c r="D140" s="62"/>
    </row>
    <row r="141" spans="2:4" ht="15.75">
      <c r="B141" s="5"/>
      <c r="C141" s="5"/>
      <c r="D141" s="62"/>
    </row>
    <row r="142" spans="2:4" ht="15.75">
      <c r="B142" s="5"/>
      <c r="C142" s="5"/>
      <c r="D142" s="62"/>
    </row>
    <row r="143" spans="2:4" ht="15.75">
      <c r="B143" s="62"/>
      <c r="C143" s="5"/>
      <c r="D143" s="5"/>
    </row>
    <row r="144" spans="2:4" ht="15.75">
      <c r="B144" s="5"/>
      <c r="C144" s="5"/>
      <c r="D144" s="5"/>
    </row>
    <row r="145" spans="2:4" ht="15.75">
      <c r="B145" s="5"/>
      <c r="C145" s="5"/>
      <c r="D145" s="5"/>
    </row>
    <row r="146" ht="15.75">
      <c r="D146" s="62"/>
    </row>
    <row r="147" ht="15.75">
      <c r="D147" s="62"/>
    </row>
    <row r="148" ht="15.75">
      <c r="D148" s="62"/>
    </row>
    <row r="149" ht="15.75">
      <c r="D149" s="62"/>
    </row>
    <row r="150" ht="15.75">
      <c r="D150" s="62"/>
    </row>
    <row r="151" ht="15.75">
      <c r="D151" s="62"/>
    </row>
    <row r="152" ht="15.75">
      <c r="D152" s="62"/>
    </row>
    <row r="153" ht="15.75">
      <c r="D153" s="62"/>
    </row>
    <row r="154" ht="15.75">
      <c r="D154" s="62"/>
    </row>
    <row r="155" ht="15.75">
      <c r="D155" s="5"/>
    </row>
    <row r="156" ht="15.75">
      <c r="D156" s="62"/>
    </row>
    <row r="157" ht="15.75">
      <c r="D157" s="62"/>
    </row>
    <row r="158" ht="15.75">
      <c r="D158" s="5"/>
    </row>
    <row r="159" ht="15.75">
      <c r="D159" s="5"/>
    </row>
  </sheetData>
  <mergeCells count="23">
    <mergeCell ref="K69:O69"/>
    <mergeCell ref="F69:J69"/>
    <mergeCell ref="F25:N25"/>
    <mergeCell ref="F5:N5"/>
    <mergeCell ref="F20:N20"/>
    <mergeCell ref="F21:N21"/>
    <mergeCell ref="F22:N22"/>
    <mergeCell ref="F23:N23"/>
    <mergeCell ref="F24:N24"/>
    <mergeCell ref="F6:N6"/>
    <mergeCell ref="F7:N7"/>
    <mergeCell ref="F8:N8"/>
    <mergeCell ref="F9:N9"/>
    <mergeCell ref="F10:N10"/>
    <mergeCell ref="F11:N11"/>
    <mergeCell ref="F12:N12"/>
    <mergeCell ref="F18:N18"/>
    <mergeCell ref="F19:N19"/>
    <mergeCell ref="F13:N13"/>
    <mergeCell ref="F14:N14"/>
    <mergeCell ref="F15:N15"/>
    <mergeCell ref="F16:N16"/>
    <mergeCell ref="F17:N17"/>
  </mergeCells>
  <printOptions/>
  <pageMargins left="0.25" right="0.25" top="0.75" bottom="0.75" header="0.3" footer="0.3"/>
  <pageSetup fitToHeight="2" fitToWidth="2" horizontalDpi="600" verticalDpi="600" orientation="landscape" pageOrder="overThenDown" paperSize="17" scale="33" r:id="rId6"/>
  <headerFooter alignWithMargins="0">
    <oddFooter>&amp;C&amp;F
&amp;   Reclamation and O&amp;&amp;M Costs Sheet 1
&amp;
Page &amp;P of &amp;N</oddFooter>
  </headerFooter>
  <rowBreaks count="2" manualBreakCount="2">
    <brk id="41" min="3" max="16383" man="1"/>
    <brk id="92" min="3" max="16383" man="1"/>
  </rowBreaks>
  <colBreaks count="1" manualBreakCount="1">
    <brk id="22" max="16383" man="1"/>
  </colBreaks>
  <drawing r:id="rId4"/>
  <legacyDrawing r:id="rId3"/>
  <oleObjects>
    <mc:AlternateContent xmlns:mc="http://schemas.openxmlformats.org/markup-compatibility/2006">
      <mc:Choice Requires="x14">
        <oleObject progId="Equation.3" shapeId="1029" r:id="rId2">
          <objectPr r:id="rId5">
            <anchor>
              <from>
                <xdr:col>13</xdr:col>
                <xdr:colOff>971550</xdr:colOff>
                <xdr:row>42</xdr:row>
                <xdr:rowOff>47625</xdr:rowOff>
              </from>
              <to>
                <xdr:col>14</xdr:col>
                <xdr:colOff>1266825</xdr:colOff>
                <xdr:row>44</xdr:row>
                <xdr:rowOff>257175</xdr:rowOff>
              </to>
            </anchor>
          </objectPr>
        </oleObject>
      </mc:Choice>
      <mc:Fallback>
        <oleObject progId="Equation.3" shapeId="1029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view="pageBreakPreview" zoomScale="60" workbookViewId="0" topLeftCell="A1">
      <selection activeCell="C28" sqref="C28"/>
    </sheetView>
  </sheetViews>
  <sheetFormatPr defaultColWidth="8.00390625" defaultRowHeight="15.75"/>
  <cols>
    <col min="1" max="1" width="2.25390625" style="63" customWidth="1"/>
    <col min="2" max="2" width="16.00390625" style="63" customWidth="1"/>
    <col min="3" max="4" width="9.125" style="63" customWidth="1"/>
    <col min="5" max="5" width="9.625" style="63" customWidth="1"/>
    <col min="6" max="6" width="10.375" style="63" bestFit="1" customWidth="1"/>
    <col min="7" max="7" width="12.625" style="63" customWidth="1"/>
    <col min="8" max="8" width="11.75390625" style="63" customWidth="1"/>
    <col min="9" max="10" width="7.125" style="63" bestFit="1" customWidth="1"/>
    <col min="11" max="11" width="8.00390625" style="63" bestFit="1" customWidth="1"/>
    <col min="12" max="12" width="9.375" style="63" customWidth="1"/>
    <col min="13" max="13" width="9.00390625" style="63" customWidth="1"/>
    <col min="14" max="14" width="9.50390625" style="63" customWidth="1"/>
    <col min="15" max="15" width="12.00390625" style="63" customWidth="1"/>
    <col min="16" max="16" width="5.50390625" style="63" customWidth="1"/>
    <col min="17" max="16384" width="8.00390625" style="63" customWidth="1"/>
  </cols>
  <sheetData>
    <row r="1" spans="2:15" ht="15.75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278" t="str">
        <f>'3 WM cash flow'!X2</f>
        <v>Cobre Mining Company</v>
      </c>
    </row>
    <row r="2" spans="2:15" ht="15.75">
      <c r="B2" s="289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61"/>
      <c r="O2" s="277" t="s">
        <v>346</v>
      </c>
    </row>
    <row r="3" spans="2:15" ht="16.5" thickBot="1">
      <c r="B3" s="197" t="s">
        <v>262</v>
      </c>
      <c r="C3" s="187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1"/>
      <c r="O3" s="279">
        <f>'3 WM cash flow'!X4</f>
        <v>41920</v>
      </c>
    </row>
    <row r="4" spans="2:15" ht="18.75" customHeight="1" thickBot="1">
      <c r="B4" s="422" t="s">
        <v>2</v>
      </c>
      <c r="C4" s="423"/>
      <c r="D4" s="423"/>
      <c r="E4" s="423"/>
      <c r="F4" s="424"/>
      <c r="G4" s="422" t="s">
        <v>3</v>
      </c>
      <c r="H4" s="423"/>
      <c r="I4" s="423"/>
      <c r="J4" s="423"/>
      <c r="K4" s="423"/>
      <c r="L4" s="424"/>
      <c r="M4" s="163"/>
      <c r="N4" s="161"/>
      <c r="O4" s="161"/>
    </row>
    <row r="5" spans="2:15" ht="66" customHeight="1">
      <c r="B5" s="260" t="s">
        <v>263</v>
      </c>
      <c r="C5" s="261" t="s">
        <v>195</v>
      </c>
      <c r="D5" s="261" t="s">
        <v>190</v>
      </c>
      <c r="E5" s="261" t="s">
        <v>212</v>
      </c>
      <c r="F5" s="261" t="s">
        <v>264</v>
      </c>
      <c r="G5" s="262" t="s">
        <v>265</v>
      </c>
      <c r="H5" s="159" t="s">
        <v>194</v>
      </c>
      <c r="I5" s="159" t="s">
        <v>196</v>
      </c>
      <c r="J5" s="159" t="s">
        <v>191</v>
      </c>
      <c r="K5" s="159" t="s">
        <v>192</v>
      </c>
      <c r="L5" s="160" t="s">
        <v>193</v>
      </c>
      <c r="M5" s="263" t="s">
        <v>197</v>
      </c>
      <c r="N5" s="161"/>
      <c r="O5" s="161"/>
    </row>
    <row r="6" spans="2:15" ht="13.5" thickBot="1">
      <c r="B6" s="66">
        <f>1/'2 Sampling Cost'!L13</f>
        <v>0.14285714285714285</v>
      </c>
      <c r="C6" s="120">
        <f>'Unit Cost Table'!$C$41</f>
        <v>70</v>
      </c>
      <c r="D6" s="120">
        <f>ROUND(B6*C6,0)</f>
        <v>10</v>
      </c>
      <c r="E6" s="120">
        <f>'Unit Cost Table'!$C$40</f>
        <v>230</v>
      </c>
      <c r="F6" s="67">
        <f>E6+D6</f>
        <v>240</v>
      </c>
      <c r="G6" s="154">
        <v>1</v>
      </c>
      <c r="H6" s="155">
        <v>0.5</v>
      </c>
      <c r="I6" s="156">
        <f>'Unit Cost Table'!C38</f>
        <v>60</v>
      </c>
      <c r="J6" s="157">
        <v>0.1</v>
      </c>
      <c r="K6" s="156">
        <f>'Unit Cost Table'!C39</f>
        <v>70</v>
      </c>
      <c r="L6" s="158">
        <f>ROUND(((G6+H6)*I6)+(J6*K6),-1)</f>
        <v>100</v>
      </c>
      <c r="M6" s="153">
        <f>ROUND(F6+L6,0)</f>
        <v>340</v>
      </c>
      <c r="N6" s="161"/>
      <c r="O6" s="161"/>
    </row>
    <row r="7" spans="2:15" ht="15.75">
      <c r="B7" s="164" t="s">
        <v>354</v>
      </c>
      <c r="C7" s="164"/>
      <c r="D7" s="164"/>
      <c r="E7" s="188"/>
      <c r="F7" s="188"/>
      <c r="G7" s="188"/>
      <c r="H7" s="188"/>
      <c r="I7" s="188"/>
      <c r="J7" s="188"/>
      <c r="K7" s="188"/>
      <c r="L7" s="188"/>
      <c r="M7" s="188"/>
      <c r="N7" s="161"/>
      <c r="O7" s="161"/>
    </row>
    <row r="8" spans="2:15" ht="15.75">
      <c r="B8" s="101"/>
      <c r="C8" s="189"/>
      <c r="D8" s="189"/>
      <c r="E8" s="190"/>
      <c r="F8" s="190"/>
      <c r="G8" s="190"/>
      <c r="H8" s="190"/>
      <c r="I8" s="190"/>
      <c r="J8" s="190"/>
      <c r="K8" s="190"/>
      <c r="L8" s="190"/>
      <c r="M8" s="190"/>
      <c r="N8" s="161"/>
      <c r="O8" s="161"/>
    </row>
    <row r="9" spans="2:15" s="49" customFormat="1" ht="13.5" thickBot="1">
      <c r="B9" s="165" t="s">
        <v>67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2:15" s="50" customFormat="1" ht="12.75" customHeight="1">
      <c r="B10" s="167"/>
      <c r="C10" s="419" t="s">
        <v>68</v>
      </c>
      <c r="D10" s="420"/>
      <c r="E10" s="421"/>
      <c r="F10" s="419" t="s">
        <v>69</v>
      </c>
      <c r="G10" s="420"/>
      <c r="H10" s="421"/>
      <c r="I10" s="419" t="s">
        <v>74</v>
      </c>
      <c r="J10" s="420"/>
      <c r="K10" s="421"/>
      <c r="L10" s="168"/>
      <c r="M10" s="151" t="s">
        <v>155</v>
      </c>
      <c r="N10" s="167"/>
      <c r="O10" s="169" t="s">
        <v>72</v>
      </c>
    </row>
    <row r="11" spans="2:15" s="50" customFormat="1" ht="12.75" customHeight="1">
      <c r="B11" s="170"/>
      <c r="C11" s="171"/>
      <c r="D11" s="172" t="s">
        <v>70</v>
      </c>
      <c r="E11" s="173"/>
      <c r="F11" s="171"/>
      <c r="G11" s="172" t="s">
        <v>70</v>
      </c>
      <c r="H11" s="173"/>
      <c r="I11" s="171"/>
      <c r="J11" s="172" t="s">
        <v>70</v>
      </c>
      <c r="K11" s="173"/>
      <c r="L11" s="174" t="s">
        <v>71</v>
      </c>
      <c r="M11" s="152" t="s">
        <v>198</v>
      </c>
      <c r="N11" s="170" t="s">
        <v>0</v>
      </c>
      <c r="O11" s="175" t="s">
        <v>0</v>
      </c>
    </row>
    <row r="12" spans="2:15" s="50" customFormat="1" ht="12.75" customHeight="1">
      <c r="B12" s="176" t="s">
        <v>49</v>
      </c>
      <c r="C12" s="177" t="s">
        <v>4</v>
      </c>
      <c r="D12" s="178" t="s">
        <v>5</v>
      </c>
      <c r="E12" s="179" t="s">
        <v>5</v>
      </c>
      <c r="F12" s="177" t="s">
        <v>4</v>
      </c>
      <c r="G12" s="178" t="s">
        <v>5</v>
      </c>
      <c r="H12" s="179" t="s">
        <v>5</v>
      </c>
      <c r="I12" s="177" t="s">
        <v>4</v>
      </c>
      <c r="J12" s="178" t="s">
        <v>5</v>
      </c>
      <c r="K12" s="179" t="s">
        <v>5</v>
      </c>
      <c r="L12" s="180" t="s">
        <v>73</v>
      </c>
      <c r="M12" s="192" t="s">
        <v>199</v>
      </c>
      <c r="N12" s="191" t="s">
        <v>266</v>
      </c>
      <c r="O12" s="264" t="s">
        <v>50</v>
      </c>
    </row>
    <row r="13" spans="1:15" s="50" customFormat="1" ht="15.75">
      <c r="A13" s="49" t="s">
        <v>200</v>
      </c>
      <c r="B13" s="181" t="str">
        <f>'1 Reclamation and O&amp;M costs'!O23&amp;"-"&amp;'1 Reclamation and O&amp;M costs'!O24</f>
        <v>0-5</v>
      </c>
      <c r="C13" s="171">
        <v>1</v>
      </c>
      <c r="D13" s="174"/>
      <c r="E13" s="173"/>
      <c r="F13" s="171">
        <v>4</v>
      </c>
      <c r="G13" s="174"/>
      <c r="H13" s="173"/>
      <c r="I13" s="171">
        <v>2</v>
      </c>
      <c r="J13" s="174"/>
      <c r="K13" s="173"/>
      <c r="L13" s="174">
        <f>SUM(C13:K13)</f>
        <v>7</v>
      </c>
      <c r="M13" s="65">
        <v>4</v>
      </c>
      <c r="N13" s="182">
        <f>'2 Sampling Cost'!$M$6</f>
        <v>340</v>
      </c>
      <c r="O13" s="183">
        <f>(C13+F13+I13)*$N$13*M13</f>
        <v>9520</v>
      </c>
    </row>
    <row r="14" spans="1:15" s="50" customFormat="1" ht="15.75">
      <c r="A14" s="49" t="s">
        <v>65</v>
      </c>
      <c r="B14" s="181" t="str">
        <f>'1 Reclamation and O&amp;M costs'!O24&amp;" - "&amp;'1 Reclamation and O&amp;M costs'!O25</f>
        <v>5 - 12</v>
      </c>
      <c r="C14" s="171"/>
      <c r="D14" s="174">
        <v>1</v>
      </c>
      <c r="E14" s="173"/>
      <c r="F14" s="171"/>
      <c r="G14" s="174">
        <v>4</v>
      </c>
      <c r="H14" s="173"/>
      <c r="I14" s="171"/>
      <c r="J14" s="174">
        <v>2</v>
      </c>
      <c r="K14" s="173"/>
      <c r="L14" s="174">
        <f>SUM(C14:K14)</f>
        <v>7</v>
      </c>
      <c r="M14" s="65">
        <v>2</v>
      </c>
      <c r="N14" s="182">
        <f>'2 Sampling Cost'!$M$6</f>
        <v>340</v>
      </c>
      <c r="O14" s="183">
        <f>(D14+G14+J14)*$N$14*M14</f>
        <v>4760</v>
      </c>
    </row>
    <row r="15" spans="1:15" s="50" customFormat="1" ht="13.5" thickBot="1">
      <c r="A15" s="49" t="s">
        <v>66</v>
      </c>
      <c r="B15" s="181" t="str">
        <f>'1 Reclamation and O&amp;M costs'!O25&amp;"-99"</f>
        <v>12-99</v>
      </c>
      <c r="C15" s="171"/>
      <c r="D15" s="174"/>
      <c r="E15" s="173">
        <v>1</v>
      </c>
      <c r="F15" s="171"/>
      <c r="G15" s="174"/>
      <c r="H15" s="173">
        <v>4</v>
      </c>
      <c r="I15" s="171"/>
      <c r="J15" s="174"/>
      <c r="K15" s="173">
        <v>2</v>
      </c>
      <c r="L15" s="174">
        <f>SUM(C15:K15)</f>
        <v>7</v>
      </c>
      <c r="M15" s="65">
        <v>1</v>
      </c>
      <c r="N15" s="182">
        <f>'2 Sampling Cost'!$M$6</f>
        <v>340</v>
      </c>
      <c r="O15" s="183">
        <f>(E15+H15+K15)*$N$15*M15</f>
        <v>2380</v>
      </c>
    </row>
    <row r="16" spans="2:16" s="49" customFormat="1" ht="13.5" thickBot="1">
      <c r="B16" s="184"/>
      <c r="C16" s="185"/>
      <c r="D16" s="185"/>
      <c r="E16" s="186"/>
      <c r="F16" s="185"/>
      <c r="G16" s="186"/>
      <c r="H16" s="186"/>
      <c r="I16" s="185"/>
      <c r="J16" s="185"/>
      <c r="K16" s="186"/>
      <c r="L16" s="186"/>
      <c r="M16" s="186"/>
      <c r="N16" s="193" t="s">
        <v>267</v>
      </c>
      <c r="O16" s="194">
        <f>O13*('1 Reclamation and O&amp;M costs'!O24-'1 Reclamation and O&amp;M costs'!O23)+O14*('1 Reclamation and O&amp;M costs'!O25-'1 Reclamation and O&amp;M costs'!O24)+O15*(100-'1 Reclamation and O&amp;M costs'!O25)</f>
        <v>290360</v>
      </c>
      <c r="P16" s="70"/>
    </row>
    <row r="17" spans="2:16" ht="16.5">
      <c r="B17" s="101"/>
      <c r="C17" s="64"/>
      <c r="D17" s="64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ht="15.75">
      <c r="B18" s="68" t="s">
        <v>156</v>
      </c>
    </row>
    <row r="19" spans="2:6" ht="15.75">
      <c r="B19" s="63" t="str">
        <f>'Unit Cost Table'!H40</f>
        <v xml:space="preserve">23 Constituents.  Energy Laboratories, Inc., 2013.  Published price list (www.energylab.com).  </v>
      </c>
      <c r="F19" s="92"/>
    </row>
    <row r="20" spans="2:4" ht="15.75">
      <c r="B20" s="63" t="s">
        <v>128</v>
      </c>
      <c r="C20" s="97">
        <v>10</v>
      </c>
      <c r="D20" s="98"/>
    </row>
    <row r="21" spans="2:17" ht="15.75">
      <c r="B21" s="63" t="s">
        <v>129</v>
      </c>
      <c r="C21" s="97">
        <v>10</v>
      </c>
      <c r="D21" s="98"/>
      <c r="I21" s="93"/>
      <c r="J21" s="93"/>
      <c r="K21" s="93"/>
      <c r="L21" s="93"/>
      <c r="M21" s="93"/>
      <c r="N21" s="93"/>
      <c r="O21" s="93"/>
      <c r="P21" s="93"/>
      <c r="Q21" s="64"/>
    </row>
    <row r="22" spans="2:17" ht="15.75">
      <c r="B22" s="63" t="s">
        <v>130</v>
      </c>
      <c r="C22" s="97">
        <v>10</v>
      </c>
      <c r="D22" s="98"/>
      <c r="I22" s="94"/>
      <c r="J22" s="94"/>
      <c r="K22" s="94"/>
      <c r="L22" s="95"/>
      <c r="M22" s="96"/>
      <c r="N22" s="95"/>
      <c r="O22" s="95"/>
      <c r="P22" s="95"/>
      <c r="Q22" s="64"/>
    </row>
    <row r="23" spans="2:17" ht="15.75">
      <c r="B23" s="63" t="s">
        <v>131</v>
      </c>
      <c r="C23" s="97">
        <v>10</v>
      </c>
      <c r="D23" s="98"/>
      <c r="I23" s="64"/>
      <c r="J23" s="64"/>
      <c r="K23" s="64"/>
      <c r="L23" s="64"/>
      <c r="M23" s="64"/>
      <c r="N23" s="64"/>
      <c r="O23" s="64"/>
      <c r="P23" s="64"/>
      <c r="Q23" s="64"/>
    </row>
    <row r="24" spans="2:17" ht="15.75">
      <c r="B24" s="63" t="s">
        <v>132</v>
      </c>
      <c r="C24" s="97">
        <v>10</v>
      </c>
      <c r="D24" s="98"/>
      <c r="I24" s="64"/>
      <c r="J24" s="64"/>
      <c r="K24" s="64"/>
      <c r="L24" s="64"/>
      <c r="M24" s="64"/>
      <c r="N24" s="64"/>
      <c r="O24" s="64"/>
      <c r="P24" s="64"/>
      <c r="Q24" s="64"/>
    </row>
    <row r="25" spans="2:4" ht="15.75">
      <c r="B25" s="63" t="s">
        <v>133</v>
      </c>
      <c r="C25" s="97">
        <v>10</v>
      </c>
      <c r="D25" s="98"/>
    </row>
    <row r="26" spans="2:4" ht="15.75">
      <c r="B26" s="63" t="s">
        <v>135</v>
      </c>
      <c r="C26" s="97">
        <v>0</v>
      </c>
      <c r="D26" s="99" t="s">
        <v>134</v>
      </c>
    </row>
    <row r="27" spans="2:4" ht="15.75">
      <c r="B27" s="63" t="s">
        <v>136</v>
      </c>
      <c r="C27" s="97">
        <v>10</v>
      </c>
      <c r="D27" s="100"/>
    </row>
    <row r="28" spans="2:4" ht="15.75">
      <c r="B28" s="63" t="s">
        <v>137</v>
      </c>
      <c r="C28" s="97">
        <v>10</v>
      </c>
      <c r="D28" s="100"/>
    </row>
    <row r="29" spans="2:4" ht="15.75">
      <c r="B29" s="63" t="s">
        <v>138</v>
      </c>
      <c r="C29" s="97">
        <v>10</v>
      </c>
      <c r="D29" s="100"/>
    </row>
    <row r="30" spans="2:4" ht="15.75">
      <c r="B30" s="63" t="s">
        <v>139</v>
      </c>
      <c r="C30" s="97">
        <v>10</v>
      </c>
      <c r="D30" s="100"/>
    </row>
    <row r="31" spans="2:4" ht="15.75">
      <c r="B31" s="63" t="s">
        <v>140</v>
      </c>
      <c r="C31" s="97">
        <v>5</v>
      </c>
      <c r="D31" s="99" t="s">
        <v>209</v>
      </c>
    </row>
    <row r="32" spans="2:4" ht="15.75">
      <c r="B32" s="63" t="s">
        <v>141</v>
      </c>
      <c r="C32" s="97">
        <v>15</v>
      </c>
      <c r="D32" s="98"/>
    </row>
    <row r="33" spans="2:4" ht="15.75">
      <c r="B33" s="63" t="s">
        <v>142</v>
      </c>
      <c r="C33" s="97">
        <v>10</v>
      </c>
      <c r="D33" s="98"/>
    </row>
    <row r="34" spans="2:4" ht="15.75">
      <c r="B34" s="63" t="s">
        <v>143</v>
      </c>
      <c r="C34" s="97">
        <v>10</v>
      </c>
      <c r="D34" s="98"/>
    </row>
    <row r="35" spans="2:4" ht="15.75">
      <c r="B35" s="63" t="s">
        <v>144</v>
      </c>
      <c r="C35" s="97">
        <v>10</v>
      </c>
      <c r="D35" s="98"/>
    </row>
    <row r="36" spans="2:4" ht="15.75">
      <c r="B36" s="63" t="s">
        <v>145</v>
      </c>
      <c r="C36" s="97">
        <v>10</v>
      </c>
      <c r="D36" s="98"/>
    </row>
    <row r="37" spans="2:4" ht="15.75">
      <c r="B37" s="63" t="s">
        <v>146</v>
      </c>
      <c r="C37" s="97">
        <v>10</v>
      </c>
      <c r="D37" s="98"/>
    </row>
    <row r="38" spans="2:4" ht="15.75">
      <c r="B38" s="63" t="s">
        <v>147</v>
      </c>
      <c r="C38" s="97">
        <v>10</v>
      </c>
      <c r="D38" s="98"/>
    </row>
    <row r="39" spans="2:4" ht="15.75">
      <c r="B39" s="63" t="s">
        <v>148</v>
      </c>
      <c r="C39" s="97">
        <v>10</v>
      </c>
      <c r="D39" s="98"/>
    </row>
    <row r="40" spans="2:4" ht="15.75">
      <c r="B40" s="63" t="s">
        <v>149</v>
      </c>
      <c r="C40" s="97">
        <v>10</v>
      </c>
      <c r="D40" s="98"/>
    </row>
    <row r="41" spans="2:4" ht="15.75">
      <c r="B41" s="63" t="s">
        <v>150</v>
      </c>
      <c r="C41" s="97">
        <v>20</v>
      </c>
      <c r="D41" s="98"/>
    </row>
    <row r="42" spans="2:4" ht="15.75">
      <c r="B42" s="63" t="s">
        <v>151</v>
      </c>
      <c r="C42" s="97">
        <v>10</v>
      </c>
      <c r="D42" s="98"/>
    </row>
    <row r="43" ht="15.75">
      <c r="C43" s="69"/>
    </row>
    <row r="44" ht="15.75">
      <c r="C44" s="69">
        <f>SUM(C20:C42)</f>
        <v>230</v>
      </c>
    </row>
  </sheetData>
  <mergeCells count="5">
    <mergeCell ref="C10:E10"/>
    <mergeCell ref="F10:H10"/>
    <mergeCell ref="I10:K10"/>
    <mergeCell ref="B4:F4"/>
    <mergeCell ref="G4:L4"/>
  </mergeCells>
  <printOptions horizontalCentered="1"/>
  <pageMargins left="0.5" right="0.5" top="1" bottom="1" header="0.5" footer="0.5"/>
  <pageSetup fitToHeight="1" fitToWidth="1" horizontalDpi="600" verticalDpi="600" orientation="landscape" scale="76" r:id="rId1"/>
  <headerFooter alignWithMargins="0">
    <oddFooter>&amp;C&amp;F
&amp;   Sampling Costs Sheet 2
&amp;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59"/>
  <sheetViews>
    <sheetView view="pageBreakPreview" zoomScale="40" zoomScaleSheetLayoutView="40" workbookViewId="0" topLeftCell="A1">
      <pane ySplit="15" topLeftCell="A61" activePane="bottomLeft" state="frozen"/>
      <selection pane="topLeft" activeCell="C28" sqref="C28"/>
      <selection pane="bottomLeft" activeCell="C28" sqref="C28"/>
    </sheetView>
  </sheetViews>
  <sheetFormatPr defaultColWidth="8.00390625" defaultRowHeight="15.75"/>
  <cols>
    <col min="1" max="1" width="4.625" style="18" customWidth="1"/>
    <col min="2" max="3" width="10.125" style="18" customWidth="1"/>
    <col min="4" max="4" width="13.375" style="18" customWidth="1"/>
    <col min="5" max="5" width="6.375" style="18" customWidth="1"/>
    <col min="6" max="6" width="9.25390625" style="18" customWidth="1"/>
    <col min="7" max="7" width="16.25390625" style="18" customWidth="1"/>
    <col min="8" max="8" width="9.25390625" style="18" customWidth="1"/>
    <col min="9" max="9" width="14.875" style="18" customWidth="1"/>
    <col min="10" max="10" width="11.50390625" style="18" customWidth="1"/>
    <col min="11" max="11" width="6.375" style="18" customWidth="1"/>
    <col min="12" max="14" width="10.25390625" style="18" customWidth="1"/>
    <col min="15" max="15" width="10.125" style="18" bestFit="1" customWidth="1"/>
    <col min="16" max="18" width="8.00390625" style="18" customWidth="1"/>
    <col min="19" max="19" width="10.125" style="18" bestFit="1" customWidth="1"/>
    <col min="20" max="20" width="8.00390625" style="18" customWidth="1"/>
    <col min="21" max="21" width="9.00390625" style="18" customWidth="1"/>
    <col min="22" max="22" width="8.875" style="18" bestFit="1" customWidth="1"/>
    <col min="23" max="23" width="10.50390625" style="18" customWidth="1"/>
    <col min="24" max="24" width="11.00390625" style="18" customWidth="1"/>
    <col min="25" max="25" width="9.00390625" style="18" customWidth="1"/>
    <col min="26" max="26" width="10.00390625" style="18" customWidth="1"/>
    <col min="27" max="16384" width="8.00390625" style="18" customWidth="1"/>
  </cols>
  <sheetData>
    <row r="2" spans="2:24" ht="15">
      <c r="B2" s="16"/>
      <c r="C2" s="16"/>
      <c r="D2" s="17"/>
      <c r="F2" s="17"/>
      <c r="G2" s="17"/>
      <c r="H2" s="17"/>
      <c r="I2" s="17"/>
      <c r="L2" s="20"/>
      <c r="M2" s="20"/>
      <c r="N2" s="20"/>
      <c r="X2" s="275" t="str">
        <f>'4 Summary'!E1</f>
        <v>Cobre Mining Company</v>
      </c>
    </row>
    <row r="3" spans="2:24" ht="15">
      <c r="B3" s="289"/>
      <c r="C3" s="16"/>
      <c r="D3" s="17"/>
      <c r="F3" s="17"/>
      <c r="G3" s="17"/>
      <c r="H3" s="17"/>
      <c r="I3" s="17"/>
      <c r="J3" s="19"/>
      <c r="L3" s="20"/>
      <c r="M3" s="20"/>
      <c r="N3" s="20"/>
      <c r="X3" s="277" t="s">
        <v>347</v>
      </c>
    </row>
    <row r="4" spans="2:24" ht="15">
      <c r="B4" s="21" t="s">
        <v>342</v>
      </c>
      <c r="C4" s="21"/>
      <c r="D4" s="17"/>
      <c r="F4" s="17"/>
      <c r="G4" s="17"/>
      <c r="H4" s="17"/>
      <c r="I4" s="17"/>
      <c r="L4" s="60"/>
      <c r="M4" s="60"/>
      <c r="N4" s="60"/>
      <c r="X4" s="276">
        <f>'4 Summary'!E3</f>
        <v>41920</v>
      </c>
    </row>
    <row r="5" spans="2:11" ht="15.75">
      <c r="B5" s="17"/>
      <c r="C5" s="17"/>
      <c r="F5" s="17"/>
      <c r="G5" s="17"/>
      <c r="H5" s="17"/>
      <c r="I5" s="17"/>
      <c r="K5" s="17"/>
    </row>
    <row r="6" spans="2:11" ht="15.75">
      <c r="B6" s="17"/>
      <c r="C6" s="17"/>
      <c r="F6" s="17"/>
      <c r="G6" s="17"/>
      <c r="H6" s="17"/>
      <c r="I6" s="17"/>
      <c r="K6" s="17"/>
    </row>
    <row r="7" spans="2:11" ht="15.75">
      <c r="B7" s="17"/>
      <c r="G7" s="29" t="s">
        <v>278</v>
      </c>
      <c r="H7" s="74">
        <f>'4 Summary'!$C$19</f>
        <v>0.28300000000000003</v>
      </c>
      <c r="I7" s="17"/>
      <c r="K7" s="17"/>
    </row>
    <row r="8" spans="2:11" ht="15.75">
      <c r="B8" s="17"/>
      <c r="G8" s="29" t="s">
        <v>279</v>
      </c>
      <c r="H8" s="28">
        <f>'4 Summary'!$C$28</f>
        <v>0.17</v>
      </c>
      <c r="I8" s="17"/>
      <c r="K8" s="17"/>
    </row>
    <row r="9" spans="2:11" ht="15.75">
      <c r="B9" s="17"/>
      <c r="G9" s="20" t="s">
        <v>280</v>
      </c>
      <c r="H9" s="28">
        <v>0</v>
      </c>
      <c r="I9" s="17"/>
      <c r="J9" s="17"/>
      <c r="K9" s="17"/>
    </row>
    <row r="10" spans="2:11" ht="15.75">
      <c r="B10" s="17"/>
      <c r="C10" s="17"/>
      <c r="D10" s="17"/>
      <c r="E10" s="28"/>
      <c r="F10" s="17"/>
      <c r="G10" s="17"/>
      <c r="H10" s="17"/>
      <c r="I10" s="17"/>
      <c r="J10" s="17"/>
      <c r="K10" s="17"/>
    </row>
    <row r="11" spans="2:28" ht="15.75">
      <c r="B11" s="27" t="s">
        <v>52</v>
      </c>
      <c r="C11" s="27"/>
      <c r="D11" s="17"/>
      <c r="E11" s="17"/>
      <c r="F11" s="27" t="s">
        <v>232</v>
      </c>
      <c r="G11" s="27"/>
      <c r="H11" s="27"/>
      <c r="I11" s="27"/>
      <c r="J11" s="17"/>
      <c r="K11" s="17"/>
      <c r="L11" s="27" t="s">
        <v>51</v>
      </c>
      <c r="M11" s="27"/>
      <c r="N11" s="27"/>
      <c r="O11" s="17"/>
      <c r="P11" s="17"/>
      <c r="Q11" s="27" t="s">
        <v>53</v>
      </c>
      <c r="R11" s="27"/>
      <c r="S11" s="17"/>
      <c r="T11" s="17"/>
      <c r="U11" s="27" t="s">
        <v>54</v>
      </c>
      <c r="V11" s="17"/>
      <c r="W11" s="17"/>
      <c r="X11" s="17"/>
      <c r="Y11" s="17"/>
      <c r="AB11" s="22"/>
    </row>
    <row r="12" spans="2:29" s="35" customFormat="1" ht="15.75">
      <c r="B12" s="31"/>
      <c r="C12" s="31" t="s">
        <v>55</v>
      </c>
      <c r="D12" s="32" t="s">
        <v>57</v>
      </c>
      <c r="E12" s="33"/>
      <c r="F12" s="31"/>
      <c r="G12" s="31" t="s">
        <v>55</v>
      </c>
      <c r="H12" s="31" t="s">
        <v>56</v>
      </c>
      <c r="I12" s="32" t="s">
        <v>277</v>
      </c>
      <c r="J12" s="32" t="s">
        <v>57</v>
      </c>
      <c r="K12" s="33"/>
      <c r="L12" s="31"/>
      <c r="M12" s="31" t="s">
        <v>55</v>
      </c>
      <c r="N12" s="31" t="s">
        <v>56</v>
      </c>
      <c r="O12" s="34" t="s">
        <v>58</v>
      </c>
      <c r="P12" s="34"/>
      <c r="Q12" s="31"/>
      <c r="R12" s="31" t="s">
        <v>56</v>
      </c>
      <c r="S12" s="34" t="s">
        <v>58</v>
      </c>
      <c r="T12" s="34"/>
      <c r="U12" s="31"/>
      <c r="V12" s="34"/>
      <c r="W12" s="34"/>
      <c r="X12" s="34" t="s">
        <v>316</v>
      </c>
      <c r="Y12" s="34"/>
      <c r="Z12" s="31"/>
      <c r="AB12" s="36"/>
      <c r="AC12" s="31"/>
    </row>
    <row r="13" spans="3:29" s="35" customFormat="1" ht="15.75">
      <c r="C13" s="31" t="s">
        <v>5</v>
      </c>
      <c r="D13" s="31" t="s">
        <v>5</v>
      </c>
      <c r="E13" s="33"/>
      <c r="G13" s="31" t="s">
        <v>5</v>
      </c>
      <c r="H13" s="31" t="s">
        <v>5</v>
      </c>
      <c r="I13" s="31" t="s">
        <v>5</v>
      </c>
      <c r="J13" s="31" t="s">
        <v>5</v>
      </c>
      <c r="K13" s="33"/>
      <c r="M13" s="31" t="s">
        <v>5</v>
      </c>
      <c r="N13" s="31" t="s">
        <v>5</v>
      </c>
      <c r="O13" s="31" t="s">
        <v>5</v>
      </c>
      <c r="P13" s="34"/>
      <c r="R13" s="31" t="s">
        <v>5</v>
      </c>
      <c r="S13" s="31" t="s">
        <v>5</v>
      </c>
      <c r="T13" s="34"/>
      <c r="V13" s="31" t="s">
        <v>5</v>
      </c>
      <c r="W13" s="34"/>
      <c r="X13" s="34" t="s">
        <v>317</v>
      </c>
      <c r="Y13" s="34"/>
      <c r="Z13" s="34"/>
      <c r="AB13" s="37"/>
      <c r="AC13" s="31"/>
    </row>
    <row r="14" spans="3:26" s="35" customFormat="1" ht="15.75">
      <c r="C14" s="31" t="s">
        <v>0</v>
      </c>
      <c r="D14" s="31" t="s">
        <v>0</v>
      </c>
      <c r="E14" s="33"/>
      <c r="G14" s="31" t="s">
        <v>0</v>
      </c>
      <c r="H14" s="31" t="s">
        <v>0</v>
      </c>
      <c r="I14" s="31" t="s">
        <v>0</v>
      </c>
      <c r="J14" s="31" t="s">
        <v>0</v>
      </c>
      <c r="K14" s="33"/>
      <c r="M14" s="31" t="s">
        <v>0</v>
      </c>
      <c r="N14" s="31" t="s">
        <v>0</v>
      </c>
      <c r="O14" s="31" t="s">
        <v>0</v>
      </c>
      <c r="P14" s="34"/>
      <c r="R14" s="31" t="s">
        <v>0</v>
      </c>
      <c r="S14" s="31" t="s">
        <v>0</v>
      </c>
      <c r="T14" s="34"/>
      <c r="V14" s="31" t="s">
        <v>0</v>
      </c>
      <c r="W14" s="34"/>
      <c r="X14" s="34" t="s">
        <v>318</v>
      </c>
      <c r="Y14" s="34"/>
      <c r="Z14" s="34"/>
    </row>
    <row r="15" spans="2:26" s="35" customFormat="1" ht="13.5" thickBot="1">
      <c r="B15" s="38" t="s">
        <v>49</v>
      </c>
      <c r="C15" s="38"/>
      <c r="D15" s="38" t="s">
        <v>50</v>
      </c>
      <c r="E15" s="31"/>
      <c r="F15" s="38" t="s">
        <v>49</v>
      </c>
      <c r="G15" s="38"/>
      <c r="H15" s="38"/>
      <c r="I15" s="38" t="s">
        <v>50</v>
      </c>
      <c r="J15" s="38" t="s">
        <v>50</v>
      </c>
      <c r="K15" s="31"/>
      <c r="L15" s="38" t="s">
        <v>49</v>
      </c>
      <c r="M15" s="38"/>
      <c r="N15" s="38"/>
      <c r="O15" s="38" t="s">
        <v>50</v>
      </c>
      <c r="P15" s="32"/>
      <c r="Q15" s="38" t="s">
        <v>49</v>
      </c>
      <c r="R15" s="38"/>
      <c r="S15" s="38" t="s">
        <v>50</v>
      </c>
      <c r="T15" s="32"/>
      <c r="U15" s="38" t="s">
        <v>49</v>
      </c>
      <c r="V15" s="38" t="s">
        <v>50</v>
      </c>
      <c r="W15" s="38"/>
      <c r="X15" s="39" t="s">
        <v>50</v>
      </c>
      <c r="Y15" s="32"/>
      <c r="Z15" s="39"/>
    </row>
    <row r="16" spans="2:26" ht="15.75">
      <c r="B16" s="17">
        <v>0</v>
      </c>
      <c r="C16" s="295">
        <f>SUMIF('1 Reclamation and O&amp;M costs'!$N$29:$N$38,B16,'1 Reclamation and O&amp;M costs'!$P$29:$P$38)*($H$7+1)</f>
        <v>664084.4474218825</v>
      </c>
      <c r="D16" s="296">
        <f>SUMIF('1 Reclamation and O&amp;M costs'!$M$29:$M$38,"&gt;="&amp;B16,'1 Reclamation and O&amp;M costs'!$R$29:$R$38)*($H$8+1)</f>
        <v>16726.56803003068</v>
      </c>
      <c r="E16" s="17"/>
      <c r="F16" s="17">
        <v>0</v>
      </c>
      <c r="G16" s="295">
        <f>(SUMIF('1 Reclamation and O&amp;M costs'!$J$46:$J$61,'3 WM cash flow'!F16,'1 Reclamation and O&amp;M costs'!$P$71:$P$86)+'1 Reclamation and O&amp;M costs'!P88+'1 Reclamation and O&amp;M costs'!P89)*(1+$H$7)</f>
        <v>436731.54764206434</v>
      </c>
      <c r="H16" s="296">
        <f>SUMIF('1 Reclamation and O&amp;M costs'!$I$46:$I$61,'3 WM cash flow'!F16,'1 Reclamation and O&amp;M costs'!$S$71:$S$86)*(1+$H$7)</f>
        <v>0</v>
      </c>
      <c r="I16" s="295">
        <f>(IF('3 WM cash flow'!F16&lt;=('1 Reclamation and O&amp;M costs'!$O$24-'1 Reclamation and O&amp;M costs'!$O$23),0,SUMIF('1 Reclamation and O&amp;M costs'!$I$46:$I$61,"&gt;="&amp;'3 WM cash flow'!F16,'1 Reclamation and O&amp;M costs'!$N$71:$N$86))+IF('3 WM cash flow'!F16&lt;=('1 Reclamation and O&amp;M costs'!$O$24-'1 Reclamation and O&amp;M costs'!$O$23),'1 Reclamation and O&amp;M costs'!$I$90,0))*(1+$H$9)</f>
        <v>3739.830175013255</v>
      </c>
      <c r="J16" s="296">
        <f>SUMIF('1 Reclamation and O&amp;M costs'!$I$46:$I$61,"&gt;="&amp;F16,'1 Reclamation and O&amp;M costs'!$Q$71:$Q$86)*(1+$H$8)</f>
        <v>11583</v>
      </c>
      <c r="K16" s="17"/>
      <c r="L16" s="17">
        <v>0</v>
      </c>
      <c r="M16" s="295">
        <f>SUMIF('1 Reclamation and O&amp;M costs'!$L$96:$L$113,'3 WM cash flow'!L16,'1 Reclamation and O&amp;M costs'!P96:$P$113)*(1+$H$7)</f>
        <v>0</v>
      </c>
      <c r="N16" s="296">
        <f>SUMIF('1 Reclamation and O&amp;M costs'!$K$96:$K$113,'3 WM cash flow'!L16,'1 Reclamation and O&amp;M costs'!$T$96:$T$113)*(1+$H$7)</f>
        <v>0</v>
      </c>
      <c r="O16" s="295">
        <f>SUMIF('1 Reclamation and O&amp;M costs'!$K$96:$K$113,"&gt;="&amp;B16,'1 Reclamation and O&amp;M costs'!$R$96:$R$113)*(1+$H$8)</f>
        <v>16300.77964515</v>
      </c>
      <c r="P16" s="296"/>
      <c r="Q16" s="17">
        <v>0</v>
      </c>
      <c r="R16" s="295">
        <f>SUMIF('1 Reclamation and O&amp;M costs'!$H$123:$H$133,'3 WM cash flow'!Q16,'1 Reclamation and O&amp;M costs'!$Q$123:$Q$133)*(1+$H$7)</f>
        <v>0</v>
      </c>
      <c r="S16" s="296">
        <f>SUMIF('1 Reclamation and O&amp;M costs'!$H$123:$H$133,"&gt;="&amp;Q16,'1 Reclamation and O&amp;M costs'!$O$123:$O$133)*(1+$H$8)</f>
        <v>10836.040045325626</v>
      </c>
      <c r="T16" s="24"/>
      <c r="U16" s="17">
        <v>0</v>
      </c>
      <c r="V16" s="295">
        <f>(IF(U16&lt;('1 Reclamation and O&amp;M costs'!$O$24-'1 Reclamation and O&amp;M costs'!$O$23),'2 Sampling Cost'!$O$13,IF(U16&lt;'1 Reclamation and O&amp;M costs'!$O$25,'2 Sampling Cost'!$O$14,'2 Sampling Cost'!$O$15)))*(1+$H$9)</f>
        <v>9520</v>
      </c>
      <c r="W16" s="296"/>
      <c r="X16" s="295">
        <f>SUM(V16,R16:S16,M16:O16,G16:J16,C16:D16)</f>
        <v>1169522.2129594665</v>
      </c>
      <c r="Y16" s="296"/>
      <c r="Z16" s="25"/>
    </row>
    <row r="17" spans="2:26" ht="15.75">
      <c r="B17" s="17">
        <f aca="true" t="shared" si="0" ref="B17:B49">1+B16</f>
        <v>1</v>
      </c>
      <c r="C17" s="295">
        <f>SUMIF('1 Reclamation and O&amp;M costs'!$N$29:$N$38,B17,'1 Reclamation and O&amp;M costs'!$P$29:$P$38)*($H$7+1)</f>
        <v>0</v>
      </c>
      <c r="D17" s="296">
        <f>SUMIF('1 Reclamation and O&amp;M costs'!$M$29:$M$38,"&gt;="&amp;B17,'1 Reclamation and O&amp;M costs'!$R$29:$R$38)*($H$8+1)</f>
        <v>16726.56803003068</v>
      </c>
      <c r="E17" s="17"/>
      <c r="F17" s="17">
        <f aca="true" t="shared" si="1" ref="F17:F48">1+F16</f>
        <v>1</v>
      </c>
      <c r="G17" s="295">
        <f>SUMIF('1 Reclamation and O&amp;M costs'!$J$46:$J$61,'3 WM cash flow'!F17,'1 Reclamation and O&amp;M costs'!$P$71:$P$86)*(1+$H$7)</f>
        <v>0</v>
      </c>
      <c r="H17" s="296">
        <f>SUMIF('1 Reclamation and O&amp;M costs'!$I$46:$I$61,'3 WM cash flow'!F17,'1 Reclamation and O&amp;M costs'!$S$71:$S$86)*(1+$H$7)</f>
        <v>0</v>
      </c>
      <c r="I17" s="295">
        <f>(IF('3 WM cash flow'!F17&lt;=('1 Reclamation and O&amp;M costs'!$O$24-'1 Reclamation and O&amp;M costs'!$O$23),0,SUMIF('1 Reclamation and O&amp;M costs'!$I$46:$I$61,"&gt;="&amp;'3 WM cash flow'!F17,'1 Reclamation and O&amp;M costs'!$N$71:$N$86))+IF('3 WM cash flow'!F17&lt;=('1 Reclamation and O&amp;M costs'!$O$24-'1 Reclamation and O&amp;M costs'!$O$23),'1 Reclamation and O&amp;M costs'!$I$90,0))*(1+$H$9)</f>
        <v>3739.830175013255</v>
      </c>
      <c r="J17" s="296">
        <f>SUMIF('1 Reclamation and O&amp;M costs'!$I$46:$I$61,"&gt;="&amp;F17,'1 Reclamation and O&amp;M costs'!$Q$71:$Q$86)*(1+$H$8)</f>
        <v>11583</v>
      </c>
      <c r="K17" s="17"/>
      <c r="L17" s="17">
        <f aca="true" t="shared" si="2" ref="L17:L48">L16+1</f>
        <v>1</v>
      </c>
      <c r="M17" s="295">
        <f ca="1">SUMIF('1 Reclamation and O&amp;M costs'!$L$96:$L$113,'3 WM cash flow'!L17,'1 Reclamation and O&amp;M costs'!P97:$P$113)*(1+$H$7)</f>
        <v>0</v>
      </c>
      <c r="N17" s="296">
        <f>SUMIF('1 Reclamation and O&amp;M costs'!$K$96:$K$113,'3 WM cash flow'!L17,'1 Reclamation and O&amp;M costs'!$T$96:$T$113)*(1+$H$7)</f>
        <v>0</v>
      </c>
      <c r="O17" s="295">
        <f>SUMIF('1 Reclamation and O&amp;M costs'!$K$96:$K$113,"&gt;="&amp;B17,'1 Reclamation and O&amp;M costs'!$R$96:$R$113)*(1+$H$8)</f>
        <v>16300.77964515</v>
      </c>
      <c r="P17" s="296"/>
      <c r="Q17" s="17">
        <f aca="true" t="shared" si="3" ref="Q17:Q80">Q16+1</f>
        <v>1</v>
      </c>
      <c r="R17" s="295">
        <f>SUMIF('1 Reclamation and O&amp;M costs'!$H$123:$H$133,'3 WM cash flow'!Q17,'1 Reclamation and O&amp;M costs'!$Q$123:$Q$133)*(1+$H$7)</f>
        <v>0</v>
      </c>
      <c r="S17" s="296">
        <f>SUMIF('1 Reclamation and O&amp;M costs'!$H$123:$H$133,"&gt;="&amp;Q17,'1 Reclamation and O&amp;M costs'!$O$123:$O$133)*(1+$H$8)</f>
        <v>10836.040045325626</v>
      </c>
      <c r="T17" s="24"/>
      <c r="U17" s="17">
        <f aca="true" t="shared" si="4" ref="U17:U80">U16+1</f>
        <v>1</v>
      </c>
      <c r="V17" s="295">
        <f>(IF(U17&lt;('1 Reclamation and O&amp;M costs'!$O$24-'1 Reclamation and O&amp;M costs'!$O$23),'2 Sampling Cost'!$O$13,IF(U17&lt;'1 Reclamation and O&amp;M costs'!$O$25,'2 Sampling Cost'!$O$14,'2 Sampling Cost'!$O$15)))*(1+$H$9)</f>
        <v>9520</v>
      </c>
      <c r="W17" s="296"/>
      <c r="X17" s="295">
        <f aca="true" t="shared" si="5" ref="X17:X80">SUM(V17,R17:S17,M17:O17,G17:J17,C17:D17)</f>
        <v>68706.21789551956</v>
      </c>
      <c r="Y17" s="296"/>
      <c r="Z17" s="25"/>
    </row>
    <row r="18" spans="2:26" ht="15.75">
      <c r="B18" s="17">
        <f t="shared" si="0"/>
        <v>2</v>
      </c>
      <c r="C18" s="295">
        <f>SUMIF('1 Reclamation and O&amp;M costs'!$N$29:$N$38,B18,'1 Reclamation and O&amp;M costs'!$P$29:$P$38)*($H$7+1)</f>
        <v>0</v>
      </c>
      <c r="D18" s="296">
        <f>SUMIF('1 Reclamation and O&amp;M costs'!$M$29:$M$38,"&gt;="&amp;B18,'1 Reclamation and O&amp;M costs'!$R$29:$R$38)*($H$8+1)</f>
        <v>16726.56803003068</v>
      </c>
      <c r="E18" s="17"/>
      <c r="F18" s="17">
        <f t="shared" si="1"/>
        <v>2</v>
      </c>
      <c r="G18" s="295">
        <f>SUMIF('1 Reclamation and O&amp;M costs'!$J$46:$J$61,'3 WM cash flow'!F18,'1 Reclamation and O&amp;M costs'!$P$71:$P$86)*(1+$H$7)</f>
        <v>0</v>
      </c>
      <c r="H18" s="296">
        <f>SUMIF('1 Reclamation and O&amp;M costs'!$I$46:$I$61,'3 WM cash flow'!F18,'1 Reclamation and O&amp;M costs'!$S$71:$S$86)*(1+$H$7)</f>
        <v>0</v>
      </c>
      <c r="I18" s="295">
        <f>(IF('3 WM cash flow'!F18&lt;=('1 Reclamation and O&amp;M costs'!$O$24-'1 Reclamation and O&amp;M costs'!$O$23),0,SUMIF('1 Reclamation and O&amp;M costs'!$I$46:$I$61,"&gt;="&amp;'3 WM cash flow'!F18,'1 Reclamation and O&amp;M costs'!$N$71:$N$86))+IF('3 WM cash flow'!F18&lt;=('1 Reclamation and O&amp;M costs'!$O$24-'1 Reclamation and O&amp;M costs'!$O$23),'1 Reclamation and O&amp;M costs'!$I$90,0))*(1+$H$9)</f>
        <v>3739.830175013255</v>
      </c>
      <c r="J18" s="296">
        <f>SUMIF('1 Reclamation and O&amp;M costs'!$I$46:$I$61,"&gt;="&amp;F18,'1 Reclamation and O&amp;M costs'!$Q$71:$Q$86)*(1+$H$8)</f>
        <v>11583</v>
      </c>
      <c r="K18" s="17"/>
      <c r="L18" s="17">
        <f t="shared" si="2"/>
        <v>2</v>
      </c>
      <c r="M18" s="295">
        <f ca="1">SUMIF('1 Reclamation and O&amp;M costs'!$L$96:$L$113,'3 WM cash flow'!L18,'1 Reclamation and O&amp;M costs'!P98:$P$113)*(1+$H$7)</f>
        <v>0</v>
      </c>
      <c r="N18" s="296">
        <f>SUMIF('1 Reclamation and O&amp;M costs'!$K$96:$K$113,'3 WM cash flow'!L18,'1 Reclamation and O&amp;M costs'!$T$96:$T$113)*(1+$H$7)</f>
        <v>0</v>
      </c>
      <c r="O18" s="295">
        <f>SUMIF('1 Reclamation and O&amp;M costs'!$K$96:$K$113,"&gt;="&amp;B18,'1 Reclamation and O&amp;M costs'!$R$96:$R$113)*(1+$H$8)</f>
        <v>16300.77964515</v>
      </c>
      <c r="P18" s="296"/>
      <c r="Q18" s="17">
        <f t="shared" si="3"/>
        <v>2</v>
      </c>
      <c r="R18" s="295">
        <f>SUMIF('1 Reclamation and O&amp;M costs'!$H$123:$H$133,'3 WM cash flow'!Q18,'1 Reclamation and O&amp;M costs'!$Q$123:$Q$133)*(1+$H$7)</f>
        <v>0</v>
      </c>
      <c r="S18" s="296">
        <f>SUMIF('1 Reclamation and O&amp;M costs'!$H$123:$H$133,"&gt;="&amp;Q18,'1 Reclamation and O&amp;M costs'!$O$123:$O$133)*(1+$H$8)</f>
        <v>10836.040045325626</v>
      </c>
      <c r="T18" s="25"/>
      <c r="U18" s="17">
        <f t="shared" si="4"/>
        <v>2</v>
      </c>
      <c r="V18" s="295">
        <f>(IF(U18&lt;('1 Reclamation and O&amp;M costs'!$O$24-'1 Reclamation and O&amp;M costs'!$O$23),'2 Sampling Cost'!$O$13,IF(U18&lt;'1 Reclamation and O&amp;M costs'!$O$25,'2 Sampling Cost'!$O$14,'2 Sampling Cost'!$O$15)))*(1+$H$9)</f>
        <v>9520</v>
      </c>
      <c r="W18" s="296"/>
      <c r="X18" s="295">
        <f ca="1" t="shared" si="5"/>
        <v>68706.21789551956</v>
      </c>
      <c r="Y18" s="296"/>
      <c r="Z18" s="25"/>
    </row>
    <row r="19" spans="2:26" ht="15.75">
      <c r="B19" s="17">
        <f t="shared" si="0"/>
        <v>3</v>
      </c>
      <c r="C19" s="295">
        <f>SUMIF('1 Reclamation and O&amp;M costs'!$N$29:$N$38,B19,'1 Reclamation and O&amp;M costs'!$P$29:$P$38)*($H$7+1)</f>
        <v>0</v>
      </c>
      <c r="D19" s="296">
        <f>SUMIF('1 Reclamation and O&amp;M costs'!$M$29:$M$38,"&gt;="&amp;B19,'1 Reclamation and O&amp;M costs'!$R$29:$R$38)*($H$8+1)</f>
        <v>16726.56803003068</v>
      </c>
      <c r="E19" s="17"/>
      <c r="F19" s="17">
        <f t="shared" si="1"/>
        <v>3</v>
      </c>
      <c r="G19" s="295">
        <f>SUMIF('1 Reclamation and O&amp;M costs'!$J$46:$J$61,'3 WM cash flow'!F19,'1 Reclamation and O&amp;M costs'!$P$71:$P$86)*(1+$H$7)</f>
        <v>218110</v>
      </c>
      <c r="H19" s="296">
        <f>SUMIF('1 Reclamation and O&amp;M costs'!$I$46:$I$61,'3 WM cash flow'!F19,'1 Reclamation and O&amp;M costs'!$S$71:$S$86)*(1+$H$7)</f>
        <v>0</v>
      </c>
      <c r="I19" s="295">
        <f>(IF('3 WM cash flow'!F19&lt;=('1 Reclamation and O&amp;M costs'!$O$24-'1 Reclamation and O&amp;M costs'!$O$23),0,SUMIF('1 Reclamation and O&amp;M costs'!$I$46:$I$61,"&gt;="&amp;'3 WM cash flow'!F19,'1 Reclamation and O&amp;M costs'!$N$71:$N$86))+IF('3 WM cash flow'!F19&lt;=('1 Reclamation and O&amp;M costs'!$O$24-'1 Reclamation and O&amp;M costs'!$O$23),'1 Reclamation and O&amp;M costs'!$I$90,0))*(1+$H$9)</f>
        <v>3739.830175013255</v>
      </c>
      <c r="J19" s="296">
        <f>SUMIF('1 Reclamation and O&amp;M costs'!$I$46:$I$61,"&gt;="&amp;F19,'1 Reclamation and O&amp;M costs'!$Q$71:$Q$86)*(1+$H$8)</f>
        <v>11583</v>
      </c>
      <c r="K19" s="17"/>
      <c r="L19" s="17">
        <f t="shared" si="2"/>
        <v>3</v>
      </c>
      <c r="M19" s="295">
        <f ca="1">SUMIF('1 Reclamation and O&amp;M costs'!$L$96:$L$113,'3 WM cash flow'!L19,'1 Reclamation and O&amp;M costs'!P99:$P$113)*(1+$H$7)</f>
        <v>0</v>
      </c>
      <c r="N19" s="296">
        <f>SUMIF('1 Reclamation and O&amp;M costs'!$K$96:$K$113,'3 WM cash flow'!L19,'1 Reclamation and O&amp;M costs'!$T$96:$T$113)*(1+$H$7)</f>
        <v>0</v>
      </c>
      <c r="O19" s="295">
        <f>SUMIF('1 Reclamation and O&amp;M costs'!$K$96:$K$113,"&gt;="&amp;B19,'1 Reclamation and O&amp;M costs'!$R$96:$R$113)*(1+$H$8)</f>
        <v>16300.77964515</v>
      </c>
      <c r="P19" s="296"/>
      <c r="Q19" s="17">
        <f t="shared" si="3"/>
        <v>3</v>
      </c>
      <c r="R19" s="295">
        <f>SUMIF('1 Reclamation and O&amp;M costs'!$H$123:$H$133,'3 WM cash flow'!Q19,'1 Reclamation and O&amp;M costs'!$Q$123:$Q$133)*(1+$H$7)</f>
        <v>0</v>
      </c>
      <c r="S19" s="296">
        <f>SUMIF('1 Reclamation and O&amp;M costs'!$H$123:$H$133,"&gt;="&amp;Q19,'1 Reclamation and O&amp;M costs'!$O$123:$O$133)*(1+$H$8)</f>
        <v>10836.040045325626</v>
      </c>
      <c r="T19" s="25"/>
      <c r="U19" s="17">
        <f t="shared" si="4"/>
        <v>3</v>
      </c>
      <c r="V19" s="295">
        <f>(IF(U19&lt;('1 Reclamation and O&amp;M costs'!$O$24-'1 Reclamation and O&amp;M costs'!$O$23),'2 Sampling Cost'!$O$13,IF(U19&lt;'1 Reclamation and O&amp;M costs'!$O$25,'2 Sampling Cost'!$O$14,'2 Sampling Cost'!$O$15)))*(1+$H$9)</f>
        <v>9520</v>
      </c>
      <c r="W19" s="296"/>
      <c r="X19" s="295">
        <f ca="1" t="shared" si="5"/>
        <v>286816.21789551957</v>
      </c>
      <c r="Y19" s="296"/>
      <c r="Z19" s="25"/>
    </row>
    <row r="20" spans="2:26" ht="15.75">
      <c r="B20" s="17">
        <f t="shared" si="0"/>
        <v>4</v>
      </c>
      <c r="C20" s="295">
        <f>SUMIF('1 Reclamation and O&amp;M costs'!$N$29:$N$38,B20,'1 Reclamation and O&amp;M costs'!$P$29:$P$38)*($H$7+1)</f>
        <v>0</v>
      </c>
      <c r="D20" s="296">
        <f>SUMIF('1 Reclamation and O&amp;M costs'!$M$29:$M$38,"&gt;="&amp;B20,'1 Reclamation and O&amp;M costs'!$R$29:$R$38)*($H$8+1)</f>
        <v>16726.56803003068</v>
      </c>
      <c r="E20" s="17"/>
      <c r="F20" s="17">
        <f t="shared" si="1"/>
        <v>4</v>
      </c>
      <c r="G20" s="295">
        <f>SUMIF('1 Reclamation and O&amp;M costs'!$J$46:$J$61,'3 WM cash flow'!F20,'1 Reclamation and O&amp;M costs'!$P$71:$P$86)*(1+$H$7)</f>
        <v>0</v>
      </c>
      <c r="H20" s="296">
        <f>SUMIF('1 Reclamation and O&amp;M costs'!$I$46:$I$61,'3 WM cash flow'!F20,'1 Reclamation and O&amp;M costs'!$S$71:$S$86)*(1+$H$7)</f>
        <v>0</v>
      </c>
      <c r="I20" s="295">
        <f>(IF('3 WM cash flow'!F20&lt;=('1 Reclamation and O&amp;M costs'!$O$24-'1 Reclamation and O&amp;M costs'!$O$23),0,SUMIF('1 Reclamation and O&amp;M costs'!$I$46:$I$61,"&gt;="&amp;'3 WM cash flow'!F20,'1 Reclamation and O&amp;M costs'!$N$71:$N$86))+IF('3 WM cash flow'!F20&lt;=('1 Reclamation and O&amp;M costs'!$O$24-'1 Reclamation and O&amp;M costs'!$O$23),'1 Reclamation and O&amp;M costs'!$I$90,0))*(1+$H$9)</f>
        <v>3739.830175013255</v>
      </c>
      <c r="J20" s="296">
        <f>SUMIF('1 Reclamation and O&amp;M costs'!$I$46:$I$61,"&gt;="&amp;F20,'1 Reclamation and O&amp;M costs'!$Q$71:$Q$86)*(1+$H$8)</f>
        <v>11583</v>
      </c>
      <c r="K20" s="17"/>
      <c r="L20" s="17">
        <f t="shared" si="2"/>
        <v>4</v>
      </c>
      <c r="M20" s="295">
        <f ca="1">SUMIF('1 Reclamation and O&amp;M costs'!$L$96:$L$113,'3 WM cash flow'!L20,'1 Reclamation and O&amp;M costs'!P100:$P$113)*(1+$H$7)</f>
        <v>0</v>
      </c>
      <c r="N20" s="296">
        <f>SUMIF('1 Reclamation and O&amp;M costs'!$K$96:$K$113,'3 WM cash flow'!L20,'1 Reclamation and O&amp;M costs'!$T$96:$T$113)*(1+$H$7)</f>
        <v>0</v>
      </c>
      <c r="O20" s="295">
        <f>SUMIF('1 Reclamation and O&amp;M costs'!$K$96:$K$113,"&gt;="&amp;B20,'1 Reclamation and O&amp;M costs'!$R$96:$R$113)*(1+$H$8)</f>
        <v>16300.77964515</v>
      </c>
      <c r="P20" s="296"/>
      <c r="Q20" s="17">
        <f t="shared" si="3"/>
        <v>4</v>
      </c>
      <c r="R20" s="295">
        <f>SUMIF('1 Reclamation and O&amp;M costs'!$H$123:$H$133,'3 WM cash flow'!Q20,'1 Reclamation and O&amp;M costs'!$Q$123:$Q$133)*(1+$H$7)</f>
        <v>0</v>
      </c>
      <c r="S20" s="296">
        <f>SUMIF('1 Reclamation and O&amp;M costs'!$H$123:$H$133,"&gt;="&amp;Q20,'1 Reclamation and O&amp;M costs'!$O$123:$O$133)*(1+$H$8)</f>
        <v>10836.040045325626</v>
      </c>
      <c r="T20" s="25"/>
      <c r="U20" s="17">
        <f t="shared" si="4"/>
        <v>4</v>
      </c>
      <c r="V20" s="295">
        <f>(IF(U20&lt;('1 Reclamation and O&amp;M costs'!$O$24-'1 Reclamation and O&amp;M costs'!$O$23),'2 Sampling Cost'!$O$13,IF(U20&lt;'1 Reclamation and O&amp;M costs'!$O$25,'2 Sampling Cost'!$O$14,'2 Sampling Cost'!$O$15)))*(1+$H$9)</f>
        <v>9520</v>
      </c>
      <c r="W20" s="296"/>
      <c r="X20" s="295">
        <f ca="1" t="shared" si="5"/>
        <v>68706.21789551956</v>
      </c>
      <c r="Y20" s="296"/>
      <c r="Z20" s="25"/>
    </row>
    <row r="21" spans="2:26" ht="15.75">
      <c r="B21" s="17">
        <f t="shared" si="0"/>
        <v>5</v>
      </c>
      <c r="C21" s="295">
        <f>SUMIF('1 Reclamation and O&amp;M costs'!$N$29:$N$38,B21,'1 Reclamation and O&amp;M costs'!$P$29:$P$38)*($H$7+1)</f>
        <v>0</v>
      </c>
      <c r="D21" s="296">
        <f>SUMIF('1 Reclamation and O&amp;M costs'!$M$29:$M$38,"&gt;="&amp;B21,'1 Reclamation and O&amp;M costs'!$R$29:$R$38)*($H$8+1)</f>
        <v>16726.56803003068</v>
      </c>
      <c r="E21" s="17"/>
      <c r="F21" s="17">
        <f t="shared" si="1"/>
        <v>5</v>
      </c>
      <c r="G21" s="295">
        <f>SUMIF('1 Reclamation and O&amp;M costs'!$J$46:$J$61,'3 WM cash flow'!F21,'1 Reclamation and O&amp;M costs'!$P$71:$P$86)*(1+$H$7)</f>
        <v>0</v>
      </c>
      <c r="H21" s="296">
        <f>SUMIF('1 Reclamation and O&amp;M costs'!$I$46:$I$61,'3 WM cash flow'!F21,'1 Reclamation and O&amp;M costs'!$S$71:$S$86)*(1+$H$7)</f>
        <v>51320</v>
      </c>
      <c r="I21" s="295">
        <f>(IF('3 WM cash flow'!F21&lt;=('1 Reclamation and O&amp;M costs'!$O$24-'1 Reclamation and O&amp;M costs'!$O$23),0,SUMIF('1 Reclamation and O&amp;M costs'!$I$46:$I$61,"&gt;="&amp;'3 WM cash flow'!F21,'1 Reclamation and O&amp;M costs'!$N$71:$N$86))+IF('3 WM cash flow'!F21&lt;=('1 Reclamation and O&amp;M costs'!$O$24-'1 Reclamation and O&amp;M costs'!$O$23),'1 Reclamation and O&amp;M costs'!$I$90,0))*(1+$H$9)</f>
        <v>3739.830175013255</v>
      </c>
      <c r="J21" s="296">
        <f>SUMIF('1 Reclamation and O&amp;M costs'!$I$46:$I$61,"&gt;="&amp;F21,'1 Reclamation and O&amp;M costs'!$Q$71:$Q$86)*(1+$H$8)</f>
        <v>11583</v>
      </c>
      <c r="K21" s="17"/>
      <c r="L21" s="17">
        <f t="shared" si="2"/>
        <v>5</v>
      </c>
      <c r="M21" s="295">
        <f ca="1">SUMIF('1 Reclamation and O&amp;M costs'!$L$96:$L$113,'3 WM cash flow'!L21,'1 Reclamation and O&amp;M costs'!P101:$P$113)*(1+$H$7)</f>
        <v>0</v>
      </c>
      <c r="N21" s="296">
        <f>SUMIF('1 Reclamation and O&amp;M costs'!$K$96:$K$113,'3 WM cash flow'!L21,'1 Reclamation and O&amp;M costs'!$T$96:$T$113)*(1+$H$7)</f>
        <v>46942.64691038999</v>
      </c>
      <c r="O21" s="295">
        <f>SUMIF('1 Reclamation and O&amp;M costs'!$K$96:$K$113,"&gt;="&amp;B21,'1 Reclamation and O&amp;M costs'!$R$96:$R$113)*(1+$H$8)</f>
        <v>16300.77964515</v>
      </c>
      <c r="P21" s="296"/>
      <c r="Q21" s="17">
        <f t="shared" si="3"/>
        <v>5</v>
      </c>
      <c r="R21" s="295">
        <f>SUMIF('1 Reclamation and O&amp;M costs'!$H$123:$H$133,'3 WM cash flow'!Q21,'1 Reclamation and O&amp;M costs'!$Q$123:$Q$133)*(1+$H$7)</f>
        <v>8671.873979999998</v>
      </c>
      <c r="S21" s="296">
        <f>SUMIF('1 Reclamation and O&amp;M costs'!$H$123:$H$133,"&gt;="&amp;Q21,'1 Reclamation and O&amp;M costs'!$O$123:$O$133)*(1+$H$8)</f>
        <v>10836.040045325626</v>
      </c>
      <c r="T21" s="25"/>
      <c r="U21" s="17">
        <f t="shared" si="4"/>
        <v>5</v>
      </c>
      <c r="V21" s="295">
        <f>(IF(U21&lt;('1 Reclamation and O&amp;M costs'!$O$24-'1 Reclamation and O&amp;M costs'!$O$23),'2 Sampling Cost'!$O$13,IF(U21&lt;'1 Reclamation and O&amp;M costs'!$O$25,'2 Sampling Cost'!$O$14,'2 Sampling Cost'!$O$15)))*(1+$H$9)</f>
        <v>4760</v>
      </c>
      <c r="W21" s="296"/>
      <c r="X21" s="295">
        <f ca="1" t="shared" si="5"/>
        <v>170880.73878590955</v>
      </c>
      <c r="Y21" s="296"/>
      <c r="Z21" s="25"/>
    </row>
    <row r="22" spans="2:26" ht="15.75">
      <c r="B22" s="17">
        <f t="shared" si="0"/>
        <v>6</v>
      </c>
      <c r="C22" s="295">
        <f>SUMIF('1 Reclamation and O&amp;M costs'!$N$29:$N$38,B22,'1 Reclamation and O&amp;M costs'!$P$29:$P$38)*($H$7+1)</f>
        <v>0</v>
      </c>
      <c r="D22" s="296">
        <f>SUMIF('1 Reclamation and O&amp;M costs'!$M$29:$M$38,"&gt;="&amp;B22,'1 Reclamation and O&amp;M costs'!$R$29:$R$38)*($H$8+1)</f>
        <v>16726.56803003068</v>
      </c>
      <c r="E22" s="17"/>
      <c r="F22" s="17">
        <f t="shared" si="1"/>
        <v>6</v>
      </c>
      <c r="G22" s="295">
        <f>SUMIF('1 Reclamation and O&amp;M costs'!$J$46:$J$61,'3 WM cash flow'!F22,'1 Reclamation and O&amp;M costs'!$P$71:$P$86)*(1+$H$7)</f>
        <v>0</v>
      </c>
      <c r="H22" s="296">
        <f>SUMIF('1 Reclamation and O&amp;M costs'!$I$46:$I$61,'3 WM cash flow'!F22,'1 Reclamation and O&amp;M costs'!$S$71:$S$86)*(1+$H$7)</f>
        <v>0</v>
      </c>
      <c r="I22" s="295">
        <f>(IF('3 WM cash flow'!F22&lt;=('1 Reclamation and O&amp;M costs'!$O$24-'1 Reclamation and O&amp;M costs'!$O$23),0,SUMIF('1 Reclamation and O&amp;M costs'!$I$46:$I$61,"&gt;="&amp;'3 WM cash flow'!F22,'1 Reclamation and O&amp;M costs'!$N$71:$N$86))+IF('3 WM cash flow'!F22&lt;=('1 Reclamation and O&amp;M costs'!$O$24-'1 Reclamation and O&amp;M costs'!$O$23),'1 Reclamation and O&amp;M costs'!$I$90,0))*(1+$H$9)</f>
        <v>1958.4866799213426</v>
      </c>
      <c r="J22" s="296">
        <f>SUMIF('1 Reclamation and O&amp;M costs'!$I$46:$I$61,"&gt;="&amp;F22,'1 Reclamation and O&amp;M costs'!$Q$71:$Q$86)*(1+$H$8)</f>
        <v>9038.25</v>
      </c>
      <c r="K22" s="17"/>
      <c r="L22" s="17">
        <f t="shared" si="2"/>
        <v>6</v>
      </c>
      <c r="M22" s="295">
        <f ca="1">SUMIF('1 Reclamation and O&amp;M costs'!$L$96:$L$113,'3 WM cash flow'!L22,'1 Reclamation and O&amp;M costs'!P102:$P$113)*(1+$H$7)</f>
        <v>0</v>
      </c>
      <c r="N22" s="296">
        <f>SUMIF('1 Reclamation and O&amp;M costs'!$K$96:$K$113,'3 WM cash flow'!L22,'1 Reclamation and O&amp;M costs'!$T$96:$T$113)*(1+$H$7)</f>
        <v>0</v>
      </c>
      <c r="O22" s="295">
        <f>SUMIF('1 Reclamation and O&amp;M costs'!$K$96:$K$113,"&gt;="&amp;B22,'1 Reclamation and O&amp;M costs'!$R$96:$R$113)*(1+$H$8)</f>
        <v>13005.906858944998</v>
      </c>
      <c r="P22" s="296"/>
      <c r="Q22" s="17">
        <f t="shared" si="3"/>
        <v>6</v>
      </c>
      <c r="R22" s="295">
        <f>SUMIF('1 Reclamation and O&amp;M costs'!$H$123:$H$133,'3 WM cash flow'!Q22,'1 Reclamation and O&amp;M costs'!$Q$123:$Q$133)*(1+$H$7)</f>
        <v>0</v>
      </c>
      <c r="S22" s="296">
        <f>SUMIF('1 Reclamation and O&amp;M costs'!$H$123:$H$133,"&gt;="&amp;Q22,'1 Reclamation and O&amp;M costs'!$O$123:$O$133)*(1+$H$8)</f>
        <v>9098.907380677969</v>
      </c>
      <c r="T22" s="25"/>
      <c r="U22" s="17">
        <f t="shared" si="4"/>
        <v>6</v>
      </c>
      <c r="V22" s="295">
        <f>(IF(U22&lt;('1 Reclamation and O&amp;M costs'!$O$24-'1 Reclamation and O&amp;M costs'!$O$23),'2 Sampling Cost'!$O$13,IF(U22&lt;'1 Reclamation and O&amp;M costs'!$O$25,'2 Sampling Cost'!$O$14,'2 Sampling Cost'!$O$15)))*(1+$H$9)</f>
        <v>4760</v>
      </c>
      <c r="W22" s="296"/>
      <c r="X22" s="295">
        <f ca="1" t="shared" si="5"/>
        <v>54588.118949574986</v>
      </c>
      <c r="Y22" s="296"/>
      <c r="Z22" s="25"/>
    </row>
    <row r="23" spans="2:26" ht="15.75">
      <c r="B23" s="17">
        <f t="shared" si="0"/>
        <v>7</v>
      </c>
      <c r="C23" s="295">
        <f>SUMIF('1 Reclamation and O&amp;M costs'!$N$29:$N$38,B23,'1 Reclamation and O&amp;M costs'!$P$29:$P$38)*($H$7+1)</f>
        <v>0</v>
      </c>
      <c r="D23" s="296">
        <f>SUMIF('1 Reclamation and O&amp;M costs'!$M$29:$M$38,"&gt;="&amp;B23,'1 Reclamation and O&amp;M costs'!$R$29:$R$38)*($H$8+1)</f>
        <v>16726.56803003068</v>
      </c>
      <c r="E23" s="17"/>
      <c r="F23" s="17">
        <f t="shared" si="1"/>
        <v>7</v>
      </c>
      <c r="G23" s="295">
        <f>SUMIF('1 Reclamation and O&amp;M costs'!$J$46:$J$61,'3 WM cash flow'!F23,'1 Reclamation and O&amp;M costs'!$P$71:$P$86)*(1+$H$7)</f>
        <v>0</v>
      </c>
      <c r="H23" s="296">
        <f>SUMIF('1 Reclamation and O&amp;M costs'!$I$46:$I$61,'3 WM cash flow'!F23,'1 Reclamation and O&amp;M costs'!$S$71:$S$86)*(1+$H$7)</f>
        <v>0</v>
      </c>
      <c r="I23" s="295">
        <f>(IF('3 WM cash flow'!F23&lt;=('1 Reclamation and O&amp;M costs'!$O$24-'1 Reclamation and O&amp;M costs'!$O$23),0,SUMIF('1 Reclamation and O&amp;M costs'!$I$46:$I$61,"&gt;="&amp;'3 WM cash flow'!F23,'1 Reclamation and O&amp;M costs'!$N$71:$N$86))+IF('3 WM cash flow'!F23&lt;=('1 Reclamation and O&amp;M costs'!$O$24-'1 Reclamation and O&amp;M costs'!$O$23),'1 Reclamation and O&amp;M costs'!$I$90,0))*(1+$H$9)</f>
        <v>1958.4866799213426</v>
      </c>
      <c r="J23" s="296">
        <f>SUMIF('1 Reclamation and O&amp;M costs'!$I$46:$I$61,"&gt;="&amp;F23,'1 Reclamation and O&amp;M costs'!$Q$71:$Q$86)*(1+$H$8)</f>
        <v>9038.25</v>
      </c>
      <c r="K23" s="17"/>
      <c r="L23" s="17">
        <f t="shared" si="2"/>
        <v>7</v>
      </c>
      <c r="M23" s="295">
        <f ca="1">SUMIF('1 Reclamation and O&amp;M costs'!$L$96:$L$113,'3 WM cash flow'!L23,'1 Reclamation and O&amp;M costs'!P103:$P$113)*(1+$H$7)</f>
        <v>0</v>
      </c>
      <c r="N23" s="296">
        <f>SUMIF('1 Reclamation and O&amp;M costs'!$K$96:$K$113,'3 WM cash flow'!L23,'1 Reclamation and O&amp;M costs'!$T$96:$T$113)*(1+$H$7)</f>
        <v>0</v>
      </c>
      <c r="O23" s="295">
        <f>SUMIF('1 Reclamation and O&amp;M costs'!$K$96:$K$113,"&gt;="&amp;B23,'1 Reclamation and O&amp;M costs'!$R$96:$R$113)*(1+$H$8)</f>
        <v>13005.906858944998</v>
      </c>
      <c r="P23" s="296"/>
      <c r="Q23" s="17">
        <f t="shared" si="3"/>
        <v>7</v>
      </c>
      <c r="R23" s="295">
        <f>SUMIF('1 Reclamation and O&amp;M costs'!$H$123:$H$133,'3 WM cash flow'!Q23,'1 Reclamation and O&amp;M costs'!$Q$123:$Q$133)*(1+$H$7)</f>
        <v>0</v>
      </c>
      <c r="S23" s="296">
        <f>SUMIF('1 Reclamation and O&amp;M costs'!$H$123:$H$133,"&gt;="&amp;Q23,'1 Reclamation and O&amp;M costs'!$O$123:$O$133)*(1+$H$8)</f>
        <v>9098.907380677969</v>
      </c>
      <c r="T23" s="25"/>
      <c r="U23" s="17">
        <f t="shared" si="4"/>
        <v>7</v>
      </c>
      <c r="V23" s="295">
        <f>(IF(U23&lt;('1 Reclamation and O&amp;M costs'!$O$24-'1 Reclamation and O&amp;M costs'!$O$23),'2 Sampling Cost'!$O$13,IF(U23&lt;'1 Reclamation and O&amp;M costs'!$O$25,'2 Sampling Cost'!$O$14,'2 Sampling Cost'!$O$15)))*(1+$H$9)</f>
        <v>4760</v>
      </c>
      <c r="W23" s="296"/>
      <c r="X23" s="295">
        <f ca="1" t="shared" si="5"/>
        <v>54588.118949574986</v>
      </c>
      <c r="Y23" s="296"/>
      <c r="Z23" s="25"/>
    </row>
    <row r="24" spans="2:26" ht="15.75">
      <c r="B24" s="17">
        <f t="shared" si="0"/>
        <v>8</v>
      </c>
      <c r="C24" s="295">
        <f>SUMIF('1 Reclamation and O&amp;M costs'!$N$29:$N$38,B24,'1 Reclamation and O&amp;M costs'!$P$29:$P$38)*($H$7+1)</f>
        <v>0</v>
      </c>
      <c r="D24" s="296">
        <f>SUMIF('1 Reclamation and O&amp;M costs'!$M$29:$M$38,"&gt;="&amp;B24,'1 Reclamation and O&amp;M costs'!$R$29:$R$38)*($H$8+1)</f>
        <v>16726.56803003068</v>
      </c>
      <c r="E24" s="17"/>
      <c r="F24" s="17">
        <f t="shared" si="1"/>
        <v>8</v>
      </c>
      <c r="G24" s="295">
        <f>SUMIF('1 Reclamation and O&amp;M costs'!$J$46:$J$61,'3 WM cash flow'!F24,'1 Reclamation and O&amp;M costs'!$P$71:$P$86)*(1+$H$7)</f>
        <v>76980</v>
      </c>
      <c r="H24" s="296">
        <f>SUMIF('1 Reclamation and O&amp;M costs'!$I$46:$I$61,'3 WM cash flow'!F24,'1 Reclamation and O&amp;M costs'!$S$71:$S$86)*(1+$H$7)</f>
        <v>0</v>
      </c>
      <c r="I24" s="295">
        <f>(IF('3 WM cash flow'!F24&lt;=('1 Reclamation and O&amp;M costs'!$O$24-'1 Reclamation and O&amp;M costs'!$O$23),0,SUMIF('1 Reclamation and O&amp;M costs'!$I$46:$I$61,"&gt;="&amp;'3 WM cash flow'!F24,'1 Reclamation and O&amp;M costs'!$N$71:$N$86))+IF('3 WM cash flow'!F24&lt;=('1 Reclamation and O&amp;M costs'!$O$24-'1 Reclamation and O&amp;M costs'!$O$23),'1 Reclamation and O&amp;M costs'!$I$90,0))*(1+$H$9)</f>
        <v>1958.4866799213426</v>
      </c>
      <c r="J24" s="296">
        <f>SUMIF('1 Reclamation and O&amp;M costs'!$I$46:$I$61,"&gt;="&amp;F24,'1 Reclamation and O&amp;M costs'!$Q$71:$Q$86)*(1+$H$8)</f>
        <v>9038.25</v>
      </c>
      <c r="K24" s="17"/>
      <c r="L24" s="17">
        <f t="shared" si="2"/>
        <v>8</v>
      </c>
      <c r="M24" s="295">
        <f ca="1">SUMIF('1 Reclamation and O&amp;M costs'!$L$96:$L$113,'3 WM cash flow'!L24,'1 Reclamation and O&amp;M costs'!P104:$P$113)*(1+$H$7)</f>
        <v>0</v>
      </c>
      <c r="N24" s="296">
        <f>SUMIF('1 Reclamation and O&amp;M costs'!$K$96:$K$113,'3 WM cash flow'!L24,'1 Reclamation and O&amp;M costs'!$T$96:$T$113)*(1+$H$7)</f>
        <v>0</v>
      </c>
      <c r="O24" s="295">
        <f>SUMIF('1 Reclamation and O&amp;M costs'!$K$96:$K$113,"&gt;="&amp;B24,'1 Reclamation and O&amp;M costs'!$R$96:$R$113)*(1+$H$8)</f>
        <v>13005.906858944998</v>
      </c>
      <c r="P24" s="296"/>
      <c r="Q24" s="17">
        <f t="shared" si="3"/>
        <v>8</v>
      </c>
      <c r="R24" s="295">
        <f>SUMIF('1 Reclamation and O&amp;M costs'!$H$123:$H$133,'3 WM cash flow'!Q24,'1 Reclamation and O&amp;M costs'!$Q$123:$Q$133)*(1+$H$7)</f>
        <v>0</v>
      </c>
      <c r="S24" s="296">
        <f>SUMIF('1 Reclamation and O&amp;M costs'!$H$123:$H$133,"&gt;="&amp;Q24,'1 Reclamation and O&amp;M costs'!$O$123:$O$133)*(1+$H$8)</f>
        <v>9098.907380677969</v>
      </c>
      <c r="T24" s="25"/>
      <c r="U24" s="17">
        <f t="shared" si="4"/>
        <v>8</v>
      </c>
      <c r="V24" s="295">
        <f>(IF(U24&lt;('1 Reclamation and O&amp;M costs'!$O$24-'1 Reclamation and O&amp;M costs'!$O$23),'2 Sampling Cost'!$O$13,IF(U24&lt;'1 Reclamation and O&amp;M costs'!$O$25,'2 Sampling Cost'!$O$14,'2 Sampling Cost'!$O$15)))*(1+$H$9)</f>
        <v>4760</v>
      </c>
      <c r="W24" s="296"/>
      <c r="X24" s="295">
        <f ca="1" t="shared" si="5"/>
        <v>131568.118949575</v>
      </c>
      <c r="Y24" s="296"/>
      <c r="Z24" s="25"/>
    </row>
    <row r="25" spans="2:26" ht="15.75">
      <c r="B25" s="17">
        <f t="shared" si="0"/>
        <v>9</v>
      </c>
      <c r="C25" s="295">
        <f>SUMIF('1 Reclamation and O&amp;M costs'!$N$29:$N$38,B25,'1 Reclamation and O&amp;M costs'!$P$29:$P$38)*($H$7+1)</f>
        <v>160695.33688097683</v>
      </c>
      <c r="D25" s="296">
        <f>SUMIF('1 Reclamation and O&amp;M costs'!$M$29:$M$38,"&gt;="&amp;B25,'1 Reclamation and O&amp;M costs'!$R$29:$R$38)*($H$8+1)</f>
        <v>16726.56803003068</v>
      </c>
      <c r="E25" s="17"/>
      <c r="F25" s="17">
        <f t="shared" si="1"/>
        <v>9</v>
      </c>
      <c r="G25" s="295">
        <f>SUMIF('1 Reclamation and O&amp;M costs'!$J$46:$J$61,'3 WM cash flow'!F25,'1 Reclamation and O&amp;M costs'!$P$71:$P$86)*(1+$H$7)</f>
        <v>0</v>
      </c>
      <c r="H25" s="296">
        <f>SUMIF('1 Reclamation and O&amp;M costs'!$I$46:$I$61,'3 WM cash flow'!F25,'1 Reclamation and O&amp;M costs'!$S$71:$S$86)*(1+$H$7)</f>
        <v>19245</v>
      </c>
      <c r="I25" s="295">
        <f>(IF('3 WM cash flow'!F25&lt;=('1 Reclamation and O&amp;M costs'!$O$24-'1 Reclamation and O&amp;M costs'!$O$23),0,SUMIF('1 Reclamation and O&amp;M costs'!$I$46:$I$61,"&gt;="&amp;'3 WM cash flow'!F25,'1 Reclamation and O&amp;M costs'!$N$71:$N$86))+IF('3 WM cash flow'!F25&lt;=('1 Reclamation and O&amp;M costs'!$O$24-'1 Reclamation and O&amp;M costs'!$O$23),'1 Reclamation and O&amp;M costs'!$I$90,0))*(1+$H$9)</f>
        <v>1958.4866799213426</v>
      </c>
      <c r="J25" s="296">
        <f>SUMIF('1 Reclamation and O&amp;M costs'!$I$46:$I$61,"&gt;="&amp;F25,'1 Reclamation and O&amp;M costs'!$Q$71:$Q$86)*(1+$H$8)</f>
        <v>9038.25</v>
      </c>
      <c r="K25" s="17"/>
      <c r="L25" s="17">
        <f t="shared" si="2"/>
        <v>9</v>
      </c>
      <c r="M25" s="295">
        <f ca="1">SUMIF('1 Reclamation and O&amp;M costs'!$L$96:$L$113,'3 WM cash flow'!L25,'1 Reclamation and O&amp;M costs'!P105:$P$113)*(1+$H$7)</f>
        <v>0</v>
      </c>
      <c r="N25" s="296">
        <f>SUMIF('1 Reclamation and O&amp;M costs'!$K$96:$K$113,'3 WM cash flow'!L25,'1 Reclamation and O&amp;M costs'!$T$96:$T$113)*(1+$H$7)</f>
        <v>14153.422031209999</v>
      </c>
      <c r="O25" s="295">
        <f>SUMIF('1 Reclamation and O&amp;M costs'!$K$96:$K$113,"&gt;="&amp;B25,'1 Reclamation and O&amp;M costs'!$R$96:$R$113)*(1+$H$8)</f>
        <v>13005.906858944998</v>
      </c>
      <c r="P25" s="296"/>
      <c r="Q25" s="17">
        <f t="shared" si="3"/>
        <v>9</v>
      </c>
      <c r="R25" s="295">
        <f>SUMIF('1 Reclamation and O&amp;M costs'!$H$123:$H$133,'3 WM cash flow'!Q25,'1 Reclamation and O&amp;M costs'!$Q$123:$Q$133)*(1+$H$7)</f>
        <v>0</v>
      </c>
      <c r="S25" s="296">
        <f>SUMIF('1 Reclamation and O&amp;M costs'!$H$123:$H$133,"&gt;="&amp;Q25,'1 Reclamation and O&amp;M costs'!$O$123:$O$133)*(1+$H$8)</f>
        <v>9098.907380677969</v>
      </c>
      <c r="T25" s="25"/>
      <c r="U25" s="17">
        <f t="shared" si="4"/>
        <v>9</v>
      </c>
      <c r="V25" s="295">
        <f>(IF(U25&lt;('1 Reclamation and O&amp;M costs'!$O$24-'1 Reclamation and O&amp;M costs'!$O$23),'2 Sampling Cost'!$O$13,IF(U25&lt;'1 Reclamation and O&amp;M costs'!$O$25,'2 Sampling Cost'!$O$14,'2 Sampling Cost'!$O$15)))*(1+$H$9)</f>
        <v>4760</v>
      </c>
      <c r="W25" s="296"/>
      <c r="X25" s="295">
        <f ca="1" t="shared" si="5"/>
        <v>248681.8778617618</v>
      </c>
      <c r="Y25" s="296"/>
      <c r="Z25" s="25"/>
    </row>
    <row r="26" spans="2:26" ht="15.75">
      <c r="B26" s="17">
        <f t="shared" si="0"/>
        <v>10</v>
      </c>
      <c r="C26" s="295">
        <f>SUMIF('1 Reclamation and O&amp;M costs'!$N$29:$N$38,B26,'1 Reclamation and O&amp;M costs'!$P$29:$P$38)*($H$7+1)</f>
        <v>0</v>
      </c>
      <c r="D26" s="296">
        <f>SUMIF('1 Reclamation and O&amp;M costs'!$M$29:$M$38,"&gt;="&amp;B26,'1 Reclamation and O&amp;M costs'!$R$29:$R$38)*($H$8+1)</f>
        <v>16723.313307971857</v>
      </c>
      <c r="E26" s="17"/>
      <c r="F26" s="17">
        <f t="shared" si="1"/>
        <v>10</v>
      </c>
      <c r="G26" s="295">
        <f>SUMIF('1 Reclamation and O&amp;M costs'!$J$46:$J$61,'3 WM cash flow'!F26,'1 Reclamation and O&amp;M costs'!$P$71:$P$86)*(1+$H$7)</f>
        <v>0</v>
      </c>
      <c r="H26" s="296">
        <f>SUMIF('1 Reclamation and O&amp;M costs'!$I$46:$I$61,'3 WM cash flow'!F26,'1 Reclamation and O&amp;M costs'!$S$71:$S$86)*(1+$H$7)</f>
        <v>0</v>
      </c>
      <c r="I26" s="295">
        <f>(IF('3 WM cash flow'!F26&lt;=('1 Reclamation and O&amp;M costs'!$O$24-'1 Reclamation and O&amp;M costs'!$O$23),0,SUMIF('1 Reclamation and O&amp;M costs'!$I$46:$I$61,"&gt;="&amp;'3 WM cash flow'!F26,'1 Reclamation and O&amp;M costs'!$N$71:$N$86))+IF('3 WM cash flow'!F26&lt;=('1 Reclamation and O&amp;M costs'!$O$24-'1 Reclamation and O&amp;M costs'!$O$23),'1 Reclamation and O&amp;M costs'!$I$90,0))*(1+$H$9)</f>
        <v>1958.4866799213426</v>
      </c>
      <c r="J26" s="296">
        <f>SUMIF('1 Reclamation and O&amp;M costs'!$I$46:$I$61,"&gt;="&amp;F26,'1 Reclamation and O&amp;M costs'!$Q$71:$Q$86)*(1+$H$8)</f>
        <v>7721.999999999999</v>
      </c>
      <c r="K26" s="17"/>
      <c r="L26" s="17">
        <f t="shared" si="2"/>
        <v>10</v>
      </c>
      <c r="M26" s="295">
        <f ca="1">SUMIF('1 Reclamation and O&amp;M costs'!$L$96:$L$113,'3 WM cash flow'!L26,'1 Reclamation and O&amp;M costs'!P106:$P$113)*(1+$H$7)</f>
        <v>0</v>
      </c>
      <c r="N26" s="296">
        <f>SUMIF('1 Reclamation and O&amp;M costs'!$K$96:$K$113,'3 WM cash flow'!L26,'1 Reclamation and O&amp;M costs'!$T$96:$T$113)*(1+$H$7)</f>
        <v>0</v>
      </c>
      <c r="O26" s="295">
        <f>SUMIF('1 Reclamation and O&amp;M costs'!$K$96:$K$113,"&gt;="&amp;B26,'1 Reclamation and O&amp;M costs'!$R$96:$R$113)*(1+$H$8)</f>
        <v>11003.151249089999</v>
      </c>
      <c r="P26" s="296"/>
      <c r="Q26" s="17">
        <f t="shared" si="3"/>
        <v>10</v>
      </c>
      <c r="R26" s="295">
        <f>SUMIF('1 Reclamation and O&amp;M costs'!$H$123:$H$133,'3 WM cash flow'!Q26,'1 Reclamation and O&amp;M costs'!$Q$123:$Q$133)*(1+$H$7)</f>
        <v>0</v>
      </c>
      <c r="S26" s="296">
        <f>SUMIF('1 Reclamation and O&amp;M costs'!$H$123:$H$133,"&gt;="&amp;Q26,'1 Reclamation and O&amp;M costs'!$O$123:$O$133)*(1+$H$8)</f>
        <v>9098.907380677969</v>
      </c>
      <c r="T26" s="25"/>
      <c r="U26" s="17">
        <f t="shared" si="4"/>
        <v>10</v>
      </c>
      <c r="V26" s="295">
        <f>(IF(U26&lt;('1 Reclamation and O&amp;M costs'!$O$24-'1 Reclamation and O&amp;M costs'!$O$23),'2 Sampling Cost'!$O$13,IF(U26&lt;'1 Reclamation and O&amp;M costs'!$O$25,'2 Sampling Cost'!$O$14,'2 Sampling Cost'!$O$15)))*(1+$H$9)</f>
        <v>4760</v>
      </c>
      <c r="W26" s="296"/>
      <c r="X26" s="295">
        <f ca="1" t="shared" si="5"/>
        <v>51265.85861766117</v>
      </c>
      <c r="Y26" s="296"/>
      <c r="Z26" s="25"/>
    </row>
    <row r="27" spans="2:26" ht="15.75">
      <c r="B27" s="17">
        <f t="shared" si="0"/>
        <v>11</v>
      </c>
      <c r="C27" s="295">
        <f>SUMIF('1 Reclamation and O&amp;M costs'!$N$29:$N$38,B27,'1 Reclamation and O&amp;M costs'!$P$29:$P$38)*($H$7+1)</f>
        <v>0</v>
      </c>
      <c r="D27" s="296">
        <f>SUMIF('1 Reclamation and O&amp;M costs'!$M$29:$M$38,"&gt;="&amp;B27,'1 Reclamation and O&amp;M costs'!$R$29:$R$38)*($H$8+1)</f>
        <v>16723.313307971857</v>
      </c>
      <c r="E27" s="17"/>
      <c r="F27" s="17">
        <f t="shared" si="1"/>
        <v>11</v>
      </c>
      <c r="G27" s="295">
        <f>SUMIF('1 Reclamation and O&amp;M costs'!$J$46:$J$61,'3 WM cash flow'!F27,'1 Reclamation and O&amp;M costs'!$P$71:$P$86)*(1+$H$7)</f>
        <v>0</v>
      </c>
      <c r="H27" s="296">
        <f>SUMIF('1 Reclamation and O&amp;M costs'!$I$46:$I$61,'3 WM cash flow'!F27,'1 Reclamation and O&amp;M costs'!$S$71:$S$86)*(1+$H$7)</f>
        <v>0</v>
      </c>
      <c r="I27" s="295">
        <f>(IF('3 WM cash flow'!F27&lt;=('1 Reclamation and O&amp;M costs'!$O$24-'1 Reclamation and O&amp;M costs'!$O$23),0,SUMIF('1 Reclamation and O&amp;M costs'!$I$46:$I$61,"&gt;="&amp;'3 WM cash flow'!F27,'1 Reclamation and O&amp;M costs'!$N$71:$N$86))+IF('3 WM cash flow'!F27&lt;=('1 Reclamation and O&amp;M costs'!$O$24-'1 Reclamation and O&amp;M costs'!$O$23),'1 Reclamation and O&amp;M costs'!$I$90,0))*(1+$H$9)</f>
        <v>1958.4866799213426</v>
      </c>
      <c r="J27" s="296">
        <f>SUMIF('1 Reclamation and O&amp;M costs'!$I$46:$I$61,"&gt;="&amp;F27,'1 Reclamation and O&amp;M costs'!$Q$71:$Q$86)*(1+$H$8)</f>
        <v>7721.999999999999</v>
      </c>
      <c r="K27" s="17"/>
      <c r="L27" s="17">
        <f t="shared" si="2"/>
        <v>11</v>
      </c>
      <c r="M27" s="295">
        <f ca="1">SUMIF('1 Reclamation and O&amp;M costs'!$L$96:$L$113,'3 WM cash flow'!L27,'1 Reclamation and O&amp;M costs'!P107:$P$113)*(1+$H$7)</f>
        <v>0</v>
      </c>
      <c r="N27" s="296">
        <f>SUMIF('1 Reclamation and O&amp;M costs'!$K$96:$K$113,'3 WM cash flow'!L27,'1 Reclamation and O&amp;M costs'!$T$96:$T$113)*(1+$H$7)</f>
        <v>0</v>
      </c>
      <c r="O27" s="295">
        <f>SUMIF('1 Reclamation and O&amp;M costs'!$K$96:$K$113,"&gt;="&amp;B27,'1 Reclamation and O&amp;M costs'!$R$96:$R$113)*(1+$H$8)</f>
        <v>11003.151249089999</v>
      </c>
      <c r="P27" s="296"/>
      <c r="Q27" s="17">
        <f t="shared" si="3"/>
        <v>11</v>
      </c>
      <c r="R27" s="295">
        <f>SUMIF('1 Reclamation and O&amp;M costs'!$H$123:$H$133,'3 WM cash flow'!Q27,'1 Reclamation and O&amp;M costs'!$Q$123:$Q$133)*(1+$H$7)</f>
        <v>0</v>
      </c>
      <c r="S27" s="296">
        <f>SUMIF('1 Reclamation and O&amp;M costs'!$H$123:$H$133,"&gt;="&amp;Q27,'1 Reclamation and O&amp;M costs'!$O$123:$O$133)*(1+$H$8)</f>
        <v>9098.907380677969</v>
      </c>
      <c r="T27" s="25"/>
      <c r="U27" s="17">
        <f t="shared" si="4"/>
        <v>11</v>
      </c>
      <c r="V27" s="295">
        <f>(IF(U27&lt;('1 Reclamation and O&amp;M costs'!$O$24-'1 Reclamation and O&amp;M costs'!$O$23),'2 Sampling Cost'!$O$13,IF(U27&lt;'1 Reclamation and O&amp;M costs'!$O$25,'2 Sampling Cost'!$O$14,'2 Sampling Cost'!$O$15)))*(1+$H$9)</f>
        <v>4760</v>
      </c>
      <c r="W27" s="296"/>
      <c r="X27" s="295">
        <f ca="1" t="shared" si="5"/>
        <v>51265.85861766117</v>
      </c>
      <c r="Y27" s="296"/>
      <c r="Z27" s="25"/>
    </row>
    <row r="28" spans="2:26" s="58" customFormat="1" ht="15.75">
      <c r="B28" s="27">
        <f t="shared" si="0"/>
        <v>12</v>
      </c>
      <c r="C28" s="295">
        <f>SUMIF('1 Reclamation and O&amp;M costs'!$N$29:$N$38,B28,'1 Reclamation and O&amp;M costs'!$P$29:$P$38)*($H$7+1)</f>
        <v>0</v>
      </c>
      <c r="D28" s="296">
        <f>SUMIF('1 Reclamation and O&amp;M costs'!$M$29:$M$38,"&gt;="&amp;B28,'1 Reclamation and O&amp;M costs'!$R$29:$R$38)*($H$8+1)</f>
        <v>16723.313307971857</v>
      </c>
      <c r="E28" s="27"/>
      <c r="F28" s="27">
        <f t="shared" si="1"/>
        <v>12</v>
      </c>
      <c r="G28" s="295">
        <f>SUMIF('1 Reclamation and O&amp;M costs'!$J$46:$J$61,'3 WM cash flow'!F28,'1 Reclamation and O&amp;M costs'!$P$71:$P$86)*(1+$H$7)</f>
        <v>0</v>
      </c>
      <c r="H28" s="296">
        <f>SUMIF('1 Reclamation and O&amp;M costs'!$I$46:$I$61,'3 WM cash flow'!F28,'1 Reclamation and O&amp;M costs'!$S$71:$S$86)*(1+$H$7)</f>
        <v>115469.99999999999</v>
      </c>
      <c r="I28" s="295">
        <f>(IF('3 WM cash flow'!F28&lt;=('1 Reclamation and O&amp;M costs'!$O$24-'1 Reclamation and O&amp;M costs'!$O$23),0,SUMIF('1 Reclamation and O&amp;M costs'!$I$46:$I$61,"&gt;="&amp;'3 WM cash flow'!F28,'1 Reclamation and O&amp;M costs'!$N$71:$N$86))+IF('3 WM cash flow'!F28&lt;=('1 Reclamation and O&amp;M costs'!$O$24-'1 Reclamation and O&amp;M costs'!$O$23),'1 Reclamation and O&amp;M costs'!$I$90,0))*(1+$H$9)</f>
        <v>1958.4866799213426</v>
      </c>
      <c r="J28" s="296">
        <f>SUMIF('1 Reclamation and O&amp;M costs'!$I$46:$I$61,"&gt;="&amp;F28,'1 Reclamation and O&amp;M costs'!$Q$71:$Q$86)*(1+$H$8)</f>
        <v>7721.999999999999</v>
      </c>
      <c r="K28" s="17"/>
      <c r="L28" s="27">
        <f t="shared" si="2"/>
        <v>12</v>
      </c>
      <c r="M28" s="295">
        <f ca="1">SUMIF('1 Reclamation and O&amp;M costs'!$L$96:$L$113,'3 WM cash flow'!L28,'1 Reclamation and O&amp;M costs'!P108:$P$113)*(1+$H$7)</f>
        <v>0</v>
      </c>
      <c r="N28" s="296">
        <f>SUMIF('1 Reclamation and O&amp;M costs'!$K$96:$K$113,'3 WM cash flow'!L28,'1 Reclamation and O&amp;M costs'!$T$96:$T$113)*(1+$H$7)</f>
        <v>60954.80867860999</v>
      </c>
      <c r="O28" s="295">
        <f>SUMIF('1 Reclamation and O&amp;M costs'!$K$96:$K$113,"&gt;="&amp;B28,'1 Reclamation and O&amp;M costs'!$R$96:$R$113)*(1+$H$8)</f>
        <v>11003.151249089999</v>
      </c>
      <c r="P28" s="296"/>
      <c r="Q28" s="27">
        <f t="shared" si="3"/>
        <v>12</v>
      </c>
      <c r="R28" s="295">
        <f>SUMIF('1 Reclamation and O&amp;M costs'!$H$123:$H$133,'3 WM cash flow'!Q28,'1 Reclamation and O&amp;M costs'!$Q$123:$Q$133)*(1+$H$7)</f>
        <v>52960.37323499999</v>
      </c>
      <c r="S28" s="296">
        <f>SUMIF('1 Reclamation and O&amp;M costs'!$H$123:$H$133,"&gt;="&amp;Q28,'1 Reclamation and O&amp;M costs'!$O$123:$O$133)*(1+$H$8)</f>
        <v>9098.907380677969</v>
      </c>
      <c r="T28" s="26"/>
      <c r="U28" s="27">
        <f t="shared" si="4"/>
        <v>12</v>
      </c>
      <c r="V28" s="295">
        <f>(IF(U28&lt;('1 Reclamation and O&amp;M costs'!$O$24-'1 Reclamation and O&amp;M costs'!$O$23),'2 Sampling Cost'!$O$13,IF(U28&lt;'1 Reclamation and O&amp;M costs'!$O$25,'2 Sampling Cost'!$O$14,'2 Sampling Cost'!$O$15)))*(1+$H$9)</f>
        <v>2380</v>
      </c>
      <c r="W28" s="296"/>
      <c r="X28" s="295">
        <f ca="1" t="shared" si="5"/>
        <v>278271.04053127114</v>
      </c>
      <c r="Y28" s="296"/>
      <c r="Z28" s="26"/>
    </row>
    <row r="29" spans="2:26" s="58" customFormat="1" ht="15.75">
      <c r="B29" s="27">
        <f t="shared" si="0"/>
        <v>13</v>
      </c>
      <c r="C29" s="295">
        <f>SUMIF('1 Reclamation and O&amp;M costs'!$N$29:$N$38,B29,'1 Reclamation and O&amp;M costs'!$P$29:$P$38)*($H$7+1)</f>
        <v>0</v>
      </c>
      <c r="D29" s="296">
        <f>SUMIF('1 Reclamation and O&amp;M costs'!$M$29:$M$38,"&gt;="&amp;B29,'1 Reclamation and O&amp;M costs'!$R$29:$R$38)*($H$8+1)</f>
        <v>0</v>
      </c>
      <c r="E29" s="27"/>
      <c r="F29" s="27">
        <f t="shared" si="1"/>
        <v>13</v>
      </c>
      <c r="G29" s="295">
        <f>SUMIF('1 Reclamation and O&amp;M costs'!$J$46:$J$61,'3 WM cash flow'!F29,'1 Reclamation and O&amp;M costs'!$P$71:$P$86)*(1+$H$7)</f>
        <v>0</v>
      </c>
      <c r="H29" s="296">
        <f>SUMIF('1 Reclamation and O&amp;M costs'!$I$46:$I$61,'3 WM cash flow'!F29,'1 Reclamation and O&amp;M costs'!$S$71:$S$86)*(1+$H$7)</f>
        <v>0</v>
      </c>
      <c r="I29" s="295">
        <f>(IF('3 WM cash flow'!F29&lt;=('1 Reclamation and O&amp;M costs'!$O$24-'1 Reclamation and O&amp;M costs'!$O$23),0,SUMIF('1 Reclamation and O&amp;M costs'!$I$46:$I$61,"&gt;="&amp;'3 WM cash flow'!F29,'1 Reclamation and O&amp;M costs'!$N$71:$N$86))+IF('3 WM cash flow'!F29&lt;=('1 Reclamation and O&amp;M costs'!$O$24-'1 Reclamation and O&amp;M costs'!$O$23),'1 Reclamation and O&amp;M costs'!$I$90,0))*(1+$H$9)</f>
        <v>0</v>
      </c>
      <c r="J29" s="296">
        <f>SUMIF('1 Reclamation and O&amp;M costs'!$I$46:$I$61,"&gt;="&amp;F29,'1 Reclamation and O&amp;M costs'!$Q$71:$Q$86)*(1+$H$8)</f>
        <v>0</v>
      </c>
      <c r="K29" s="17"/>
      <c r="L29" s="27">
        <f t="shared" si="2"/>
        <v>13</v>
      </c>
      <c r="M29" s="295">
        <f ca="1">SUMIF('1 Reclamation and O&amp;M costs'!$L$96:$L$113,'3 WM cash flow'!L29,'1 Reclamation and O&amp;M costs'!P109:$P$113)*(1+$H$7)</f>
        <v>0</v>
      </c>
      <c r="N29" s="296">
        <f>SUMIF('1 Reclamation and O&amp;M costs'!$K$96:$K$113,'3 WM cash flow'!L29,'1 Reclamation and O&amp;M costs'!$T$96:$T$113)*(1+$H$7)</f>
        <v>0</v>
      </c>
      <c r="O29" s="295">
        <f>SUMIF('1 Reclamation and O&amp;M costs'!$K$96:$K$113,"&gt;="&amp;B29,'1 Reclamation and O&amp;M costs'!$R$96:$R$113)*(1+$H$8)</f>
        <v>0</v>
      </c>
      <c r="P29" s="296"/>
      <c r="Q29" s="27">
        <f t="shared" si="3"/>
        <v>13</v>
      </c>
      <c r="R29" s="295">
        <f>SUMIF('1 Reclamation and O&amp;M costs'!$H$123:$H$133,'3 WM cash flow'!Q29,'1 Reclamation and O&amp;M costs'!$Q$123:$Q$133)*(1+$H$7)</f>
        <v>0</v>
      </c>
      <c r="S29" s="296">
        <f>SUMIF('1 Reclamation and O&amp;M costs'!$H$123:$H$133,"&gt;="&amp;Q29,'1 Reclamation and O&amp;M costs'!$O$123:$O$133)*(1+$H$8)</f>
        <v>0</v>
      </c>
      <c r="T29" s="26"/>
      <c r="U29" s="27">
        <f t="shared" si="4"/>
        <v>13</v>
      </c>
      <c r="V29" s="295">
        <f>(IF(U29&lt;('1 Reclamation and O&amp;M costs'!$O$24-'1 Reclamation and O&amp;M costs'!$O$23),'2 Sampling Cost'!$O$13,IF(U29&lt;'1 Reclamation and O&amp;M costs'!$O$25,'2 Sampling Cost'!$O$14,'2 Sampling Cost'!$O$15)))*(1+$H$9)</f>
        <v>2380</v>
      </c>
      <c r="W29" s="296"/>
      <c r="X29" s="295">
        <f ca="1" t="shared" si="5"/>
        <v>2380</v>
      </c>
      <c r="Y29" s="296"/>
      <c r="Z29" s="26"/>
    </row>
    <row r="30" spans="2:26" s="58" customFormat="1" ht="15.75">
      <c r="B30" s="27">
        <f t="shared" si="0"/>
        <v>14</v>
      </c>
      <c r="C30" s="295">
        <f>SUMIF('1 Reclamation and O&amp;M costs'!$N$29:$N$38,B30,'1 Reclamation and O&amp;M costs'!$P$29:$P$38)*($H$7+1)</f>
        <v>0</v>
      </c>
      <c r="D30" s="296">
        <f>SUMIF('1 Reclamation and O&amp;M costs'!$M$29:$M$38,"&gt;="&amp;B30,'1 Reclamation and O&amp;M costs'!$R$29:$R$38)*($H$8+1)</f>
        <v>0</v>
      </c>
      <c r="E30" s="27"/>
      <c r="F30" s="27">
        <f t="shared" si="1"/>
        <v>14</v>
      </c>
      <c r="G30" s="295">
        <f>SUMIF('1 Reclamation and O&amp;M costs'!$J$46:$J$61,'3 WM cash flow'!F30,'1 Reclamation and O&amp;M costs'!$P$71:$P$86)*(1+$H$7)</f>
        <v>0</v>
      </c>
      <c r="H30" s="296">
        <f>SUMIF('1 Reclamation and O&amp;M costs'!$I$46:$I$61,'3 WM cash flow'!F30,'1 Reclamation and O&amp;M costs'!$S$71:$S$86)*(1+$H$7)</f>
        <v>0</v>
      </c>
      <c r="I30" s="295">
        <f>(IF('3 WM cash flow'!F30&lt;=('1 Reclamation and O&amp;M costs'!$O$24-'1 Reclamation and O&amp;M costs'!$O$23),0,SUMIF('1 Reclamation and O&amp;M costs'!$I$46:$I$61,"&gt;="&amp;'3 WM cash flow'!F30,'1 Reclamation and O&amp;M costs'!$N$71:$N$86))+IF('3 WM cash flow'!F30&lt;=('1 Reclamation and O&amp;M costs'!$O$24-'1 Reclamation and O&amp;M costs'!$O$23),'1 Reclamation and O&amp;M costs'!$I$90,0))*(1+$H$9)</f>
        <v>0</v>
      </c>
      <c r="J30" s="296">
        <f>SUMIF('1 Reclamation and O&amp;M costs'!$I$46:$I$61,"&gt;="&amp;F30,'1 Reclamation and O&amp;M costs'!$Q$71:$Q$86)*(1+$H$8)</f>
        <v>0</v>
      </c>
      <c r="K30" s="17"/>
      <c r="L30" s="27">
        <f t="shared" si="2"/>
        <v>14</v>
      </c>
      <c r="M30" s="295">
        <f ca="1">SUMIF('1 Reclamation and O&amp;M costs'!$L$96:$L$113,'3 WM cash flow'!L30,'1 Reclamation and O&amp;M costs'!P110:$P$113)*(1+$H$7)</f>
        <v>0</v>
      </c>
      <c r="N30" s="296">
        <f>SUMIF('1 Reclamation and O&amp;M costs'!$K$96:$K$113,'3 WM cash flow'!L30,'1 Reclamation and O&amp;M costs'!$T$96:$T$113)*(1+$H$7)</f>
        <v>0</v>
      </c>
      <c r="O30" s="295">
        <f>SUMIF('1 Reclamation and O&amp;M costs'!$K$96:$K$113,"&gt;="&amp;B30,'1 Reclamation and O&amp;M costs'!$R$96:$R$113)*(1+$H$8)</f>
        <v>0</v>
      </c>
      <c r="P30" s="296"/>
      <c r="Q30" s="27">
        <f t="shared" si="3"/>
        <v>14</v>
      </c>
      <c r="R30" s="295">
        <f>SUMIF('1 Reclamation and O&amp;M costs'!$H$123:$H$133,'3 WM cash flow'!Q30,'1 Reclamation and O&amp;M costs'!$Q$123:$Q$133)*(1+$H$7)</f>
        <v>0</v>
      </c>
      <c r="S30" s="296">
        <f>SUMIF('1 Reclamation and O&amp;M costs'!$H$123:$H$133,"&gt;="&amp;Q30,'1 Reclamation and O&amp;M costs'!$O$123:$O$133)*(1+$H$8)</f>
        <v>0</v>
      </c>
      <c r="T30" s="26"/>
      <c r="U30" s="27">
        <f t="shared" si="4"/>
        <v>14</v>
      </c>
      <c r="V30" s="295">
        <f>(IF(U30&lt;('1 Reclamation and O&amp;M costs'!$O$24-'1 Reclamation and O&amp;M costs'!$O$23),'2 Sampling Cost'!$O$13,IF(U30&lt;'1 Reclamation and O&amp;M costs'!$O$25,'2 Sampling Cost'!$O$14,'2 Sampling Cost'!$O$15)))*(1+$H$9)</f>
        <v>2380</v>
      </c>
      <c r="W30" s="296"/>
      <c r="X30" s="295">
        <f ca="1" t="shared" si="5"/>
        <v>2380</v>
      </c>
      <c r="Y30" s="296"/>
      <c r="Z30" s="26"/>
    </row>
    <row r="31" spans="2:26" s="58" customFormat="1" ht="15.75">
      <c r="B31" s="27">
        <f t="shared" si="0"/>
        <v>15</v>
      </c>
      <c r="C31" s="295">
        <f>SUMIF('1 Reclamation and O&amp;M costs'!$N$29:$N$38,B31,'1 Reclamation and O&amp;M costs'!$P$29:$P$38)*($H$7+1)</f>
        <v>0</v>
      </c>
      <c r="D31" s="296">
        <f>SUMIF('1 Reclamation and O&amp;M costs'!$M$29:$M$38,"&gt;="&amp;B31,'1 Reclamation and O&amp;M costs'!$R$29:$R$38)*($H$8+1)</f>
        <v>0</v>
      </c>
      <c r="E31" s="27"/>
      <c r="F31" s="27">
        <f t="shared" si="1"/>
        <v>15</v>
      </c>
      <c r="G31" s="295">
        <f>SUMIF('1 Reclamation and O&amp;M costs'!$J$46:$J$61,'3 WM cash flow'!F31,'1 Reclamation and O&amp;M costs'!$P$71:$P$86)*(1+$H$7)</f>
        <v>0</v>
      </c>
      <c r="H31" s="296">
        <f>SUMIF('1 Reclamation and O&amp;M costs'!$I$46:$I$61,'3 WM cash flow'!F31,'1 Reclamation and O&amp;M costs'!$S$71:$S$86)*(1+$H$7)</f>
        <v>0</v>
      </c>
      <c r="I31" s="295">
        <f>(IF('3 WM cash flow'!F31&lt;=('1 Reclamation and O&amp;M costs'!$O$24-'1 Reclamation and O&amp;M costs'!$O$23),0,SUMIF('1 Reclamation and O&amp;M costs'!$I$46:$I$61,"&gt;="&amp;'3 WM cash flow'!F31,'1 Reclamation and O&amp;M costs'!$N$71:$N$86))+IF('3 WM cash flow'!F31&lt;=('1 Reclamation and O&amp;M costs'!$O$24-'1 Reclamation and O&amp;M costs'!$O$23),'1 Reclamation and O&amp;M costs'!$I$90,0))*(1+$H$9)</f>
        <v>0</v>
      </c>
      <c r="J31" s="296">
        <f>SUMIF('1 Reclamation and O&amp;M costs'!$I$46:$I$61,"&gt;="&amp;F31,'1 Reclamation and O&amp;M costs'!$Q$71:$Q$86)*(1+$H$8)</f>
        <v>0</v>
      </c>
      <c r="K31" s="17"/>
      <c r="L31" s="27">
        <f t="shared" si="2"/>
        <v>15</v>
      </c>
      <c r="M31" s="295">
        <f ca="1">SUMIF('1 Reclamation and O&amp;M costs'!$L$96:$L$113,'3 WM cash flow'!L31,'1 Reclamation and O&amp;M costs'!P111:$P$113)*(1+$H$7)</f>
        <v>0</v>
      </c>
      <c r="N31" s="296">
        <f>SUMIF('1 Reclamation and O&amp;M costs'!$K$96:$K$113,'3 WM cash flow'!L31,'1 Reclamation and O&amp;M costs'!$T$96:$T$113)*(1+$H$7)</f>
        <v>0</v>
      </c>
      <c r="O31" s="295">
        <f>SUMIF('1 Reclamation and O&amp;M costs'!$K$96:$K$113,"&gt;="&amp;B31,'1 Reclamation and O&amp;M costs'!$R$96:$R$113)*(1+$H$8)</f>
        <v>0</v>
      </c>
      <c r="P31" s="296"/>
      <c r="Q31" s="27">
        <f t="shared" si="3"/>
        <v>15</v>
      </c>
      <c r="R31" s="295">
        <f>SUMIF('1 Reclamation and O&amp;M costs'!$H$123:$H$133,'3 WM cash flow'!Q31,'1 Reclamation and O&amp;M costs'!$Q$123:$Q$133)*(1+$H$7)</f>
        <v>0</v>
      </c>
      <c r="S31" s="296">
        <f>SUMIF('1 Reclamation and O&amp;M costs'!$H$123:$H$133,"&gt;="&amp;Q31,'1 Reclamation and O&amp;M costs'!$O$123:$O$133)*(1+$H$8)</f>
        <v>0</v>
      </c>
      <c r="T31" s="26"/>
      <c r="U31" s="27">
        <f t="shared" si="4"/>
        <v>15</v>
      </c>
      <c r="V31" s="295">
        <f>(IF(U31&lt;('1 Reclamation and O&amp;M costs'!$O$24-'1 Reclamation and O&amp;M costs'!$O$23),'2 Sampling Cost'!$O$13,IF(U31&lt;'1 Reclamation and O&amp;M costs'!$O$25,'2 Sampling Cost'!$O$14,'2 Sampling Cost'!$O$15)))*(1+$H$9)</f>
        <v>2380</v>
      </c>
      <c r="W31" s="296"/>
      <c r="X31" s="295">
        <f ca="1" t="shared" si="5"/>
        <v>2380</v>
      </c>
      <c r="Y31" s="296"/>
      <c r="Z31" s="26"/>
    </row>
    <row r="32" spans="2:26" s="58" customFormat="1" ht="15.75">
      <c r="B32" s="27">
        <f t="shared" si="0"/>
        <v>16</v>
      </c>
      <c r="C32" s="295">
        <f>SUMIF('1 Reclamation and O&amp;M costs'!$N$29:$N$38,B32,'1 Reclamation and O&amp;M costs'!$P$29:$P$38)*($H$7+1)</f>
        <v>0</v>
      </c>
      <c r="D32" s="296">
        <f>SUMIF('1 Reclamation and O&amp;M costs'!$M$29:$M$38,"&gt;="&amp;B32,'1 Reclamation and O&amp;M costs'!$R$29:$R$38)*($H$8+1)</f>
        <v>0</v>
      </c>
      <c r="E32" s="27"/>
      <c r="F32" s="27">
        <f t="shared" si="1"/>
        <v>16</v>
      </c>
      <c r="G32" s="295">
        <f>SUMIF('1 Reclamation and O&amp;M costs'!$J$46:$J$61,'3 WM cash flow'!F32,'1 Reclamation and O&amp;M costs'!$P$71:$P$86)*(1+$H$7)</f>
        <v>0</v>
      </c>
      <c r="H32" s="296">
        <f>SUMIF('1 Reclamation and O&amp;M costs'!$I$46:$I$61,'3 WM cash flow'!F32,'1 Reclamation and O&amp;M costs'!$S$71:$S$86)*(1+$H$7)</f>
        <v>0</v>
      </c>
      <c r="I32" s="295">
        <f>(IF('3 WM cash flow'!F32&lt;=('1 Reclamation and O&amp;M costs'!$O$24-'1 Reclamation and O&amp;M costs'!$O$23),0,SUMIF('1 Reclamation and O&amp;M costs'!$I$46:$I$61,"&gt;="&amp;'3 WM cash flow'!F32,'1 Reclamation and O&amp;M costs'!$N$71:$N$86))+IF('3 WM cash flow'!F32&lt;=('1 Reclamation and O&amp;M costs'!$O$24-'1 Reclamation and O&amp;M costs'!$O$23),'1 Reclamation and O&amp;M costs'!$I$90,0))*(1+$H$9)</f>
        <v>0</v>
      </c>
      <c r="J32" s="296">
        <f>SUMIF('1 Reclamation and O&amp;M costs'!$I$46:$I$61,"&gt;="&amp;F32,'1 Reclamation and O&amp;M costs'!$Q$71:$Q$86)*(1+$H$8)</f>
        <v>0</v>
      </c>
      <c r="K32" s="17"/>
      <c r="L32" s="27">
        <f t="shared" si="2"/>
        <v>16</v>
      </c>
      <c r="M32" s="295">
        <f ca="1">SUMIF('1 Reclamation and O&amp;M costs'!$L$96:$L$113,'3 WM cash flow'!L32,'1 Reclamation and O&amp;M costs'!P112:$P$113)*(1+$H$7)</f>
        <v>0</v>
      </c>
      <c r="N32" s="296">
        <f>SUMIF('1 Reclamation and O&amp;M costs'!$K$96:$K$113,'3 WM cash flow'!L32,'1 Reclamation and O&amp;M costs'!$T$96:$T$113)*(1+$H$7)</f>
        <v>0</v>
      </c>
      <c r="O32" s="295">
        <f>SUMIF('1 Reclamation and O&amp;M costs'!$K$96:$K$113,"&gt;="&amp;B32,'1 Reclamation and O&amp;M costs'!$R$96:$R$113)*(1+$H$8)</f>
        <v>0</v>
      </c>
      <c r="P32" s="296"/>
      <c r="Q32" s="27">
        <f t="shared" si="3"/>
        <v>16</v>
      </c>
      <c r="R32" s="295">
        <f>SUMIF('1 Reclamation and O&amp;M costs'!$H$123:$H$133,'3 WM cash flow'!Q32,'1 Reclamation and O&amp;M costs'!$Q$123:$Q$133)*(1+$H$7)</f>
        <v>0</v>
      </c>
      <c r="S32" s="296">
        <f>SUMIF('1 Reclamation and O&amp;M costs'!$H$123:$H$133,"&gt;="&amp;Q32,'1 Reclamation and O&amp;M costs'!$O$123:$O$133)*(1+$H$8)</f>
        <v>0</v>
      </c>
      <c r="T32" s="26"/>
      <c r="U32" s="27">
        <f t="shared" si="4"/>
        <v>16</v>
      </c>
      <c r="V32" s="295">
        <f>(IF(U32&lt;('1 Reclamation and O&amp;M costs'!$O$24-'1 Reclamation and O&amp;M costs'!$O$23),'2 Sampling Cost'!$O$13,IF(U32&lt;'1 Reclamation and O&amp;M costs'!$O$25,'2 Sampling Cost'!$O$14,'2 Sampling Cost'!$O$15)))*(1+$H$9)</f>
        <v>2380</v>
      </c>
      <c r="W32" s="296"/>
      <c r="X32" s="295">
        <f ca="1" t="shared" si="5"/>
        <v>2380</v>
      </c>
      <c r="Y32" s="296"/>
      <c r="Z32" s="26"/>
    </row>
    <row r="33" spans="2:26" s="58" customFormat="1" ht="15.75">
      <c r="B33" s="27">
        <f t="shared" si="0"/>
        <v>17</v>
      </c>
      <c r="C33" s="295">
        <f>SUMIF('1 Reclamation and O&amp;M costs'!$N$29:$N$38,B33,'1 Reclamation and O&amp;M costs'!$P$29:$P$38)*($H$7+1)</f>
        <v>0</v>
      </c>
      <c r="D33" s="296">
        <f>SUMIF('1 Reclamation and O&amp;M costs'!$M$29:$M$38,"&gt;="&amp;B33,'1 Reclamation and O&amp;M costs'!$R$29:$R$38)*($H$8+1)</f>
        <v>0</v>
      </c>
      <c r="E33" s="27"/>
      <c r="F33" s="27">
        <f t="shared" si="1"/>
        <v>17</v>
      </c>
      <c r="G33" s="295">
        <f>SUMIF('1 Reclamation and O&amp;M costs'!$J$46:$J$61,'3 WM cash flow'!F33,'1 Reclamation and O&amp;M costs'!$P$71:$P$86)*(1+$H$7)</f>
        <v>0</v>
      </c>
      <c r="H33" s="296">
        <f>SUMIF('1 Reclamation and O&amp;M costs'!$I$46:$I$61,'3 WM cash flow'!F33,'1 Reclamation and O&amp;M costs'!$S$71:$S$86)*(1+$H$7)</f>
        <v>0</v>
      </c>
      <c r="I33" s="295">
        <f>(IF('3 WM cash flow'!F33&lt;=('1 Reclamation and O&amp;M costs'!$O$24-'1 Reclamation and O&amp;M costs'!$O$23),0,SUMIF('1 Reclamation and O&amp;M costs'!$I$46:$I$61,"&gt;="&amp;'3 WM cash flow'!F33,'1 Reclamation and O&amp;M costs'!$N$71:$N$86))+IF('3 WM cash flow'!F33&lt;=('1 Reclamation and O&amp;M costs'!$O$24-'1 Reclamation and O&amp;M costs'!$O$23),'1 Reclamation and O&amp;M costs'!$I$90,0))*(1+$H$9)</f>
        <v>0</v>
      </c>
      <c r="J33" s="296">
        <f>SUMIF('1 Reclamation and O&amp;M costs'!$I$46:$I$61,"&gt;="&amp;F33,'1 Reclamation and O&amp;M costs'!$Q$71:$Q$86)*(1+$H$8)</f>
        <v>0</v>
      </c>
      <c r="K33" s="17"/>
      <c r="L33" s="27">
        <f t="shared" si="2"/>
        <v>17</v>
      </c>
      <c r="M33" s="295">
        <f ca="1">SUMIF('1 Reclamation and O&amp;M costs'!$L$96:$L$113,'3 WM cash flow'!L33,'1 Reclamation and O&amp;M costs'!P113:$P$113)*(1+$H$7)</f>
        <v>0</v>
      </c>
      <c r="N33" s="296">
        <f>SUMIF('1 Reclamation and O&amp;M costs'!$K$96:$K$113,'3 WM cash flow'!L33,'1 Reclamation and O&amp;M costs'!$T$96:$T$113)*(1+$H$7)</f>
        <v>0</v>
      </c>
      <c r="O33" s="295">
        <f>SUMIF('1 Reclamation and O&amp;M costs'!$K$96:$K$113,"&gt;="&amp;B33,'1 Reclamation and O&amp;M costs'!$R$96:$R$113)*(1+$H$8)</f>
        <v>0</v>
      </c>
      <c r="P33" s="296"/>
      <c r="Q33" s="27">
        <f t="shared" si="3"/>
        <v>17</v>
      </c>
      <c r="R33" s="295">
        <f>SUMIF('1 Reclamation and O&amp;M costs'!$H$123:$H$133,'3 WM cash flow'!Q33,'1 Reclamation and O&amp;M costs'!$Q$123:$Q$133)*(1+$H$7)</f>
        <v>0</v>
      </c>
      <c r="S33" s="296">
        <f>SUMIF('1 Reclamation and O&amp;M costs'!$H$123:$H$133,"&gt;="&amp;Q33,'1 Reclamation and O&amp;M costs'!$O$123:$O$133)*(1+$H$8)</f>
        <v>0</v>
      </c>
      <c r="T33" s="26"/>
      <c r="U33" s="27">
        <f t="shared" si="4"/>
        <v>17</v>
      </c>
      <c r="V33" s="295">
        <f>(IF(U33&lt;('1 Reclamation and O&amp;M costs'!$O$24-'1 Reclamation and O&amp;M costs'!$O$23),'2 Sampling Cost'!$O$13,IF(U33&lt;'1 Reclamation and O&amp;M costs'!$O$25,'2 Sampling Cost'!$O$14,'2 Sampling Cost'!$O$15)))*(1+$H$9)</f>
        <v>2380</v>
      </c>
      <c r="W33" s="296"/>
      <c r="X33" s="295">
        <f ca="1" t="shared" si="5"/>
        <v>2380</v>
      </c>
      <c r="Y33" s="296"/>
      <c r="Z33" s="26"/>
    </row>
    <row r="34" spans="2:26" ht="15.75">
      <c r="B34" s="17">
        <f t="shared" si="0"/>
        <v>18</v>
      </c>
      <c r="C34" s="295">
        <f>SUMIF('1 Reclamation and O&amp;M costs'!$N$29:$N$38,B34,'1 Reclamation and O&amp;M costs'!$P$29:$P$38)*($H$7+1)</f>
        <v>0</v>
      </c>
      <c r="D34" s="296">
        <f>SUMIF('1 Reclamation and O&amp;M costs'!$M$29:$M$38,"&gt;="&amp;B34,'1 Reclamation and O&amp;M costs'!$R$29:$R$38)*($H$8+1)</f>
        <v>0</v>
      </c>
      <c r="E34" s="17"/>
      <c r="F34" s="17">
        <f t="shared" si="1"/>
        <v>18</v>
      </c>
      <c r="G34" s="295">
        <f>SUMIF('1 Reclamation and O&amp;M costs'!$J$46:$J$61,'3 WM cash flow'!F34,'1 Reclamation and O&amp;M costs'!$P$71:$P$86)*(1+$H$7)</f>
        <v>0</v>
      </c>
      <c r="H34" s="296">
        <f>SUMIF('1 Reclamation and O&amp;M costs'!$I$46:$I$61,'3 WM cash flow'!F34,'1 Reclamation and O&amp;M costs'!$S$71:$S$86)*(1+$H$7)</f>
        <v>0</v>
      </c>
      <c r="I34" s="295">
        <f>(IF('3 WM cash flow'!F34&lt;=('1 Reclamation and O&amp;M costs'!$O$24-'1 Reclamation and O&amp;M costs'!$O$23),0,SUMIF('1 Reclamation and O&amp;M costs'!$I$46:$I$61,"&gt;="&amp;'3 WM cash flow'!F34,'1 Reclamation and O&amp;M costs'!$N$71:$N$86))+IF('3 WM cash flow'!F34&lt;=('1 Reclamation and O&amp;M costs'!$O$24-'1 Reclamation and O&amp;M costs'!$O$23),'1 Reclamation and O&amp;M costs'!$I$90,0))*(1+$H$9)</f>
        <v>0</v>
      </c>
      <c r="J34" s="296">
        <f>SUMIF('1 Reclamation and O&amp;M costs'!$I$46:$I$61,"&gt;="&amp;F34,'1 Reclamation and O&amp;M costs'!$Q$71:$Q$86)*(1+$H$8)</f>
        <v>0</v>
      </c>
      <c r="K34" s="17"/>
      <c r="L34" s="17">
        <f t="shared" si="2"/>
        <v>18</v>
      </c>
      <c r="M34" s="295">
        <f ca="1">SUMIF('1 Reclamation and O&amp;M costs'!$L$96:$L$113,'3 WM cash flow'!L34,'1 Reclamation and O&amp;M costs'!P$113:$P114)*(1+$H$7)</f>
        <v>0</v>
      </c>
      <c r="N34" s="296">
        <f>SUMIF('1 Reclamation and O&amp;M costs'!$K$96:$K$113,'3 WM cash flow'!L34,'1 Reclamation and O&amp;M costs'!$T$96:$T$113)*(1+$H$7)</f>
        <v>0</v>
      </c>
      <c r="O34" s="295">
        <f>SUMIF('1 Reclamation and O&amp;M costs'!$K$96:$K$113,"&gt;="&amp;B34,'1 Reclamation and O&amp;M costs'!$R$96:$R$113)*(1+$H$8)</f>
        <v>0</v>
      </c>
      <c r="P34" s="296"/>
      <c r="Q34" s="17">
        <f t="shared" si="3"/>
        <v>18</v>
      </c>
      <c r="R34" s="295">
        <f>SUMIF('1 Reclamation and O&amp;M costs'!$H$123:$H$133,'3 WM cash flow'!Q34,'1 Reclamation and O&amp;M costs'!$Q$123:$Q$133)*(1+$H$7)</f>
        <v>0</v>
      </c>
      <c r="S34" s="296">
        <f>SUMIF('1 Reclamation and O&amp;M costs'!$H$123:$H$133,"&gt;="&amp;Q34,'1 Reclamation and O&amp;M costs'!$O$123:$O$133)*(1+$H$8)</f>
        <v>0</v>
      </c>
      <c r="T34" s="25"/>
      <c r="U34" s="17">
        <f t="shared" si="4"/>
        <v>18</v>
      </c>
      <c r="V34" s="295">
        <f>(IF(U34&lt;('1 Reclamation and O&amp;M costs'!$O$24-'1 Reclamation and O&amp;M costs'!$O$23),'2 Sampling Cost'!$O$13,IF(U34&lt;'1 Reclamation and O&amp;M costs'!$O$25,'2 Sampling Cost'!$O$14,'2 Sampling Cost'!$O$15)))*(1+$H$9)</f>
        <v>2380</v>
      </c>
      <c r="W34" s="296"/>
      <c r="X34" s="295">
        <f ca="1" t="shared" si="5"/>
        <v>2380</v>
      </c>
      <c r="Y34" s="296"/>
      <c r="Z34" s="25"/>
    </row>
    <row r="35" spans="2:26" ht="15.75">
      <c r="B35" s="17">
        <f t="shared" si="0"/>
        <v>19</v>
      </c>
      <c r="C35" s="295">
        <f>SUMIF('1 Reclamation and O&amp;M costs'!$N$29:$N$38,B35,'1 Reclamation and O&amp;M costs'!$P$29:$P$38)*($H$7+1)</f>
        <v>0</v>
      </c>
      <c r="D35" s="296">
        <f>SUMIF('1 Reclamation and O&amp;M costs'!$M$29:$M$38,"&gt;="&amp;B35,'1 Reclamation and O&amp;M costs'!$R$29:$R$38)*($H$8+1)</f>
        <v>0</v>
      </c>
      <c r="E35" s="17"/>
      <c r="F35" s="17">
        <f t="shared" si="1"/>
        <v>19</v>
      </c>
      <c r="G35" s="295">
        <f>SUMIF('1 Reclamation and O&amp;M costs'!$J$46:$J$61,'3 WM cash flow'!F35,'1 Reclamation and O&amp;M costs'!$P$71:$P$86)*(1+$H$7)</f>
        <v>0</v>
      </c>
      <c r="H35" s="296">
        <f>SUMIF('1 Reclamation and O&amp;M costs'!$I$46:$I$61,'3 WM cash flow'!F35,'1 Reclamation and O&amp;M costs'!$S$71:$S$86)*(1+$H$7)</f>
        <v>0</v>
      </c>
      <c r="I35" s="295">
        <f>(IF('3 WM cash flow'!F35&lt;=('1 Reclamation and O&amp;M costs'!$O$24-'1 Reclamation and O&amp;M costs'!$O$23),0,SUMIF('1 Reclamation and O&amp;M costs'!$I$46:$I$61,"&gt;="&amp;'3 WM cash flow'!F35,'1 Reclamation and O&amp;M costs'!$N$71:$N$86))+IF('3 WM cash flow'!F35&lt;=('1 Reclamation and O&amp;M costs'!$O$24-'1 Reclamation and O&amp;M costs'!$O$23),'1 Reclamation and O&amp;M costs'!$I$90,0))*(1+$H$9)</f>
        <v>0</v>
      </c>
      <c r="J35" s="296">
        <f>SUMIF('1 Reclamation and O&amp;M costs'!$I$46:$I$61,"&gt;="&amp;F35,'1 Reclamation and O&amp;M costs'!$Q$71:$Q$86)*(1+$H$8)</f>
        <v>0</v>
      </c>
      <c r="K35" s="17"/>
      <c r="L35" s="17">
        <f t="shared" si="2"/>
        <v>19</v>
      </c>
      <c r="M35" s="295">
        <f ca="1">SUMIF('1 Reclamation and O&amp;M costs'!$L$96:$L$113,'3 WM cash flow'!L35,'1 Reclamation and O&amp;M costs'!P$113:$P115)*(1+$H$7)</f>
        <v>0</v>
      </c>
      <c r="N35" s="296">
        <f>SUMIF('1 Reclamation and O&amp;M costs'!$K$96:$K$113,'3 WM cash flow'!L35,'1 Reclamation and O&amp;M costs'!$T$96:$T$113)*(1+$H$7)</f>
        <v>0</v>
      </c>
      <c r="O35" s="295">
        <f>SUMIF('1 Reclamation and O&amp;M costs'!$K$96:$K$113,"&gt;="&amp;B35,'1 Reclamation and O&amp;M costs'!$R$96:$R$113)*(1+$H$8)</f>
        <v>0</v>
      </c>
      <c r="P35" s="296"/>
      <c r="Q35" s="17">
        <f t="shared" si="3"/>
        <v>19</v>
      </c>
      <c r="R35" s="295">
        <f>SUMIF('1 Reclamation and O&amp;M costs'!$H$123:$H$133,'3 WM cash flow'!Q35,'1 Reclamation and O&amp;M costs'!$Q$123:$Q$133)*(1+$H$7)</f>
        <v>0</v>
      </c>
      <c r="S35" s="296">
        <f>SUMIF('1 Reclamation and O&amp;M costs'!$H$123:$H$133,"&gt;="&amp;Q35,'1 Reclamation and O&amp;M costs'!$O$123:$O$133)*(1+$H$8)</f>
        <v>0</v>
      </c>
      <c r="T35" s="25"/>
      <c r="U35" s="17">
        <f t="shared" si="4"/>
        <v>19</v>
      </c>
      <c r="V35" s="295">
        <f>(IF(U35&lt;('1 Reclamation and O&amp;M costs'!$O$24-'1 Reclamation and O&amp;M costs'!$O$23),'2 Sampling Cost'!$O$13,IF(U35&lt;'1 Reclamation and O&amp;M costs'!$O$25,'2 Sampling Cost'!$O$14,'2 Sampling Cost'!$O$15)))*(1+$H$9)</f>
        <v>2380</v>
      </c>
      <c r="W35" s="296"/>
      <c r="X35" s="295">
        <f ca="1" t="shared" si="5"/>
        <v>2380</v>
      </c>
      <c r="Y35" s="296"/>
      <c r="Z35" s="25"/>
    </row>
    <row r="36" spans="2:26" ht="15.75">
      <c r="B36" s="17">
        <f t="shared" si="0"/>
        <v>20</v>
      </c>
      <c r="C36" s="295">
        <f>SUMIF('1 Reclamation and O&amp;M costs'!$N$29:$N$38,B36,'1 Reclamation and O&amp;M costs'!$P$29:$P$38)*($H$7+1)</f>
        <v>0</v>
      </c>
      <c r="D36" s="296">
        <f>SUMIF('1 Reclamation and O&amp;M costs'!$M$29:$M$38,"&gt;="&amp;B36,'1 Reclamation and O&amp;M costs'!$R$29:$R$38)*($H$8+1)</f>
        <v>0</v>
      </c>
      <c r="E36" s="17"/>
      <c r="F36" s="17">
        <f t="shared" si="1"/>
        <v>20</v>
      </c>
      <c r="G36" s="295">
        <f>SUMIF('1 Reclamation and O&amp;M costs'!$J$46:$J$61,'3 WM cash flow'!F36,'1 Reclamation and O&amp;M costs'!$P$71:$P$86)*(1+$H$7)</f>
        <v>0</v>
      </c>
      <c r="H36" s="296">
        <f>SUMIF('1 Reclamation and O&amp;M costs'!$I$46:$I$61,'3 WM cash flow'!F36,'1 Reclamation and O&amp;M costs'!$S$71:$S$86)*(1+$H$7)</f>
        <v>0</v>
      </c>
      <c r="I36" s="295">
        <f>(IF('3 WM cash flow'!F36&lt;=('1 Reclamation and O&amp;M costs'!$O$24-'1 Reclamation and O&amp;M costs'!$O$23),0,SUMIF('1 Reclamation and O&amp;M costs'!$I$46:$I$61,"&gt;="&amp;'3 WM cash flow'!F36,'1 Reclamation and O&amp;M costs'!$N$71:$N$86))+IF('3 WM cash flow'!F36&lt;=('1 Reclamation and O&amp;M costs'!$O$24-'1 Reclamation and O&amp;M costs'!$O$23),'1 Reclamation and O&amp;M costs'!$I$90,0))*(1+$H$9)</f>
        <v>0</v>
      </c>
      <c r="J36" s="296">
        <f>SUMIF('1 Reclamation and O&amp;M costs'!$I$46:$I$61,"&gt;="&amp;F36,'1 Reclamation and O&amp;M costs'!$Q$71:$Q$86)*(1+$H$8)</f>
        <v>0</v>
      </c>
      <c r="K36" s="17"/>
      <c r="L36" s="17">
        <f t="shared" si="2"/>
        <v>20</v>
      </c>
      <c r="M36" s="295">
        <f ca="1">SUMIF('1 Reclamation and O&amp;M costs'!$L$96:$L$113,'3 WM cash flow'!L36,'1 Reclamation and O&amp;M costs'!P$113:$P116)*(1+$H$7)</f>
        <v>0</v>
      </c>
      <c r="N36" s="296">
        <f>SUMIF('1 Reclamation and O&amp;M costs'!$K$96:$K$113,'3 WM cash flow'!L36,'1 Reclamation and O&amp;M costs'!$T$96:$T$113)*(1+$H$7)</f>
        <v>0</v>
      </c>
      <c r="O36" s="295">
        <f>SUMIF('1 Reclamation and O&amp;M costs'!$K$96:$K$113,"&gt;="&amp;B36,'1 Reclamation and O&amp;M costs'!$R$96:$R$113)*(1+$H$8)</f>
        <v>0</v>
      </c>
      <c r="P36" s="296"/>
      <c r="Q36" s="17">
        <f t="shared" si="3"/>
        <v>20</v>
      </c>
      <c r="R36" s="295">
        <f>SUMIF('1 Reclamation and O&amp;M costs'!$H$123:$H$133,'3 WM cash flow'!Q36,'1 Reclamation and O&amp;M costs'!$Q$123:$Q$133)*(1+$H$7)</f>
        <v>0</v>
      </c>
      <c r="S36" s="296">
        <f>SUMIF('1 Reclamation and O&amp;M costs'!$H$123:$H$133,"&gt;="&amp;Q36,'1 Reclamation and O&amp;M costs'!$O$123:$O$133)*(1+$H$8)</f>
        <v>0</v>
      </c>
      <c r="T36" s="25"/>
      <c r="U36" s="17">
        <f t="shared" si="4"/>
        <v>20</v>
      </c>
      <c r="V36" s="295">
        <f>(IF(U36&lt;('1 Reclamation and O&amp;M costs'!$O$24-'1 Reclamation and O&amp;M costs'!$O$23),'2 Sampling Cost'!$O$13,IF(U36&lt;'1 Reclamation and O&amp;M costs'!$O$25,'2 Sampling Cost'!$O$14,'2 Sampling Cost'!$O$15)))*(1+$H$9)</f>
        <v>2380</v>
      </c>
      <c r="W36" s="296"/>
      <c r="X36" s="295">
        <f ca="1" t="shared" si="5"/>
        <v>2380</v>
      </c>
      <c r="Y36" s="296"/>
      <c r="Z36" s="25"/>
    </row>
    <row r="37" spans="2:26" ht="15.75">
      <c r="B37" s="17">
        <f t="shared" si="0"/>
        <v>21</v>
      </c>
      <c r="C37" s="295">
        <f>SUMIF('1 Reclamation and O&amp;M costs'!$N$29:$N$38,B37,'1 Reclamation and O&amp;M costs'!$P$29:$P$38)*($H$7+1)</f>
        <v>0</v>
      </c>
      <c r="D37" s="296">
        <f>SUMIF('1 Reclamation and O&amp;M costs'!$M$29:$M$38,"&gt;="&amp;B37,'1 Reclamation and O&amp;M costs'!$R$29:$R$38)*($H$8+1)</f>
        <v>0</v>
      </c>
      <c r="E37" s="17"/>
      <c r="F37" s="17">
        <f t="shared" si="1"/>
        <v>21</v>
      </c>
      <c r="G37" s="295">
        <f>SUMIF('1 Reclamation and O&amp;M costs'!$J$46:$J$61,'3 WM cash flow'!F37,'1 Reclamation and O&amp;M costs'!$P$71:$P$86)*(1+$H$7)</f>
        <v>0</v>
      </c>
      <c r="H37" s="296">
        <f>SUMIF('1 Reclamation and O&amp;M costs'!$I$46:$I$61,'3 WM cash flow'!F37,'1 Reclamation and O&amp;M costs'!$S$71:$S$86)*(1+$H$7)</f>
        <v>0</v>
      </c>
      <c r="I37" s="295">
        <f>(IF('3 WM cash flow'!F37&lt;=('1 Reclamation and O&amp;M costs'!$O$24-'1 Reclamation and O&amp;M costs'!$O$23),0,SUMIF('1 Reclamation and O&amp;M costs'!$I$46:$I$61,"&gt;="&amp;'3 WM cash flow'!F37,'1 Reclamation and O&amp;M costs'!$N$71:$N$86))+IF('3 WM cash flow'!F37&lt;=('1 Reclamation and O&amp;M costs'!$O$24-'1 Reclamation and O&amp;M costs'!$O$23),'1 Reclamation and O&amp;M costs'!$I$90,0))*(1+$H$9)</f>
        <v>0</v>
      </c>
      <c r="J37" s="296">
        <f>SUMIF('1 Reclamation and O&amp;M costs'!$I$46:$I$61,"&gt;="&amp;F37,'1 Reclamation and O&amp;M costs'!$Q$71:$Q$86)*(1+$H$8)</f>
        <v>0</v>
      </c>
      <c r="K37" s="17"/>
      <c r="L37" s="17">
        <f t="shared" si="2"/>
        <v>21</v>
      </c>
      <c r="M37" s="295">
        <f ca="1">SUMIF('1 Reclamation and O&amp;M costs'!$L$96:$L$113,'3 WM cash flow'!L37,'1 Reclamation and O&amp;M costs'!P$113:$P117)*(1+$H$7)</f>
        <v>0</v>
      </c>
      <c r="N37" s="296">
        <f>SUMIF('1 Reclamation and O&amp;M costs'!$K$96:$K$113,'3 WM cash flow'!L37,'1 Reclamation and O&amp;M costs'!$T$96:$T$113)*(1+$H$7)</f>
        <v>0</v>
      </c>
      <c r="O37" s="295">
        <f>SUMIF('1 Reclamation and O&amp;M costs'!$K$96:$K$113,"&gt;="&amp;B37,'1 Reclamation and O&amp;M costs'!$R$96:$R$113)*(1+$H$8)</f>
        <v>0</v>
      </c>
      <c r="P37" s="296"/>
      <c r="Q37" s="17">
        <f t="shared" si="3"/>
        <v>21</v>
      </c>
      <c r="R37" s="295">
        <f>SUMIF('1 Reclamation and O&amp;M costs'!$H$123:$H$133,'3 WM cash flow'!Q37,'1 Reclamation and O&amp;M costs'!$Q$123:$Q$133)*(1+$H$7)</f>
        <v>0</v>
      </c>
      <c r="S37" s="296">
        <f>SUMIF('1 Reclamation and O&amp;M costs'!$H$123:$H$133,"&gt;="&amp;Q37,'1 Reclamation and O&amp;M costs'!$O$123:$O$133)*(1+$H$8)</f>
        <v>0</v>
      </c>
      <c r="T37" s="25"/>
      <c r="U37" s="17">
        <f t="shared" si="4"/>
        <v>21</v>
      </c>
      <c r="V37" s="295">
        <f>(IF(U37&lt;('1 Reclamation and O&amp;M costs'!$O$24-'1 Reclamation and O&amp;M costs'!$O$23),'2 Sampling Cost'!$O$13,IF(U37&lt;'1 Reclamation and O&amp;M costs'!$O$25,'2 Sampling Cost'!$O$14,'2 Sampling Cost'!$O$15)))*(1+$H$9)</f>
        <v>2380</v>
      </c>
      <c r="W37" s="296"/>
      <c r="X37" s="295">
        <f ca="1" t="shared" si="5"/>
        <v>2380</v>
      </c>
      <c r="Y37" s="296"/>
      <c r="Z37" s="25"/>
    </row>
    <row r="38" spans="2:26" ht="15.75">
      <c r="B38" s="17">
        <f t="shared" si="0"/>
        <v>22</v>
      </c>
      <c r="C38" s="295">
        <f>SUMIF('1 Reclamation and O&amp;M costs'!$N$29:$N$38,B38,'1 Reclamation and O&amp;M costs'!$P$29:$P$38)*($H$7+1)</f>
        <v>0</v>
      </c>
      <c r="D38" s="296">
        <f>SUMIF('1 Reclamation and O&amp;M costs'!$M$29:$M$38,"&gt;="&amp;B38,'1 Reclamation and O&amp;M costs'!$R$29:$R$38)*($H$8+1)</f>
        <v>0</v>
      </c>
      <c r="E38" s="17"/>
      <c r="F38" s="17">
        <f t="shared" si="1"/>
        <v>22</v>
      </c>
      <c r="G38" s="295">
        <f>SUMIF('1 Reclamation and O&amp;M costs'!$J$46:$J$61,'3 WM cash flow'!F38,'1 Reclamation and O&amp;M costs'!$P$71:$P$86)*(1+$H$7)</f>
        <v>0</v>
      </c>
      <c r="H38" s="296">
        <f>SUMIF('1 Reclamation and O&amp;M costs'!$I$46:$I$61,'3 WM cash flow'!F38,'1 Reclamation and O&amp;M costs'!$S$71:$S$86)*(1+$H$7)</f>
        <v>0</v>
      </c>
      <c r="I38" s="295">
        <f>(IF('3 WM cash flow'!F38&lt;=('1 Reclamation and O&amp;M costs'!$O$24-'1 Reclamation and O&amp;M costs'!$O$23),0,SUMIF('1 Reclamation and O&amp;M costs'!$I$46:$I$61,"&gt;="&amp;'3 WM cash flow'!F38,'1 Reclamation and O&amp;M costs'!$N$71:$N$86))+IF('3 WM cash flow'!F38&lt;=('1 Reclamation and O&amp;M costs'!$O$24-'1 Reclamation and O&amp;M costs'!$O$23),'1 Reclamation and O&amp;M costs'!$I$90,0))*(1+$H$9)</f>
        <v>0</v>
      </c>
      <c r="J38" s="296">
        <f>SUMIF('1 Reclamation and O&amp;M costs'!$I$46:$I$61,"&gt;="&amp;F38,'1 Reclamation and O&amp;M costs'!$Q$71:$Q$86)*(1+$H$8)</f>
        <v>0</v>
      </c>
      <c r="K38" s="17"/>
      <c r="L38" s="17">
        <f t="shared" si="2"/>
        <v>22</v>
      </c>
      <c r="M38" s="295">
        <f ca="1">SUMIF('1 Reclamation and O&amp;M costs'!$L$96:$L$113,'3 WM cash flow'!L38,'1 Reclamation and O&amp;M costs'!P$113:$P118)*(1+$H$7)</f>
        <v>0</v>
      </c>
      <c r="N38" s="296">
        <f>SUMIF('1 Reclamation and O&amp;M costs'!$K$96:$K$113,'3 WM cash flow'!L38,'1 Reclamation and O&amp;M costs'!$T$96:$T$113)*(1+$H$7)</f>
        <v>0</v>
      </c>
      <c r="O38" s="295">
        <f>SUMIF('1 Reclamation and O&amp;M costs'!$K$96:$K$113,"&gt;="&amp;B38,'1 Reclamation and O&amp;M costs'!$R$96:$R$113)*(1+$H$8)</f>
        <v>0</v>
      </c>
      <c r="P38" s="296"/>
      <c r="Q38" s="17">
        <f t="shared" si="3"/>
        <v>22</v>
      </c>
      <c r="R38" s="295">
        <f>SUMIF('1 Reclamation and O&amp;M costs'!$H$123:$H$133,'3 WM cash flow'!Q38,'1 Reclamation and O&amp;M costs'!$Q$123:$Q$133)*(1+$H$7)</f>
        <v>0</v>
      </c>
      <c r="S38" s="296">
        <f>SUMIF('1 Reclamation and O&amp;M costs'!$H$123:$H$133,"&gt;="&amp;Q38,'1 Reclamation and O&amp;M costs'!$O$123:$O$133)*(1+$H$8)</f>
        <v>0</v>
      </c>
      <c r="T38" s="25"/>
      <c r="U38" s="17">
        <f t="shared" si="4"/>
        <v>22</v>
      </c>
      <c r="V38" s="295">
        <f>(IF(U38&lt;('1 Reclamation and O&amp;M costs'!$O$24-'1 Reclamation and O&amp;M costs'!$O$23),'2 Sampling Cost'!$O$13,IF(U38&lt;'1 Reclamation and O&amp;M costs'!$O$25,'2 Sampling Cost'!$O$14,'2 Sampling Cost'!$O$15)))*(1+$H$9)</f>
        <v>2380</v>
      </c>
      <c r="W38" s="296"/>
      <c r="X38" s="295">
        <f ca="1" t="shared" si="5"/>
        <v>2380</v>
      </c>
      <c r="Y38" s="296"/>
      <c r="Z38" s="25"/>
    </row>
    <row r="39" spans="2:26" ht="15.75">
      <c r="B39" s="17">
        <f t="shared" si="0"/>
        <v>23</v>
      </c>
      <c r="C39" s="295">
        <f>SUMIF('1 Reclamation and O&amp;M costs'!$N$29:$N$38,B39,'1 Reclamation and O&amp;M costs'!$P$29:$P$38)*($H$7+1)</f>
        <v>0</v>
      </c>
      <c r="D39" s="296">
        <f>SUMIF('1 Reclamation and O&amp;M costs'!$M$29:$M$38,"&gt;="&amp;B39,'1 Reclamation and O&amp;M costs'!$R$29:$R$38)*($H$8+1)</f>
        <v>0</v>
      </c>
      <c r="E39" s="17"/>
      <c r="F39" s="17">
        <f t="shared" si="1"/>
        <v>23</v>
      </c>
      <c r="G39" s="295">
        <f>SUMIF('1 Reclamation and O&amp;M costs'!$J$46:$J$61,'3 WM cash flow'!F39,'1 Reclamation and O&amp;M costs'!$P$71:$P$86)*(1+$H$7)</f>
        <v>0</v>
      </c>
      <c r="H39" s="296">
        <f>SUMIF('1 Reclamation and O&amp;M costs'!$I$46:$I$61,'3 WM cash flow'!F39,'1 Reclamation and O&amp;M costs'!$S$71:$S$86)*(1+$H$7)</f>
        <v>0</v>
      </c>
      <c r="I39" s="295">
        <f>(IF('3 WM cash flow'!F39&lt;=('1 Reclamation and O&amp;M costs'!$O$24-'1 Reclamation and O&amp;M costs'!$O$23),0,SUMIF('1 Reclamation and O&amp;M costs'!$I$46:$I$61,"&gt;="&amp;'3 WM cash flow'!F39,'1 Reclamation and O&amp;M costs'!$N$71:$N$86))+IF('3 WM cash flow'!F39&lt;=('1 Reclamation and O&amp;M costs'!$O$24-'1 Reclamation and O&amp;M costs'!$O$23),'1 Reclamation and O&amp;M costs'!$I$90,0))*(1+$H$9)</f>
        <v>0</v>
      </c>
      <c r="J39" s="296">
        <f>SUMIF('1 Reclamation and O&amp;M costs'!$I$46:$I$61,"&gt;="&amp;F39,'1 Reclamation and O&amp;M costs'!$Q$71:$Q$86)*(1+$H$8)</f>
        <v>0</v>
      </c>
      <c r="K39" s="17"/>
      <c r="L39" s="17">
        <f t="shared" si="2"/>
        <v>23</v>
      </c>
      <c r="M39" s="295">
        <f ca="1">SUMIF('1 Reclamation and O&amp;M costs'!$L$96:$L$113,'3 WM cash flow'!L39,'1 Reclamation and O&amp;M costs'!P$113:$P119)*(1+$H$7)</f>
        <v>0</v>
      </c>
      <c r="N39" s="296">
        <f>SUMIF('1 Reclamation and O&amp;M costs'!$K$96:$K$113,'3 WM cash flow'!L39,'1 Reclamation and O&amp;M costs'!$T$96:$T$113)*(1+$H$7)</f>
        <v>0</v>
      </c>
      <c r="O39" s="295">
        <f>SUMIF('1 Reclamation and O&amp;M costs'!$K$96:$K$113,"&gt;="&amp;B39,'1 Reclamation and O&amp;M costs'!$R$96:$R$113)*(1+$H$8)</f>
        <v>0</v>
      </c>
      <c r="P39" s="296"/>
      <c r="Q39" s="17">
        <f t="shared" si="3"/>
        <v>23</v>
      </c>
      <c r="R39" s="295">
        <f>SUMIF('1 Reclamation and O&amp;M costs'!$H$123:$H$133,'3 WM cash flow'!Q39,'1 Reclamation and O&amp;M costs'!$Q$123:$Q$133)*(1+$H$7)</f>
        <v>0</v>
      </c>
      <c r="S39" s="296">
        <f>SUMIF('1 Reclamation and O&amp;M costs'!$H$123:$H$133,"&gt;="&amp;Q39,'1 Reclamation and O&amp;M costs'!$O$123:$O$133)*(1+$H$8)</f>
        <v>0</v>
      </c>
      <c r="T39" s="25"/>
      <c r="U39" s="17">
        <f t="shared" si="4"/>
        <v>23</v>
      </c>
      <c r="V39" s="295">
        <f>(IF(U39&lt;('1 Reclamation and O&amp;M costs'!$O$24-'1 Reclamation and O&amp;M costs'!$O$23),'2 Sampling Cost'!$O$13,IF(U39&lt;'1 Reclamation and O&amp;M costs'!$O$25,'2 Sampling Cost'!$O$14,'2 Sampling Cost'!$O$15)))*(1+$H$9)</f>
        <v>2380</v>
      </c>
      <c r="W39" s="296"/>
      <c r="X39" s="295">
        <f ca="1" t="shared" si="5"/>
        <v>2380</v>
      </c>
      <c r="Y39" s="296"/>
      <c r="Z39" s="25"/>
    </row>
    <row r="40" spans="2:26" ht="15.75">
      <c r="B40" s="17">
        <f t="shared" si="0"/>
        <v>24</v>
      </c>
      <c r="C40" s="295">
        <f>SUMIF('1 Reclamation and O&amp;M costs'!$N$29:$N$38,B40,'1 Reclamation and O&amp;M costs'!$P$29:$P$38)*($H$7+1)</f>
        <v>0</v>
      </c>
      <c r="D40" s="296">
        <f>SUMIF('1 Reclamation and O&amp;M costs'!$M$29:$M$38,"&gt;="&amp;B40,'1 Reclamation and O&amp;M costs'!$R$29:$R$38)*($H$8+1)</f>
        <v>0</v>
      </c>
      <c r="E40" s="17"/>
      <c r="F40" s="17">
        <f t="shared" si="1"/>
        <v>24</v>
      </c>
      <c r="G40" s="295">
        <f>SUMIF('1 Reclamation and O&amp;M costs'!$J$46:$J$61,'3 WM cash flow'!F40,'1 Reclamation and O&amp;M costs'!$P$71:$P$86)*(1+$H$7)</f>
        <v>0</v>
      </c>
      <c r="H40" s="296">
        <f>SUMIF('1 Reclamation and O&amp;M costs'!$I$46:$I$61,'3 WM cash flow'!F40,'1 Reclamation and O&amp;M costs'!$S$71:$S$86)*(1+$H$7)</f>
        <v>0</v>
      </c>
      <c r="I40" s="295">
        <f>(IF('3 WM cash flow'!F40&lt;=('1 Reclamation and O&amp;M costs'!$O$24-'1 Reclamation and O&amp;M costs'!$O$23),0,SUMIF('1 Reclamation and O&amp;M costs'!$I$46:$I$61,"&gt;="&amp;'3 WM cash flow'!F40,'1 Reclamation and O&amp;M costs'!$N$71:$N$86))+IF('3 WM cash flow'!F40&lt;=('1 Reclamation and O&amp;M costs'!$O$24-'1 Reclamation and O&amp;M costs'!$O$23),'1 Reclamation and O&amp;M costs'!$I$90,0))*(1+$H$9)</f>
        <v>0</v>
      </c>
      <c r="J40" s="296">
        <f>SUMIF('1 Reclamation and O&amp;M costs'!$I$46:$I$61,"&gt;="&amp;F40,'1 Reclamation and O&amp;M costs'!$Q$71:$Q$86)*(1+$H$8)</f>
        <v>0</v>
      </c>
      <c r="K40" s="17"/>
      <c r="L40" s="17">
        <f t="shared" si="2"/>
        <v>24</v>
      </c>
      <c r="M40" s="295">
        <f ca="1">SUMIF('1 Reclamation and O&amp;M costs'!$L$96:$L$113,'3 WM cash flow'!L40,'1 Reclamation and O&amp;M costs'!P$113:$P120)*(1+$H$7)</f>
        <v>0</v>
      </c>
      <c r="N40" s="296">
        <f>SUMIF('1 Reclamation and O&amp;M costs'!$K$96:$K$113,'3 WM cash flow'!L40,'1 Reclamation and O&amp;M costs'!$T$96:$T$113)*(1+$H$7)</f>
        <v>0</v>
      </c>
      <c r="O40" s="295">
        <f>SUMIF('1 Reclamation and O&amp;M costs'!$K$96:$K$113,"&gt;="&amp;B40,'1 Reclamation and O&amp;M costs'!$R$96:$R$113)*(1+$H$8)</f>
        <v>0</v>
      </c>
      <c r="P40" s="296"/>
      <c r="Q40" s="17">
        <f t="shared" si="3"/>
        <v>24</v>
      </c>
      <c r="R40" s="295">
        <f>SUMIF('1 Reclamation and O&amp;M costs'!$H$123:$H$133,'3 WM cash flow'!Q40,'1 Reclamation and O&amp;M costs'!$Q$123:$Q$133)*(1+$H$7)</f>
        <v>0</v>
      </c>
      <c r="S40" s="296">
        <f>SUMIF('1 Reclamation and O&amp;M costs'!$H$123:$H$133,"&gt;="&amp;Q40,'1 Reclamation and O&amp;M costs'!$O$123:$O$133)*(1+$H$8)</f>
        <v>0</v>
      </c>
      <c r="T40" s="25"/>
      <c r="U40" s="17">
        <f t="shared" si="4"/>
        <v>24</v>
      </c>
      <c r="V40" s="295">
        <f>(IF(U40&lt;('1 Reclamation and O&amp;M costs'!$O$24-'1 Reclamation and O&amp;M costs'!$O$23),'2 Sampling Cost'!$O$13,IF(U40&lt;'1 Reclamation and O&amp;M costs'!$O$25,'2 Sampling Cost'!$O$14,'2 Sampling Cost'!$O$15)))*(1+$H$9)</f>
        <v>2380</v>
      </c>
      <c r="W40" s="296"/>
      <c r="X40" s="295">
        <f ca="1" t="shared" si="5"/>
        <v>2380</v>
      </c>
      <c r="Y40" s="296"/>
      <c r="Z40" s="25"/>
    </row>
    <row r="41" spans="2:26" ht="15.75">
      <c r="B41" s="17">
        <f t="shared" si="0"/>
        <v>25</v>
      </c>
      <c r="C41" s="295">
        <f>SUMIF('1 Reclamation and O&amp;M costs'!$N$29:$N$38,B41,'1 Reclamation and O&amp;M costs'!$P$29:$P$38)*($H$7+1)</f>
        <v>0</v>
      </c>
      <c r="D41" s="296">
        <f>SUMIF('1 Reclamation and O&amp;M costs'!$M$29:$M$38,"&gt;="&amp;B41,'1 Reclamation and O&amp;M costs'!$R$29:$R$38)*($H$8+1)</f>
        <v>0</v>
      </c>
      <c r="E41" s="17"/>
      <c r="F41" s="17">
        <f t="shared" si="1"/>
        <v>25</v>
      </c>
      <c r="G41" s="295">
        <f>SUMIF('1 Reclamation and O&amp;M costs'!$J$46:$J$61,'3 WM cash flow'!F41,'1 Reclamation and O&amp;M costs'!$P$71:$P$86)*(1+$H$7)</f>
        <v>0</v>
      </c>
      <c r="H41" s="296">
        <f>SUMIF('1 Reclamation and O&amp;M costs'!$I$46:$I$61,'3 WM cash flow'!F41,'1 Reclamation and O&amp;M costs'!$S$71:$S$86)*(1+$H$7)</f>
        <v>0</v>
      </c>
      <c r="I41" s="295">
        <f>(IF('3 WM cash flow'!F41&lt;=('1 Reclamation and O&amp;M costs'!$O$24-'1 Reclamation and O&amp;M costs'!$O$23),0,SUMIF('1 Reclamation and O&amp;M costs'!$I$46:$I$61,"&gt;="&amp;'3 WM cash flow'!F41,'1 Reclamation and O&amp;M costs'!$N$71:$N$86))+IF('3 WM cash flow'!F41&lt;=('1 Reclamation and O&amp;M costs'!$O$24-'1 Reclamation and O&amp;M costs'!$O$23),'1 Reclamation and O&amp;M costs'!$I$90,0))*(1+$H$9)</f>
        <v>0</v>
      </c>
      <c r="J41" s="296">
        <f>SUMIF('1 Reclamation and O&amp;M costs'!$I$46:$I$61,"&gt;="&amp;F41,'1 Reclamation and O&amp;M costs'!$Q$71:$Q$86)*(1+$H$8)</f>
        <v>0</v>
      </c>
      <c r="K41" s="17"/>
      <c r="L41" s="17">
        <f t="shared" si="2"/>
        <v>25</v>
      </c>
      <c r="M41" s="295">
        <f ca="1">SUMIF('1 Reclamation and O&amp;M costs'!$L$96:$L$113,'3 WM cash flow'!L41,'1 Reclamation and O&amp;M costs'!P$113:$P120)*(1+$H$7)</f>
        <v>0</v>
      </c>
      <c r="N41" s="296">
        <f>SUMIF('1 Reclamation and O&amp;M costs'!$K$96:$K$113,'3 WM cash flow'!L41,'1 Reclamation and O&amp;M costs'!$T$96:$T$113)*(1+$H$7)</f>
        <v>0</v>
      </c>
      <c r="O41" s="295">
        <f>SUMIF('1 Reclamation and O&amp;M costs'!$K$96:$K$113,"&gt;="&amp;B41,'1 Reclamation and O&amp;M costs'!$R$96:$R$113)*(1+$H$8)</f>
        <v>0</v>
      </c>
      <c r="P41" s="296"/>
      <c r="Q41" s="17">
        <f t="shared" si="3"/>
        <v>25</v>
      </c>
      <c r="R41" s="295">
        <f>SUMIF('1 Reclamation and O&amp;M costs'!$H$123:$H$133,'3 WM cash flow'!Q41,'1 Reclamation and O&amp;M costs'!$Q$123:$Q$133)*(1+$H$7)</f>
        <v>0</v>
      </c>
      <c r="S41" s="296">
        <f>SUMIF('1 Reclamation and O&amp;M costs'!$H$123:$H$133,"&gt;="&amp;Q41,'1 Reclamation and O&amp;M costs'!$O$123:$O$133)*(1+$H$8)</f>
        <v>0</v>
      </c>
      <c r="T41" s="25"/>
      <c r="U41" s="17">
        <f t="shared" si="4"/>
        <v>25</v>
      </c>
      <c r="V41" s="295">
        <f>(IF(U41&lt;('1 Reclamation and O&amp;M costs'!$O$24-'1 Reclamation and O&amp;M costs'!$O$23),'2 Sampling Cost'!$O$13,IF(U41&lt;'1 Reclamation and O&amp;M costs'!$O$25,'2 Sampling Cost'!$O$14,'2 Sampling Cost'!$O$15)))*(1+$H$9)</f>
        <v>2380</v>
      </c>
      <c r="W41" s="296"/>
      <c r="X41" s="295">
        <f ca="1" t="shared" si="5"/>
        <v>2380</v>
      </c>
      <c r="Y41" s="296"/>
      <c r="Z41" s="25"/>
    </row>
    <row r="42" spans="2:26" ht="15.75">
      <c r="B42" s="17">
        <f t="shared" si="0"/>
        <v>26</v>
      </c>
      <c r="C42" s="295">
        <f>SUMIF('1 Reclamation and O&amp;M costs'!$N$29:$N$38,B42,'1 Reclamation and O&amp;M costs'!$P$29:$P$38)*($H$7+1)</f>
        <v>0</v>
      </c>
      <c r="D42" s="296">
        <f>SUMIF('1 Reclamation and O&amp;M costs'!$M$29:$M$38,"&gt;="&amp;B42,'1 Reclamation and O&amp;M costs'!$R$29:$R$38)*($H$8+1)</f>
        <v>0</v>
      </c>
      <c r="E42" s="17"/>
      <c r="F42" s="17">
        <f t="shared" si="1"/>
        <v>26</v>
      </c>
      <c r="G42" s="295">
        <f>SUMIF('1 Reclamation and O&amp;M costs'!$J$46:$J$61,'3 WM cash flow'!F42,'1 Reclamation and O&amp;M costs'!$P$71:$P$86)*(1+$H$7)</f>
        <v>0</v>
      </c>
      <c r="H42" s="296">
        <f>SUMIF('1 Reclamation and O&amp;M costs'!$I$46:$I$61,'3 WM cash flow'!F42,'1 Reclamation and O&amp;M costs'!$S$71:$S$86)*(1+$H$7)</f>
        <v>0</v>
      </c>
      <c r="I42" s="295">
        <f>(IF('3 WM cash flow'!F42&lt;=('1 Reclamation and O&amp;M costs'!$O$24-'1 Reclamation and O&amp;M costs'!$O$23),0,SUMIF('1 Reclamation and O&amp;M costs'!$I$46:$I$61,"&gt;="&amp;'3 WM cash flow'!F42,'1 Reclamation and O&amp;M costs'!$N$71:$N$86))+IF('3 WM cash flow'!F42&lt;=('1 Reclamation and O&amp;M costs'!$O$24-'1 Reclamation and O&amp;M costs'!$O$23),'1 Reclamation and O&amp;M costs'!$I$90,0))*(1+$H$9)</f>
        <v>0</v>
      </c>
      <c r="J42" s="296">
        <f>SUMIF('1 Reclamation and O&amp;M costs'!$I$46:$I$61,"&gt;="&amp;F42,'1 Reclamation and O&amp;M costs'!$Q$71:$Q$86)*(1+$H$8)</f>
        <v>0</v>
      </c>
      <c r="K42" s="17"/>
      <c r="L42" s="17">
        <f t="shared" si="2"/>
        <v>26</v>
      </c>
      <c r="M42" s="295">
        <f ca="1">SUMIF('1 Reclamation and O&amp;M costs'!$L$96:$L$113,'3 WM cash flow'!L42,'1 Reclamation and O&amp;M costs'!P$113:$P120)*(1+$H$7)</f>
        <v>0</v>
      </c>
      <c r="N42" s="296">
        <f>SUMIF('1 Reclamation and O&amp;M costs'!$K$96:$K$113,'3 WM cash flow'!L42,'1 Reclamation and O&amp;M costs'!$T$96:$T$113)*(1+$H$7)</f>
        <v>0</v>
      </c>
      <c r="O42" s="295">
        <f>SUMIF('1 Reclamation and O&amp;M costs'!$K$96:$K$113,"&gt;="&amp;B42,'1 Reclamation and O&amp;M costs'!$R$96:$R$113)*(1+$H$8)</f>
        <v>0</v>
      </c>
      <c r="P42" s="296"/>
      <c r="Q42" s="17">
        <f t="shared" si="3"/>
        <v>26</v>
      </c>
      <c r="R42" s="295">
        <f>SUMIF('1 Reclamation and O&amp;M costs'!$H$123:$H$133,'3 WM cash flow'!Q42,'1 Reclamation and O&amp;M costs'!$Q$123:$Q$133)*(1+$H$7)</f>
        <v>0</v>
      </c>
      <c r="S42" s="296">
        <f>SUMIF('1 Reclamation and O&amp;M costs'!$H$123:$H$133,"&gt;="&amp;Q42,'1 Reclamation and O&amp;M costs'!$O$123:$O$133)*(1+$H$8)</f>
        <v>0</v>
      </c>
      <c r="T42" s="25"/>
      <c r="U42" s="17">
        <f t="shared" si="4"/>
        <v>26</v>
      </c>
      <c r="V42" s="295">
        <f>(IF(U42&lt;('1 Reclamation and O&amp;M costs'!$O$24-'1 Reclamation and O&amp;M costs'!$O$23),'2 Sampling Cost'!$O$13,IF(U42&lt;'1 Reclamation and O&amp;M costs'!$O$25,'2 Sampling Cost'!$O$14,'2 Sampling Cost'!$O$15)))*(1+$H$9)</f>
        <v>2380</v>
      </c>
      <c r="W42" s="296"/>
      <c r="X42" s="295">
        <f ca="1" t="shared" si="5"/>
        <v>2380</v>
      </c>
      <c r="Y42" s="296"/>
      <c r="Z42" s="25"/>
    </row>
    <row r="43" spans="2:26" ht="15.75">
      <c r="B43" s="17">
        <f t="shared" si="0"/>
        <v>27</v>
      </c>
      <c r="C43" s="295">
        <f>SUMIF('1 Reclamation and O&amp;M costs'!$N$29:$N$38,B43,'1 Reclamation and O&amp;M costs'!$P$29:$P$38)*($H$7+1)</f>
        <v>0</v>
      </c>
      <c r="D43" s="296">
        <f>SUMIF('1 Reclamation and O&amp;M costs'!$M$29:$M$38,"&gt;="&amp;B43,'1 Reclamation and O&amp;M costs'!$R$29:$R$38)*($H$8+1)</f>
        <v>0</v>
      </c>
      <c r="E43" s="17"/>
      <c r="F43" s="17">
        <f t="shared" si="1"/>
        <v>27</v>
      </c>
      <c r="G43" s="295">
        <f>SUMIF('1 Reclamation and O&amp;M costs'!$J$46:$J$61,'3 WM cash flow'!F43,'1 Reclamation and O&amp;M costs'!$P$71:$P$86)*(1+$H$7)</f>
        <v>0</v>
      </c>
      <c r="H43" s="296">
        <f>SUMIF('1 Reclamation and O&amp;M costs'!$I$46:$I$61,'3 WM cash flow'!F43,'1 Reclamation and O&amp;M costs'!$S$71:$S$86)*(1+$H$7)</f>
        <v>0</v>
      </c>
      <c r="I43" s="295">
        <f>(IF('3 WM cash flow'!F43&lt;=('1 Reclamation and O&amp;M costs'!$O$24-'1 Reclamation and O&amp;M costs'!$O$23),0,SUMIF('1 Reclamation and O&amp;M costs'!$I$46:$I$61,"&gt;="&amp;'3 WM cash flow'!F43,'1 Reclamation and O&amp;M costs'!$N$71:$N$86))+IF('3 WM cash flow'!F43&lt;=('1 Reclamation and O&amp;M costs'!$O$24-'1 Reclamation and O&amp;M costs'!$O$23),'1 Reclamation and O&amp;M costs'!$I$90,0))*(1+$H$9)</f>
        <v>0</v>
      </c>
      <c r="J43" s="296">
        <f>SUMIF('1 Reclamation and O&amp;M costs'!$I$46:$I$61,"&gt;="&amp;F43,'1 Reclamation and O&amp;M costs'!$Q$71:$Q$86)*(1+$H$8)</f>
        <v>0</v>
      </c>
      <c r="K43" s="17"/>
      <c r="L43" s="17">
        <f t="shared" si="2"/>
        <v>27</v>
      </c>
      <c r="M43" s="295">
        <f ca="1">SUMIF('1 Reclamation and O&amp;M costs'!$L$96:$L$113,'3 WM cash flow'!L43,'1 Reclamation and O&amp;M costs'!P$113:$P121)*(1+$H$7)</f>
        <v>0</v>
      </c>
      <c r="N43" s="296">
        <f>SUMIF('1 Reclamation and O&amp;M costs'!$K$96:$K$113,'3 WM cash flow'!L43,'1 Reclamation and O&amp;M costs'!$T$96:$T$113)*(1+$H$7)</f>
        <v>0</v>
      </c>
      <c r="O43" s="295">
        <f>SUMIF('1 Reclamation and O&amp;M costs'!$K$96:$K$113,"&gt;="&amp;B43,'1 Reclamation and O&amp;M costs'!$R$96:$R$113)*(1+$H$8)</f>
        <v>0</v>
      </c>
      <c r="P43" s="296"/>
      <c r="Q43" s="17">
        <f t="shared" si="3"/>
        <v>27</v>
      </c>
      <c r="R43" s="295">
        <f>SUMIF('1 Reclamation and O&amp;M costs'!$H$123:$H$133,'3 WM cash flow'!Q43,'1 Reclamation and O&amp;M costs'!$Q$123:$Q$133)*(1+$H$7)</f>
        <v>0</v>
      </c>
      <c r="S43" s="296">
        <f>SUMIF('1 Reclamation and O&amp;M costs'!$H$123:$H$133,"&gt;="&amp;Q43,'1 Reclamation and O&amp;M costs'!$O$123:$O$133)*(1+$H$8)</f>
        <v>0</v>
      </c>
      <c r="T43" s="25"/>
      <c r="U43" s="17">
        <f t="shared" si="4"/>
        <v>27</v>
      </c>
      <c r="V43" s="295">
        <f>(IF(U43&lt;('1 Reclamation and O&amp;M costs'!$O$24-'1 Reclamation and O&amp;M costs'!$O$23),'2 Sampling Cost'!$O$13,IF(U43&lt;'1 Reclamation and O&amp;M costs'!$O$25,'2 Sampling Cost'!$O$14,'2 Sampling Cost'!$O$15)))*(1+$H$9)</f>
        <v>2380</v>
      </c>
      <c r="W43" s="296"/>
      <c r="X43" s="295">
        <f ca="1" t="shared" si="5"/>
        <v>2380</v>
      </c>
      <c r="Y43" s="296"/>
      <c r="Z43" s="25"/>
    </row>
    <row r="44" spans="2:26" ht="15.75">
      <c r="B44" s="17">
        <f t="shared" si="0"/>
        <v>28</v>
      </c>
      <c r="C44" s="295">
        <f>SUMIF('1 Reclamation and O&amp;M costs'!$N$29:$N$38,B44,'1 Reclamation and O&amp;M costs'!$P$29:$P$38)*($H$7+1)</f>
        <v>0</v>
      </c>
      <c r="D44" s="296">
        <f>SUMIF('1 Reclamation and O&amp;M costs'!$M$29:$M$38,"&gt;="&amp;B44,'1 Reclamation and O&amp;M costs'!$R$29:$R$38)*($H$8+1)</f>
        <v>0</v>
      </c>
      <c r="E44" s="17"/>
      <c r="F44" s="17">
        <f t="shared" si="1"/>
        <v>28</v>
      </c>
      <c r="G44" s="295">
        <f>SUMIF('1 Reclamation and O&amp;M costs'!$J$46:$J$61,'3 WM cash flow'!F44,'1 Reclamation and O&amp;M costs'!$P$71:$P$86)*(1+$H$7)</f>
        <v>0</v>
      </c>
      <c r="H44" s="296">
        <f>SUMIF('1 Reclamation and O&amp;M costs'!$I$46:$I$61,'3 WM cash flow'!F44,'1 Reclamation and O&amp;M costs'!$S$71:$S$86)*(1+$H$7)</f>
        <v>0</v>
      </c>
      <c r="I44" s="295">
        <f>(IF('3 WM cash flow'!F44&lt;=('1 Reclamation and O&amp;M costs'!$O$24-'1 Reclamation and O&amp;M costs'!$O$23),0,SUMIF('1 Reclamation and O&amp;M costs'!$I$46:$I$61,"&gt;="&amp;'3 WM cash flow'!F44,'1 Reclamation and O&amp;M costs'!$N$71:$N$86))+IF('3 WM cash flow'!F44&lt;=('1 Reclamation and O&amp;M costs'!$O$24-'1 Reclamation and O&amp;M costs'!$O$23),'1 Reclamation and O&amp;M costs'!$I$90,0))*(1+$H$9)</f>
        <v>0</v>
      </c>
      <c r="J44" s="296">
        <f>SUMIF('1 Reclamation and O&amp;M costs'!$I$46:$I$61,"&gt;="&amp;F44,'1 Reclamation and O&amp;M costs'!$Q$71:$Q$86)*(1+$H$8)</f>
        <v>0</v>
      </c>
      <c r="K44" s="17"/>
      <c r="L44" s="17">
        <f t="shared" si="2"/>
        <v>28</v>
      </c>
      <c r="M44" s="295">
        <f ca="1">SUMIF('1 Reclamation and O&amp;M costs'!$L$96:$L$113,'3 WM cash flow'!L44,'1 Reclamation and O&amp;M costs'!P$113:$P122)*(1+$H$7)</f>
        <v>0</v>
      </c>
      <c r="N44" s="296">
        <f>SUMIF('1 Reclamation and O&amp;M costs'!$K$96:$K$113,'3 WM cash flow'!L44,'1 Reclamation and O&amp;M costs'!$T$96:$T$113)*(1+$H$7)</f>
        <v>0</v>
      </c>
      <c r="O44" s="295">
        <f>SUMIF('1 Reclamation and O&amp;M costs'!$K$96:$K$113,"&gt;="&amp;B44,'1 Reclamation and O&amp;M costs'!$R$96:$R$113)*(1+$H$8)</f>
        <v>0</v>
      </c>
      <c r="P44" s="296"/>
      <c r="Q44" s="17">
        <f t="shared" si="3"/>
        <v>28</v>
      </c>
      <c r="R44" s="295">
        <f>SUMIF('1 Reclamation and O&amp;M costs'!$H$123:$H$133,'3 WM cash flow'!Q44,'1 Reclamation and O&amp;M costs'!$Q$123:$Q$133)*(1+$H$7)</f>
        <v>0</v>
      </c>
      <c r="S44" s="296">
        <f>SUMIF('1 Reclamation and O&amp;M costs'!$H$123:$H$133,"&gt;="&amp;Q44,'1 Reclamation and O&amp;M costs'!$O$123:$O$133)*(1+$H$8)</f>
        <v>0</v>
      </c>
      <c r="T44" s="25"/>
      <c r="U44" s="17">
        <f t="shared" si="4"/>
        <v>28</v>
      </c>
      <c r="V44" s="295">
        <f>(IF(U44&lt;('1 Reclamation and O&amp;M costs'!$O$24-'1 Reclamation and O&amp;M costs'!$O$23),'2 Sampling Cost'!$O$13,IF(U44&lt;'1 Reclamation and O&amp;M costs'!$O$25,'2 Sampling Cost'!$O$14,'2 Sampling Cost'!$O$15)))*(1+$H$9)</f>
        <v>2380</v>
      </c>
      <c r="W44" s="296"/>
      <c r="X44" s="295">
        <f ca="1" t="shared" si="5"/>
        <v>2380</v>
      </c>
      <c r="Y44" s="296"/>
      <c r="Z44" s="25"/>
    </row>
    <row r="45" spans="2:26" ht="15.75">
      <c r="B45" s="17">
        <f t="shared" si="0"/>
        <v>29</v>
      </c>
      <c r="C45" s="295">
        <f>SUMIF('1 Reclamation and O&amp;M costs'!$N$29:$N$38,B45,'1 Reclamation and O&amp;M costs'!$P$29:$P$38)*($H$7+1)</f>
        <v>0</v>
      </c>
      <c r="D45" s="296">
        <f>SUMIF('1 Reclamation and O&amp;M costs'!$M$29:$M$38,"&gt;="&amp;B45,'1 Reclamation and O&amp;M costs'!$R$29:$R$38)*($H$8+1)</f>
        <v>0</v>
      </c>
      <c r="E45" s="17"/>
      <c r="F45" s="17">
        <f t="shared" si="1"/>
        <v>29</v>
      </c>
      <c r="G45" s="295">
        <f>SUMIF('1 Reclamation and O&amp;M costs'!$J$46:$J$61,'3 WM cash flow'!F45,'1 Reclamation and O&amp;M costs'!$P$71:$P$86)*(1+$H$7)</f>
        <v>0</v>
      </c>
      <c r="H45" s="296">
        <f>SUMIF('1 Reclamation and O&amp;M costs'!$I$46:$I$61,'3 WM cash flow'!F45,'1 Reclamation and O&amp;M costs'!$S$71:$S$86)*(1+$H$7)</f>
        <v>0</v>
      </c>
      <c r="I45" s="295">
        <f>(IF('3 WM cash flow'!F45&lt;=('1 Reclamation and O&amp;M costs'!$O$24-'1 Reclamation and O&amp;M costs'!$O$23),0,SUMIF('1 Reclamation and O&amp;M costs'!$I$46:$I$61,"&gt;="&amp;'3 WM cash flow'!F45,'1 Reclamation and O&amp;M costs'!$N$71:$N$86))+IF('3 WM cash flow'!F45&lt;=('1 Reclamation and O&amp;M costs'!$O$24-'1 Reclamation and O&amp;M costs'!$O$23),'1 Reclamation and O&amp;M costs'!$I$90,0))*(1+$H$9)</f>
        <v>0</v>
      </c>
      <c r="J45" s="296">
        <f>SUMIF('1 Reclamation and O&amp;M costs'!$I$46:$I$61,"&gt;="&amp;F45,'1 Reclamation and O&amp;M costs'!$Q$71:$Q$86)*(1+$H$8)</f>
        <v>0</v>
      </c>
      <c r="K45" s="17"/>
      <c r="L45" s="17">
        <f t="shared" si="2"/>
        <v>29</v>
      </c>
      <c r="M45" s="295">
        <f ca="1">SUMIF('1 Reclamation and O&amp;M costs'!$L$96:$L$113,'3 WM cash flow'!L45,'1 Reclamation and O&amp;M costs'!P$113:$P123)*(1+$H$7)</f>
        <v>0</v>
      </c>
      <c r="N45" s="296">
        <f>SUMIF('1 Reclamation and O&amp;M costs'!$K$96:$K$113,'3 WM cash flow'!L45,'1 Reclamation and O&amp;M costs'!$T$96:$T$113)*(1+$H$7)</f>
        <v>0</v>
      </c>
      <c r="O45" s="295">
        <f>SUMIF('1 Reclamation and O&amp;M costs'!$K$96:$K$113,"&gt;="&amp;B45,'1 Reclamation and O&amp;M costs'!$R$96:$R$113)*(1+$H$8)</f>
        <v>0</v>
      </c>
      <c r="P45" s="296"/>
      <c r="Q45" s="17">
        <f t="shared" si="3"/>
        <v>29</v>
      </c>
      <c r="R45" s="295">
        <f>SUMIF('1 Reclamation and O&amp;M costs'!$H$123:$H$133,'3 WM cash flow'!Q45,'1 Reclamation and O&amp;M costs'!$Q$123:$Q$133)*(1+$H$7)</f>
        <v>0</v>
      </c>
      <c r="S45" s="296">
        <f>SUMIF('1 Reclamation and O&amp;M costs'!$H$123:$H$133,"&gt;="&amp;Q45,'1 Reclamation and O&amp;M costs'!$O$123:$O$133)*(1+$H$8)</f>
        <v>0</v>
      </c>
      <c r="T45" s="25"/>
      <c r="U45" s="17">
        <f t="shared" si="4"/>
        <v>29</v>
      </c>
      <c r="V45" s="295">
        <f>(IF(U45&lt;('1 Reclamation and O&amp;M costs'!$O$24-'1 Reclamation and O&amp;M costs'!$O$23),'2 Sampling Cost'!$O$13,IF(U45&lt;'1 Reclamation and O&amp;M costs'!$O$25,'2 Sampling Cost'!$O$14,'2 Sampling Cost'!$O$15)))*(1+$H$9)</f>
        <v>2380</v>
      </c>
      <c r="W45" s="296"/>
      <c r="X45" s="295">
        <f ca="1" t="shared" si="5"/>
        <v>2380</v>
      </c>
      <c r="Y45" s="296"/>
      <c r="Z45" s="25"/>
    </row>
    <row r="46" spans="2:26" ht="15.75">
      <c r="B46" s="17">
        <f t="shared" si="0"/>
        <v>30</v>
      </c>
      <c r="C46" s="295">
        <f>SUMIF('1 Reclamation and O&amp;M costs'!$N$29:$N$38,B46,'1 Reclamation and O&amp;M costs'!$P$29:$P$38)*($H$7+1)</f>
        <v>0</v>
      </c>
      <c r="D46" s="296">
        <f>SUMIF('1 Reclamation and O&amp;M costs'!$M$29:$M$38,"&gt;="&amp;B46,'1 Reclamation and O&amp;M costs'!$R$29:$R$38)*($H$8+1)</f>
        <v>0</v>
      </c>
      <c r="E46" s="17"/>
      <c r="F46" s="17">
        <f t="shared" si="1"/>
        <v>30</v>
      </c>
      <c r="G46" s="295">
        <f>SUMIF('1 Reclamation and O&amp;M costs'!$J$46:$J$61,'3 WM cash flow'!F46,'1 Reclamation and O&amp;M costs'!$P$71:$P$86)*(1+$H$7)</f>
        <v>0</v>
      </c>
      <c r="H46" s="296">
        <f>SUMIF('1 Reclamation and O&amp;M costs'!$I$46:$I$61,'3 WM cash flow'!F46,'1 Reclamation and O&amp;M costs'!$S$71:$S$86)*(1+$H$7)</f>
        <v>0</v>
      </c>
      <c r="I46" s="295">
        <f>(IF('3 WM cash flow'!F46&lt;=('1 Reclamation and O&amp;M costs'!$O$24-'1 Reclamation and O&amp;M costs'!$O$23),0,SUMIF('1 Reclamation and O&amp;M costs'!$I$46:$I$61,"&gt;="&amp;'3 WM cash flow'!F46,'1 Reclamation and O&amp;M costs'!$N$71:$N$86))+IF('3 WM cash flow'!F46&lt;=('1 Reclamation and O&amp;M costs'!$O$24-'1 Reclamation and O&amp;M costs'!$O$23),'1 Reclamation and O&amp;M costs'!$I$90,0))*(1+$H$9)</f>
        <v>0</v>
      </c>
      <c r="J46" s="296">
        <f>SUMIF('1 Reclamation and O&amp;M costs'!$I$46:$I$61,"&gt;="&amp;F46,'1 Reclamation and O&amp;M costs'!$Q$71:$Q$86)*(1+$H$8)</f>
        <v>0</v>
      </c>
      <c r="K46" s="17"/>
      <c r="L46" s="17">
        <f t="shared" si="2"/>
        <v>30</v>
      </c>
      <c r="M46" s="295">
        <f ca="1">SUMIF('1 Reclamation and O&amp;M costs'!$L$96:$L$113,'3 WM cash flow'!L46,'1 Reclamation and O&amp;M costs'!P$113:$P124)*(1+$H$7)</f>
        <v>0</v>
      </c>
      <c r="N46" s="296">
        <f>SUMIF('1 Reclamation and O&amp;M costs'!$K$96:$K$113,'3 WM cash flow'!L46,'1 Reclamation and O&amp;M costs'!$T$96:$T$113)*(1+$H$7)</f>
        <v>0</v>
      </c>
      <c r="O46" s="295">
        <f>SUMIF('1 Reclamation and O&amp;M costs'!$K$96:$K$113,"&gt;="&amp;B46,'1 Reclamation and O&amp;M costs'!$R$96:$R$113)*(1+$H$8)</f>
        <v>0</v>
      </c>
      <c r="P46" s="296"/>
      <c r="Q46" s="17">
        <f t="shared" si="3"/>
        <v>30</v>
      </c>
      <c r="R46" s="295">
        <f>SUMIF('1 Reclamation and O&amp;M costs'!$H$123:$H$133,'3 WM cash flow'!Q46,'1 Reclamation and O&amp;M costs'!$Q$123:$Q$133)*(1+$H$7)</f>
        <v>0</v>
      </c>
      <c r="S46" s="296">
        <f>SUMIF('1 Reclamation and O&amp;M costs'!$H$123:$H$133,"&gt;="&amp;Q46,'1 Reclamation and O&amp;M costs'!$O$123:$O$133)*(1+$H$8)</f>
        <v>0</v>
      </c>
      <c r="T46" s="25"/>
      <c r="U46" s="17">
        <f t="shared" si="4"/>
        <v>30</v>
      </c>
      <c r="V46" s="295">
        <f>(IF(U46&lt;('1 Reclamation and O&amp;M costs'!$O$24-'1 Reclamation and O&amp;M costs'!$O$23),'2 Sampling Cost'!$O$13,IF(U46&lt;'1 Reclamation and O&amp;M costs'!$O$25,'2 Sampling Cost'!$O$14,'2 Sampling Cost'!$O$15)))*(1+$H$9)</f>
        <v>2380</v>
      </c>
      <c r="W46" s="296"/>
      <c r="X46" s="295">
        <f ca="1" t="shared" si="5"/>
        <v>2380</v>
      </c>
      <c r="Y46" s="296"/>
      <c r="Z46" s="25"/>
    </row>
    <row r="47" spans="2:26" ht="15.75">
      <c r="B47" s="17">
        <f t="shared" si="0"/>
        <v>31</v>
      </c>
      <c r="C47" s="295">
        <f>SUMIF('1 Reclamation and O&amp;M costs'!$N$29:$N$38,B47,'1 Reclamation and O&amp;M costs'!$P$29:$P$38)*($H$7+1)</f>
        <v>0</v>
      </c>
      <c r="D47" s="296">
        <f>SUMIF('1 Reclamation and O&amp;M costs'!$M$29:$M$38,"&gt;="&amp;B47,'1 Reclamation and O&amp;M costs'!$R$29:$R$38)*($H$8+1)</f>
        <v>0</v>
      </c>
      <c r="E47" s="17"/>
      <c r="F47" s="17">
        <f t="shared" si="1"/>
        <v>31</v>
      </c>
      <c r="G47" s="295">
        <f>SUMIF('1 Reclamation and O&amp;M costs'!$J$46:$J$61,'3 WM cash flow'!F47,'1 Reclamation and O&amp;M costs'!$P$71:$P$86)*(1+$H$7)</f>
        <v>0</v>
      </c>
      <c r="H47" s="296">
        <f>SUMIF('1 Reclamation and O&amp;M costs'!$I$46:$I$61,'3 WM cash flow'!F47,'1 Reclamation and O&amp;M costs'!$S$71:$S$86)*(1+$H$7)</f>
        <v>0</v>
      </c>
      <c r="I47" s="295">
        <f>(IF('3 WM cash flow'!F47&lt;=('1 Reclamation and O&amp;M costs'!$O$24-'1 Reclamation and O&amp;M costs'!$O$23),0,SUMIF('1 Reclamation and O&amp;M costs'!$I$46:$I$61,"&gt;="&amp;'3 WM cash flow'!F47,'1 Reclamation and O&amp;M costs'!$N$71:$N$86))+IF('3 WM cash flow'!F47&lt;=('1 Reclamation and O&amp;M costs'!$O$24-'1 Reclamation and O&amp;M costs'!$O$23),'1 Reclamation and O&amp;M costs'!$I$90,0))*(1+$H$9)</f>
        <v>0</v>
      </c>
      <c r="J47" s="296">
        <f>SUMIF('1 Reclamation and O&amp;M costs'!$I$46:$I$61,"&gt;="&amp;F47,'1 Reclamation and O&amp;M costs'!$Q$71:$Q$86)*(1+$H$8)</f>
        <v>0</v>
      </c>
      <c r="K47" s="17"/>
      <c r="L47" s="17">
        <f t="shared" si="2"/>
        <v>31</v>
      </c>
      <c r="M47" s="295">
        <f ca="1">SUMIF('1 Reclamation and O&amp;M costs'!$L$96:$L$113,'3 WM cash flow'!L47,'1 Reclamation and O&amp;M costs'!P$113:$P125)*(1+$H$7)</f>
        <v>0</v>
      </c>
      <c r="N47" s="296">
        <f>SUMIF('1 Reclamation and O&amp;M costs'!$K$96:$K$113,'3 WM cash flow'!L47,'1 Reclamation and O&amp;M costs'!$T$96:$T$113)*(1+$H$7)</f>
        <v>0</v>
      </c>
      <c r="O47" s="295">
        <f>SUMIF('1 Reclamation and O&amp;M costs'!$K$96:$K$113,"&gt;="&amp;B47,'1 Reclamation and O&amp;M costs'!$R$96:$R$113)*(1+$H$8)</f>
        <v>0</v>
      </c>
      <c r="P47" s="296"/>
      <c r="Q47" s="17">
        <f t="shared" si="3"/>
        <v>31</v>
      </c>
      <c r="R47" s="295">
        <f>SUMIF('1 Reclamation and O&amp;M costs'!$H$123:$H$133,'3 WM cash flow'!Q47,'1 Reclamation and O&amp;M costs'!$Q$123:$Q$133)*(1+$H$7)</f>
        <v>0</v>
      </c>
      <c r="S47" s="296">
        <f>SUMIF('1 Reclamation and O&amp;M costs'!$H$123:$H$133,"&gt;="&amp;Q47,'1 Reclamation and O&amp;M costs'!$O$123:$O$133)*(1+$H$8)</f>
        <v>0</v>
      </c>
      <c r="T47" s="25"/>
      <c r="U47" s="17">
        <f t="shared" si="4"/>
        <v>31</v>
      </c>
      <c r="V47" s="295">
        <f>(IF(U47&lt;('1 Reclamation and O&amp;M costs'!$O$24-'1 Reclamation and O&amp;M costs'!$O$23),'2 Sampling Cost'!$O$13,IF(U47&lt;'1 Reclamation and O&amp;M costs'!$O$25,'2 Sampling Cost'!$O$14,'2 Sampling Cost'!$O$15)))*(1+$H$9)</f>
        <v>2380</v>
      </c>
      <c r="W47" s="296"/>
      <c r="X47" s="295">
        <f ca="1" t="shared" si="5"/>
        <v>2380</v>
      </c>
      <c r="Y47" s="296"/>
      <c r="Z47" s="25"/>
    </row>
    <row r="48" spans="2:26" ht="15.75">
      <c r="B48" s="17">
        <f t="shared" si="0"/>
        <v>32</v>
      </c>
      <c r="C48" s="295">
        <f>SUMIF('1 Reclamation and O&amp;M costs'!$N$29:$N$38,B48,'1 Reclamation and O&amp;M costs'!$P$29:$P$38)*($H$7+1)</f>
        <v>0</v>
      </c>
      <c r="D48" s="296">
        <f>SUMIF('1 Reclamation and O&amp;M costs'!$M$29:$M$38,"&gt;="&amp;B48,'1 Reclamation and O&amp;M costs'!$R$29:$R$38)*($H$8+1)</f>
        <v>0</v>
      </c>
      <c r="E48" s="17"/>
      <c r="F48" s="17">
        <f t="shared" si="1"/>
        <v>32</v>
      </c>
      <c r="G48" s="295">
        <f>SUMIF('1 Reclamation and O&amp;M costs'!$J$46:$J$61,'3 WM cash flow'!F48,'1 Reclamation and O&amp;M costs'!$P$71:$P$86)*(1+$H$7)</f>
        <v>0</v>
      </c>
      <c r="H48" s="296">
        <f>SUMIF('1 Reclamation and O&amp;M costs'!$I$46:$I$61,'3 WM cash flow'!F48,'1 Reclamation and O&amp;M costs'!$S$71:$S$86)*(1+$H$7)</f>
        <v>0</v>
      </c>
      <c r="I48" s="295">
        <f>(IF('3 WM cash flow'!F48&lt;=('1 Reclamation and O&amp;M costs'!$O$24-'1 Reclamation and O&amp;M costs'!$O$23),0,SUMIF('1 Reclamation and O&amp;M costs'!$I$46:$I$61,"&gt;="&amp;'3 WM cash flow'!F48,'1 Reclamation and O&amp;M costs'!$N$71:$N$86))+IF('3 WM cash flow'!F48&lt;=('1 Reclamation and O&amp;M costs'!$O$24-'1 Reclamation and O&amp;M costs'!$O$23),'1 Reclamation and O&amp;M costs'!$I$90,0))*(1+$H$9)</f>
        <v>0</v>
      </c>
      <c r="J48" s="296">
        <f>SUMIF('1 Reclamation and O&amp;M costs'!$I$46:$I$61,"&gt;="&amp;F48,'1 Reclamation and O&amp;M costs'!$Q$71:$Q$86)*(1+$H$8)</f>
        <v>0</v>
      </c>
      <c r="K48" s="17"/>
      <c r="L48" s="17">
        <f t="shared" si="2"/>
        <v>32</v>
      </c>
      <c r="M48" s="295">
        <f ca="1">SUMIF('1 Reclamation and O&amp;M costs'!$L$96:$L$113,'3 WM cash flow'!L48,'1 Reclamation and O&amp;M costs'!P$113:$P126)*(1+$H$7)</f>
        <v>0</v>
      </c>
      <c r="N48" s="296">
        <f>SUMIF('1 Reclamation and O&amp;M costs'!$K$96:$K$113,'3 WM cash flow'!L48,'1 Reclamation and O&amp;M costs'!$T$96:$T$113)*(1+$H$7)</f>
        <v>0</v>
      </c>
      <c r="O48" s="295">
        <f>SUMIF('1 Reclamation and O&amp;M costs'!$K$96:$K$113,"&gt;="&amp;B48,'1 Reclamation and O&amp;M costs'!$R$96:$R$113)*(1+$H$8)</f>
        <v>0</v>
      </c>
      <c r="P48" s="296"/>
      <c r="Q48" s="17">
        <f t="shared" si="3"/>
        <v>32</v>
      </c>
      <c r="R48" s="295">
        <f>SUMIF('1 Reclamation and O&amp;M costs'!$H$123:$H$133,'3 WM cash flow'!Q48,'1 Reclamation and O&amp;M costs'!$Q$123:$Q$133)*(1+$H$7)</f>
        <v>0</v>
      </c>
      <c r="S48" s="296">
        <f>SUMIF('1 Reclamation and O&amp;M costs'!$H$123:$H$133,"&gt;="&amp;Q48,'1 Reclamation and O&amp;M costs'!$O$123:$O$133)*(1+$H$8)</f>
        <v>0</v>
      </c>
      <c r="T48" s="25"/>
      <c r="U48" s="17">
        <f t="shared" si="4"/>
        <v>32</v>
      </c>
      <c r="V48" s="295">
        <f>(IF(U48&lt;('1 Reclamation and O&amp;M costs'!$O$24-'1 Reclamation and O&amp;M costs'!$O$23),'2 Sampling Cost'!$O$13,IF(U48&lt;'1 Reclamation and O&amp;M costs'!$O$25,'2 Sampling Cost'!$O$14,'2 Sampling Cost'!$O$15)))*(1+$H$9)</f>
        <v>2380</v>
      </c>
      <c r="W48" s="296"/>
      <c r="X48" s="295">
        <f ca="1" t="shared" si="5"/>
        <v>2380</v>
      </c>
      <c r="Y48" s="296"/>
      <c r="Z48" s="25"/>
    </row>
    <row r="49" spans="2:26" ht="15.75">
      <c r="B49" s="17">
        <f t="shared" si="0"/>
        <v>33</v>
      </c>
      <c r="C49" s="295">
        <f>SUMIF('1 Reclamation and O&amp;M costs'!$N$29:$N$38,B49,'1 Reclamation and O&amp;M costs'!$P$29:$P$38)*($H$7+1)</f>
        <v>0</v>
      </c>
      <c r="D49" s="296">
        <f>SUMIF('1 Reclamation and O&amp;M costs'!$M$29:$M$38,"&gt;="&amp;B49,'1 Reclamation and O&amp;M costs'!$R$29:$R$38)*($H$8+1)</f>
        <v>0</v>
      </c>
      <c r="E49" s="17"/>
      <c r="F49" s="17">
        <f aca="true" t="shared" si="6" ref="F49:F80">1+F48</f>
        <v>33</v>
      </c>
      <c r="G49" s="295">
        <f>SUMIF('1 Reclamation and O&amp;M costs'!$J$46:$J$61,'3 WM cash flow'!F49,'1 Reclamation and O&amp;M costs'!$P$71:$P$86)*(1+$H$7)</f>
        <v>0</v>
      </c>
      <c r="H49" s="296">
        <f>SUMIF('1 Reclamation and O&amp;M costs'!$I$46:$I$61,'3 WM cash flow'!F49,'1 Reclamation and O&amp;M costs'!$S$71:$S$86)*(1+$H$7)</f>
        <v>0</v>
      </c>
      <c r="I49" s="295">
        <f>(IF('3 WM cash flow'!F49&lt;=('1 Reclamation and O&amp;M costs'!$O$24-'1 Reclamation and O&amp;M costs'!$O$23),0,SUMIF('1 Reclamation and O&amp;M costs'!$I$46:$I$61,"&gt;="&amp;'3 WM cash flow'!F49,'1 Reclamation and O&amp;M costs'!$N$71:$N$86))+IF('3 WM cash flow'!F49&lt;=('1 Reclamation and O&amp;M costs'!$O$24-'1 Reclamation and O&amp;M costs'!$O$23),'1 Reclamation and O&amp;M costs'!$I$90,0))*(1+$H$9)</f>
        <v>0</v>
      </c>
      <c r="J49" s="296">
        <f>SUMIF('1 Reclamation and O&amp;M costs'!$I$46:$I$61,"&gt;="&amp;F49,'1 Reclamation and O&amp;M costs'!$Q$71:$Q$86)*(1+$H$8)</f>
        <v>0</v>
      </c>
      <c r="K49" s="17"/>
      <c r="L49" s="17">
        <f aca="true" t="shared" si="7" ref="L49:L80">L48+1</f>
        <v>33</v>
      </c>
      <c r="M49" s="295">
        <f ca="1">SUMIF('1 Reclamation and O&amp;M costs'!$L$96:$L$113,'3 WM cash flow'!L49,'1 Reclamation and O&amp;M costs'!P$113:$P127)*(1+$H$7)</f>
        <v>0</v>
      </c>
      <c r="N49" s="296">
        <f>SUMIF('1 Reclamation and O&amp;M costs'!$K$96:$K$113,'3 WM cash flow'!L49,'1 Reclamation and O&amp;M costs'!$T$96:$T$113)*(1+$H$7)</f>
        <v>0</v>
      </c>
      <c r="O49" s="295">
        <f>SUMIF('1 Reclamation and O&amp;M costs'!$K$96:$K$113,"&gt;="&amp;B49,'1 Reclamation and O&amp;M costs'!$R$96:$R$113)*(1+$H$8)</f>
        <v>0</v>
      </c>
      <c r="P49" s="296"/>
      <c r="Q49" s="17">
        <f t="shared" si="3"/>
        <v>33</v>
      </c>
      <c r="R49" s="295">
        <f>SUMIF('1 Reclamation and O&amp;M costs'!$H$123:$H$133,'3 WM cash flow'!Q49,'1 Reclamation and O&amp;M costs'!$Q$123:$Q$133)*(1+$H$7)</f>
        <v>0</v>
      </c>
      <c r="S49" s="296">
        <f>SUMIF('1 Reclamation and O&amp;M costs'!$H$123:$H$133,"&gt;="&amp;Q49,'1 Reclamation and O&amp;M costs'!$O$123:$O$133)*(1+$H$8)</f>
        <v>0</v>
      </c>
      <c r="T49" s="25"/>
      <c r="U49" s="17">
        <f t="shared" si="4"/>
        <v>33</v>
      </c>
      <c r="V49" s="295">
        <f>(IF(U49&lt;('1 Reclamation and O&amp;M costs'!$O$24-'1 Reclamation and O&amp;M costs'!$O$23),'2 Sampling Cost'!$O$13,IF(U49&lt;'1 Reclamation and O&amp;M costs'!$O$25,'2 Sampling Cost'!$O$14,'2 Sampling Cost'!$O$15)))*(1+$H$9)</f>
        <v>2380</v>
      </c>
      <c r="W49" s="296"/>
      <c r="X49" s="295">
        <f ca="1" t="shared" si="5"/>
        <v>2380</v>
      </c>
      <c r="Y49" s="296"/>
      <c r="Z49" s="25"/>
    </row>
    <row r="50" spans="2:26" ht="15.75">
      <c r="B50" s="17">
        <f>1+B49</f>
        <v>34</v>
      </c>
      <c r="C50" s="295">
        <f>SUMIF('1 Reclamation and O&amp;M costs'!$N$29:$N$38,B50,'1 Reclamation and O&amp;M costs'!$P$29:$P$38)*($H$7+1)</f>
        <v>0</v>
      </c>
      <c r="D50" s="296">
        <f>SUMIF('1 Reclamation and O&amp;M costs'!$M$29:$M$38,"&gt;="&amp;B50,'1 Reclamation and O&amp;M costs'!$R$29:$R$38)*($H$8+1)</f>
        <v>0</v>
      </c>
      <c r="E50" s="17"/>
      <c r="F50" s="17">
        <f>1+F49</f>
        <v>34</v>
      </c>
      <c r="G50" s="295">
        <f>SUMIF('1 Reclamation and O&amp;M costs'!$J$46:$J$61,'3 WM cash flow'!F50,'1 Reclamation and O&amp;M costs'!$P$71:$P$86)*(1+$H$7)</f>
        <v>0</v>
      </c>
      <c r="H50" s="296">
        <f>SUMIF('1 Reclamation and O&amp;M costs'!$I$46:$I$61,'3 WM cash flow'!F50,'1 Reclamation and O&amp;M costs'!$S$71:$S$86)*(1+$H$7)</f>
        <v>0</v>
      </c>
      <c r="I50" s="295">
        <f>(IF('3 WM cash flow'!F50&lt;=('1 Reclamation and O&amp;M costs'!$O$24-'1 Reclamation and O&amp;M costs'!$O$23),0,SUMIF('1 Reclamation and O&amp;M costs'!$I$46:$I$61,"&gt;="&amp;'3 WM cash flow'!F50,'1 Reclamation and O&amp;M costs'!$N$71:$N$86))+IF('3 WM cash flow'!F50&lt;=('1 Reclamation and O&amp;M costs'!$O$24-'1 Reclamation and O&amp;M costs'!$O$23),'1 Reclamation and O&amp;M costs'!$I$90,0))*(1+$H$9)</f>
        <v>0</v>
      </c>
      <c r="J50" s="296">
        <f>SUMIF('1 Reclamation and O&amp;M costs'!$I$46:$I$61,"&gt;="&amp;F50,'1 Reclamation and O&amp;M costs'!$Q$71:$Q$86)*(1+$H$8)</f>
        <v>0</v>
      </c>
      <c r="K50" s="17"/>
      <c r="L50" s="17">
        <f t="shared" si="7"/>
        <v>34</v>
      </c>
      <c r="M50" s="295">
        <f ca="1">SUMIF('1 Reclamation and O&amp;M costs'!$L$96:$L$113,'3 WM cash flow'!L50,'1 Reclamation and O&amp;M costs'!P$113:$P128)*(1+$H$7)</f>
        <v>0</v>
      </c>
      <c r="N50" s="296">
        <f>SUMIF('1 Reclamation and O&amp;M costs'!$K$96:$K$113,'3 WM cash flow'!L50,'1 Reclamation and O&amp;M costs'!$T$96:$T$113)*(1+$H$7)</f>
        <v>0</v>
      </c>
      <c r="O50" s="295">
        <f>SUMIF('1 Reclamation and O&amp;M costs'!$K$96:$K$113,"&gt;="&amp;B50,'1 Reclamation and O&amp;M costs'!$R$96:$R$113)*(1+$H$8)</f>
        <v>0</v>
      </c>
      <c r="P50" s="296"/>
      <c r="Q50" s="17">
        <f t="shared" si="3"/>
        <v>34</v>
      </c>
      <c r="R50" s="295">
        <f>SUMIF('1 Reclamation and O&amp;M costs'!$H$123:$H$133,'3 WM cash flow'!Q50,'1 Reclamation and O&amp;M costs'!$Q$123:$Q$133)*(1+$H$7)</f>
        <v>0</v>
      </c>
      <c r="S50" s="296">
        <f>SUMIF('1 Reclamation and O&amp;M costs'!$H$123:$H$133,"&gt;="&amp;Q50,'1 Reclamation and O&amp;M costs'!$O$123:$O$133)*(1+$H$8)</f>
        <v>0</v>
      </c>
      <c r="T50" s="25"/>
      <c r="U50" s="17">
        <f t="shared" si="4"/>
        <v>34</v>
      </c>
      <c r="V50" s="295">
        <f>(IF(U50&lt;('1 Reclamation and O&amp;M costs'!$O$24-'1 Reclamation and O&amp;M costs'!$O$23),'2 Sampling Cost'!$O$13,IF(U50&lt;'1 Reclamation and O&amp;M costs'!$O$25,'2 Sampling Cost'!$O$14,'2 Sampling Cost'!$O$15)))*(1+$H$9)</f>
        <v>2380</v>
      </c>
      <c r="W50" s="296"/>
      <c r="X50" s="295">
        <f ca="1" t="shared" si="5"/>
        <v>2380</v>
      </c>
      <c r="Y50" s="296"/>
      <c r="Z50" s="25"/>
    </row>
    <row r="51" spans="2:26" ht="15.75">
      <c r="B51" s="17">
        <f aca="true" t="shared" si="8" ref="B51:B114">1+B50</f>
        <v>35</v>
      </c>
      <c r="C51" s="295">
        <f>SUMIF('1 Reclamation and O&amp;M costs'!$N$29:$N$38,B51,'1 Reclamation and O&amp;M costs'!$P$29:$P$38)*($H$7+1)</f>
        <v>0</v>
      </c>
      <c r="D51" s="296">
        <f>SUMIF('1 Reclamation and O&amp;M costs'!$M$29:$M$38,"&gt;="&amp;B51,'1 Reclamation and O&amp;M costs'!$R$29:$R$38)*($H$8+1)</f>
        <v>0</v>
      </c>
      <c r="E51" s="17"/>
      <c r="F51" s="17">
        <f t="shared" si="6"/>
        <v>35</v>
      </c>
      <c r="G51" s="295">
        <f>SUMIF('1 Reclamation and O&amp;M costs'!$J$46:$J$61,'3 WM cash flow'!F51,'1 Reclamation and O&amp;M costs'!$P$71:$P$86)*(1+$H$7)</f>
        <v>0</v>
      </c>
      <c r="H51" s="296">
        <f>SUMIF('1 Reclamation and O&amp;M costs'!$I$46:$I$61,'3 WM cash flow'!F51,'1 Reclamation and O&amp;M costs'!$S$71:$S$86)*(1+$H$7)</f>
        <v>0</v>
      </c>
      <c r="I51" s="295">
        <f>(IF('3 WM cash flow'!F51&lt;=('1 Reclamation and O&amp;M costs'!$O$24-'1 Reclamation and O&amp;M costs'!$O$23),0,SUMIF('1 Reclamation and O&amp;M costs'!$I$46:$I$61,"&gt;="&amp;'3 WM cash flow'!F51,'1 Reclamation and O&amp;M costs'!$N$71:$N$86))+IF('3 WM cash flow'!F51&lt;=('1 Reclamation and O&amp;M costs'!$O$24-'1 Reclamation and O&amp;M costs'!$O$23),'1 Reclamation and O&amp;M costs'!$I$90,0))*(1+$H$9)</f>
        <v>0</v>
      </c>
      <c r="J51" s="296">
        <f>SUMIF('1 Reclamation and O&amp;M costs'!$I$46:$I$61,"&gt;="&amp;F51,'1 Reclamation and O&amp;M costs'!$Q$71:$Q$86)*(1+$H$8)</f>
        <v>0</v>
      </c>
      <c r="K51" s="17"/>
      <c r="L51" s="17">
        <f t="shared" si="7"/>
        <v>35</v>
      </c>
      <c r="M51" s="295">
        <f ca="1">SUMIF('1 Reclamation and O&amp;M costs'!$L$96:$L$113,'3 WM cash flow'!L51,'1 Reclamation and O&amp;M costs'!P$113:$P129)*(1+$H$7)</f>
        <v>0</v>
      </c>
      <c r="N51" s="296">
        <f>SUMIF('1 Reclamation and O&amp;M costs'!$K$96:$K$113,'3 WM cash flow'!L51,'1 Reclamation and O&amp;M costs'!$T$96:$T$113)*(1+$H$7)</f>
        <v>0</v>
      </c>
      <c r="O51" s="295">
        <f>SUMIF('1 Reclamation and O&amp;M costs'!$K$96:$K$113,"&gt;="&amp;B51,'1 Reclamation and O&amp;M costs'!$R$96:$R$113)*(1+$H$8)</f>
        <v>0</v>
      </c>
      <c r="P51" s="296"/>
      <c r="Q51" s="17">
        <f t="shared" si="3"/>
        <v>35</v>
      </c>
      <c r="R51" s="295">
        <f>SUMIF('1 Reclamation and O&amp;M costs'!$H$123:$H$133,'3 WM cash flow'!Q51,'1 Reclamation and O&amp;M costs'!$Q$123:$Q$133)*(1+$H$7)</f>
        <v>0</v>
      </c>
      <c r="S51" s="296">
        <f>SUMIF('1 Reclamation and O&amp;M costs'!$H$123:$H$133,"&gt;="&amp;Q51,'1 Reclamation and O&amp;M costs'!$O$123:$O$133)*(1+$H$8)</f>
        <v>0</v>
      </c>
      <c r="T51" s="25"/>
      <c r="U51" s="17">
        <f t="shared" si="4"/>
        <v>35</v>
      </c>
      <c r="V51" s="295">
        <f>(IF(U51&lt;('1 Reclamation and O&amp;M costs'!$O$24-'1 Reclamation and O&amp;M costs'!$O$23),'2 Sampling Cost'!$O$13,IF(U51&lt;'1 Reclamation and O&amp;M costs'!$O$25,'2 Sampling Cost'!$O$14,'2 Sampling Cost'!$O$15)))*(1+$H$9)</f>
        <v>2380</v>
      </c>
      <c r="W51" s="296"/>
      <c r="X51" s="295">
        <f ca="1" t="shared" si="5"/>
        <v>2380</v>
      </c>
      <c r="Y51" s="296"/>
      <c r="Z51" s="25"/>
    </row>
    <row r="52" spans="2:26" ht="15.75">
      <c r="B52" s="17">
        <f t="shared" si="8"/>
        <v>36</v>
      </c>
      <c r="C52" s="295">
        <f>SUMIF('1 Reclamation and O&amp;M costs'!$N$29:$N$38,B52,'1 Reclamation and O&amp;M costs'!$P$29:$P$38)*($H$7+1)</f>
        <v>0</v>
      </c>
      <c r="D52" s="296">
        <f>SUMIF('1 Reclamation and O&amp;M costs'!$M$29:$M$38,"&gt;="&amp;B52,'1 Reclamation and O&amp;M costs'!$R$29:$R$38)*($H$8+1)</f>
        <v>0</v>
      </c>
      <c r="E52" s="17"/>
      <c r="F52" s="17">
        <f t="shared" si="6"/>
        <v>36</v>
      </c>
      <c r="G52" s="295">
        <f>SUMIF('1 Reclamation and O&amp;M costs'!$J$46:$J$61,'3 WM cash flow'!F52,'1 Reclamation and O&amp;M costs'!$P$71:$P$86)*(1+$H$7)</f>
        <v>0</v>
      </c>
      <c r="H52" s="296">
        <f>SUMIF('1 Reclamation and O&amp;M costs'!$I$46:$I$61,'3 WM cash flow'!F52,'1 Reclamation and O&amp;M costs'!$S$71:$S$86)*(1+$H$7)</f>
        <v>0</v>
      </c>
      <c r="I52" s="295">
        <f>(IF('3 WM cash flow'!F52&lt;=('1 Reclamation and O&amp;M costs'!$O$24-'1 Reclamation and O&amp;M costs'!$O$23),0,SUMIF('1 Reclamation and O&amp;M costs'!$I$46:$I$61,"&gt;="&amp;'3 WM cash flow'!F52,'1 Reclamation and O&amp;M costs'!$N$71:$N$86))+IF('3 WM cash flow'!F52&lt;=('1 Reclamation and O&amp;M costs'!$O$24-'1 Reclamation and O&amp;M costs'!$O$23),'1 Reclamation and O&amp;M costs'!$I$90,0))*(1+$H$9)</f>
        <v>0</v>
      </c>
      <c r="J52" s="296">
        <f>SUMIF('1 Reclamation and O&amp;M costs'!$I$46:$I$61,"&gt;="&amp;F52,'1 Reclamation and O&amp;M costs'!$Q$71:$Q$86)*(1+$H$8)</f>
        <v>0</v>
      </c>
      <c r="K52" s="17"/>
      <c r="L52" s="17">
        <f t="shared" si="7"/>
        <v>36</v>
      </c>
      <c r="M52" s="295">
        <f>SUMIF('1 Reclamation and O&amp;M costs'!$L$96:$L$113,'3 WM cash flow'!L52,'1 Reclamation and O&amp;M costs'!P$113:$P130)*(1+$H$7)</f>
        <v>0</v>
      </c>
      <c r="N52" s="296">
        <f>SUMIF('1 Reclamation and O&amp;M costs'!$K$96:$K$113,'3 WM cash flow'!L52,'1 Reclamation and O&amp;M costs'!$T$96:$T$113)*(1+$H$7)</f>
        <v>0</v>
      </c>
      <c r="O52" s="295">
        <f>SUMIF('1 Reclamation and O&amp;M costs'!$K$96:$K$113,"&gt;="&amp;B52,'1 Reclamation and O&amp;M costs'!$R$96:$R$113)*(1+$H$8)</f>
        <v>0</v>
      </c>
      <c r="P52" s="296"/>
      <c r="Q52" s="17">
        <f t="shared" si="3"/>
        <v>36</v>
      </c>
      <c r="R52" s="295">
        <f>SUMIF('1 Reclamation and O&amp;M costs'!$H$123:$H$133,'3 WM cash flow'!Q52,'1 Reclamation and O&amp;M costs'!$Q$123:$Q$133)*(1+$H$7)</f>
        <v>0</v>
      </c>
      <c r="S52" s="296">
        <f>SUMIF('1 Reclamation and O&amp;M costs'!$H$123:$H$133,"&gt;="&amp;Q52,'1 Reclamation and O&amp;M costs'!$O$123:$O$133)*(1+$H$8)</f>
        <v>0</v>
      </c>
      <c r="T52" s="25"/>
      <c r="U52" s="17">
        <f t="shared" si="4"/>
        <v>36</v>
      </c>
      <c r="V52" s="295">
        <f>(IF(U52&lt;('1 Reclamation and O&amp;M costs'!$O$24-'1 Reclamation and O&amp;M costs'!$O$23),'2 Sampling Cost'!$O$13,IF(U52&lt;'1 Reclamation and O&amp;M costs'!$O$25,'2 Sampling Cost'!$O$14,'2 Sampling Cost'!$O$15)))*(1+$H$9)</f>
        <v>2380</v>
      </c>
      <c r="W52" s="296"/>
      <c r="X52" s="295">
        <f t="shared" si="5"/>
        <v>2380</v>
      </c>
      <c r="Y52" s="296"/>
      <c r="Z52" s="25"/>
    </row>
    <row r="53" spans="2:26" ht="15.75">
      <c r="B53" s="17">
        <f t="shared" si="8"/>
        <v>37</v>
      </c>
      <c r="C53" s="295">
        <f>SUMIF('1 Reclamation and O&amp;M costs'!$N$29:$N$38,B53,'1 Reclamation and O&amp;M costs'!$P$29:$P$38)*($H$7+1)</f>
        <v>0</v>
      </c>
      <c r="D53" s="296">
        <f>SUMIF('1 Reclamation and O&amp;M costs'!$M$29:$M$38,"&gt;="&amp;B53,'1 Reclamation and O&amp;M costs'!$R$29:$R$38)*($H$8+1)</f>
        <v>0</v>
      </c>
      <c r="E53" s="17"/>
      <c r="F53" s="17">
        <f t="shared" si="6"/>
        <v>37</v>
      </c>
      <c r="G53" s="295">
        <f>SUMIF('1 Reclamation and O&amp;M costs'!$J$46:$J$61,'3 WM cash flow'!F53,'1 Reclamation and O&amp;M costs'!$P$71:$P$86)*(1+$H$7)</f>
        <v>0</v>
      </c>
      <c r="H53" s="296">
        <f>SUMIF('1 Reclamation and O&amp;M costs'!$I$46:$I$61,'3 WM cash flow'!F53,'1 Reclamation and O&amp;M costs'!$S$71:$S$86)*(1+$H$7)</f>
        <v>0</v>
      </c>
      <c r="I53" s="295">
        <f>(IF('3 WM cash flow'!F53&lt;=('1 Reclamation and O&amp;M costs'!$O$24-'1 Reclamation and O&amp;M costs'!$O$23),0,SUMIF('1 Reclamation and O&amp;M costs'!$I$46:$I$61,"&gt;="&amp;'3 WM cash flow'!F53,'1 Reclamation and O&amp;M costs'!$N$71:$N$86))+IF('3 WM cash flow'!F53&lt;=('1 Reclamation and O&amp;M costs'!$O$24-'1 Reclamation and O&amp;M costs'!$O$23),'1 Reclamation and O&amp;M costs'!$I$90,0))*(1+$H$9)</f>
        <v>0</v>
      </c>
      <c r="J53" s="296">
        <f>SUMIF('1 Reclamation and O&amp;M costs'!$I$46:$I$61,"&gt;="&amp;F53,'1 Reclamation and O&amp;M costs'!$Q$71:$Q$86)*(1+$H$8)</f>
        <v>0</v>
      </c>
      <c r="K53" s="17"/>
      <c r="L53" s="17">
        <f t="shared" si="7"/>
        <v>37</v>
      </c>
      <c r="M53" s="295">
        <f>SUMIF('1 Reclamation and O&amp;M costs'!$L$96:$L$113,'3 WM cash flow'!L53,'1 Reclamation and O&amp;M costs'!P$113:$P131)*(1+$H$7)</f>
        <v>0</v>
      </c>
      <c r="N53" s="296">
        <f>SUMIF('1 Reclamation and O&amp;M costs'!$K$96:$K$113,'3 WM cash flow'!L53,'1 Reclamation and O&amp;M costs'!$T$96:$T$113)*(1+$H$7)</f>
        <v>0</v>
      </c>
      <c r="O53" s="295">
        <f>SUMIF('1 Reclamation and O&amp;M costs'!$K$96:$K$113,"&gt;="&amp;B53,'1 Reclamation and O&amp;M costs'!$R$96:$R$113)*(1+$H$8)</f>
        <v>0</v>
      </c>
      <c r="P53" s="296"/>
      <c r="Q53" s="17">
        <f t="shared" si="3"/>
        <v>37</v>
      </c>
      <c r="R53" s="295">
        <f>SUMIF('1 Reclamation and O&amp;M costs'!$H$123:$H$133,'3 WM cash flow'!Q53,'1 Reclamation and O&amp;M costs'!$Q$123:$Q$133)*(1+$H$7)</f>
        <v>0</v>
      </c>
      <c r="S53" s="296">
        <f>SUMIF('1 Reclamation and O&amp;M costs'!$H$123:$H$133,"&gt;="&amp;Q53,'1 Reclamation and O&amp;M costs'!$O$123:$O$133)*(1+$H$8)</f>
        <v>0</v>
      </c>
      <c r="T53" s="25"/>
      <c r="U53" s="17">
        <f t="shared" si="4"/>
        <v>37</v>
      </c>
      <c r="V53" s="295">
        <f>(IF(U53&lt;('1 Reclamation and O&amp;M costs'!$O$24-'1 Reclamation and O&amp;M costs'!$O$23),'2 Sampling Cost'!$O$13,IF(U53&lt;'1 Reclamation and O&amp;M costs'!$O$25,'2 Sampling Cost'!$O$14,'2 Sampling Cost'!$O$15)))*(1+$H$9)</f>
        <v>2380</v>
      </c>
      <c r="W53" s="296"/>
      <c r="X53" s="295">
        <f t="shared" si="5"/>
        <v>2380</v>
      </c>
      <c r="Y53" s="296"/>
      <c r="Z53" s="25"/>
    </row>
    <row r="54" spans="2:26" ht="15.75">
      <c r="B54" s="17">
        <f t="shared" si="8"/>
        <v>38</v>
      </c>
      <c r="C54" s="295">
        <f>SUMIF('1 Reclamation and O&amp;M costs'!$N$29:$N$38,B54,'1 Reclamation and O&amp;M costs'!$P$29:$P$38)*($H$7+1)</f>
        <v>0</v>
      </c>
      <c r="D54" s="296">
        <f>SUMIF('1 Reclamation and O&amp;M costs'!$M$29:$M$38,"&gt;="&amp;B54,'1 Reclamation and O&amp;M costs'!$R$29:$R$38)*($H$8+1)</f>
        <v>0</v>
      </c>
      <c r="E54" s="17"/>
      <c r="F54" s="17">
        <f t="shared" si="6"/>
        <v>38</v>
      </c>
      <c r="G54" s="295">
        <f>SUMIF('1 Reclamation and O&amp;M costs'!$J$46:$J$61,'3 WM cash flow'!F54,'1 Reclamation and O&amp;M costs'!$P$71:$P$86)*(1+$H$7)</f>
        <v>0</v>
      </c>
      <c r="H54" s="296">
        <f>SUMIF('1 Reclamation and O&amp;M costs'!$I$46:$I$61,'3 WM cash flow'!F54,'1 Reclamation and O&amp;M costs'!$S$71:$S$86)*(1+$H$7)</f>
        <v>0</v>
      </c>
      <c r="I54" s="295">
        <f>(IF('3 WM cash flow'!F54&lt;=('1 Reclamation and O&amp;M costs'!$O$24-'1 Reclamation and O&amp;M costs'!$O$23),0,SUMIF('1 Reclamation and O&amp;M costs'!$I$46:$I$61,"&gt;="&amp;'3 WM cash flow'!F54,'1 Reclamation and O&amp;M costs'!$N$71:$N$86))+IF('3 WM cash flow'!F54&lt;=('1 Reclamation and O&amp;M costs'!$O$24-'1 Reclamation and O&amp;M costs'!$O$23),'1 Reclamation and O&amp;M costs'!$I$90,0))*(1+$H$9)</f>
        <v>0</v>
      </c>
      <c r="J54" s="296">
        <f>SUMIF('1 Reclamation and O&amp;M costs'!$I$46:$I$61,"&gt;="&amp;F54,'1 Reclamation and O&amp;M costs'!$Q$71:$Q$86)*(1+$H$8)</f>
        <v>0</v>
      </c>
      <c r="K54" s="17"/>
      <c r="L54" s="17">
        <f t="shared" si="7"/>
        <v>38</v>
      </c>
      <c r="M54" s="295">
        <f>SUMIF('1 Reclamation and O&amp;M costs'!$L$96:$L$113,'3 WM cash flow'!L54,'1 Reclamation and O&amp;M costs'!P$113:$P132)*(1+$H$7)</f>
        <v>0</v>
      </c>
      <c r="N54" s="296">
        <f>SUMIF('1 Reclamation and O&amp;M costs'!$K$96:$K$113,'3 WM cash flow'!L54,'1 Reclamation and O&amp;M costs'!$T$96:$T$113)*(1+$H$7)</f>
        <v>0</v>
      </c>
      <c r="O54" s="295">
        <f>SUMIF('1 Reclamation and O&amp;M costs'!$K$96:$K$113,"&gt;="&amp;B54,'1 Reclamation and O&amp;M costs'!$R$96:$R$113)*(1+$H$8)</f>
        <v>0</v>
      </c>
      <c r="P54" s="296"/>
      <c r="Q54" s="17">
        <f t="shared" si="3"/>
        <v>38</v>
      </c>
      <c r="R54" s="295">
        <f>SUMIF('1 Reclamation and O&amp;M costs'!$H$123:$H$133,'3 WM cash flow'!Q54,'1 Reclamation and O&amp;M costs'!$Q$123:$Q$133)*(1+$H$7)</f>
        <v>0</v>
      </c>
      <c r="S54" s="296">
        <f>SUMIF('1 Reclamation and O&amp;M costs'!$H$123:$H$133,"&gt;="&amp;Q54,'1 Reclamation and O&amp;M costs'!$O$123:$O$133)*(1+$H$8)</f>
        <v>0</v>
      </c>
      <c r="T54" s="25"/>
      <c r="U54" s="17">
        <f t="shared" si="4"/>
        <v>38</v>
      </c>
      <c r="V54" s="295">
        <f>(IF(U54&lt;('1 Reclamation and O&amp;M costs'!$O$24-'1 Reclamation and O&amp;M costs'!$O$23),'2 Sampling Cost'!$O$13,IF(U54&lt;'1 Reclamation and O&amp;M costs'!$O$25,'2 Sampling Cost'!$O$14,'2 Sampling Cost'!$O$15)))*(1+$H$9)</f>
        <v>2380</v>
      </c>
      <c r="W54" s="296"/>
      <c r="X54" s="295">
        <f t="shared" si="5"/>
        <v>2380</v>
      </c>
      <c r="Y54" s="296"/>
      <c r="Z54" s="25"/>
    </row>
    <row r="55" spans="2:26" ht="15.75">
      <c r="B55" s="17">
        <f t="shared" si="8"/>
        <v>39</v>
      </c>
      <c r="C55" s="295">
        <f>SUMIF('1 Reclamation and O&amp;M costs'!$N$29:$N$38,B55,'1 Reclamation and O&amp;M costs'!$P$29:$P$38)*($H$7+1)</f>
        <v>0</v>
      </c>
      <c r="D55" s="296">
        <f>SUMIF('1 Reclamation and O&amp;M costs'!$M$29:$M$38,"&gt;="&amp;B55,'1 Reclamation and O&amp;M costs'!$R$29:$R$38)*($H$8+1)</f>
        <v>0</v>
      </c>
      <c r="E55" s="17"/>
      <c r="F55" s="17">
        <f t="shared" si="6"/>
        <v>39</v>
      </c>
      <c r="G55" s="295">
        <f>SUMIF('1 Reclamation and O&amp;M costs'!$J$46:$J$61,'3 WM cash flow'!F55,'1 Reclamation and O&amp;M costs'!$P$71:$P$86)*(1+$H$7)</f>
        <v>0</v>
      </c>
      <c r="H55" s="296">
        <f>SUMIF('1 Reclamation and O&amp;M costs'!$I$46:$I$61,'3 WM cash flow'!F55,'1 Reclamation and O&amp;M costs'!$S$71:$S$86)*(1+$H$7)</f>
        <v>0</v>
      </c>
      <c r="I55" s="295">
        <f>(IF('3 WM cash flow'!F55&lt;=('1 Reclamation and O&amp;M costs'!$O$24-'1 Reclamation and O&amp;M costs'!$O$23),0,SUMIF('1 Reclamation and O&amp;M costs'!$I$46:$I$61,"&gt;="&amp;'3 WM cash flow'!F55,'1 Reclamation and O&amp;M costs'!$N$71:$N$86))+IF('3 WM cash flow'!F55&lt;=('1 Reclamation and O&amp;M costs'!$O$24-'1 Reclamation and O&amp;M costs'!$O$23),'1 Reclamation and O&amp;M costs'!$I$90,0))*(1+$H$9)</f>
        <v>0</v>
      </c>
      <c r="J55" s="296">
        <f>SUMIF('1 Reclamation and O&amp;M costs'!$I$46:$I$61,"&gt;="&amp;F55,'1 Reclamation and O&amp;M costs'!$Q$71:$Q$86)*(1+$H$8)</f>
        <v>0</v>
      </c>
      <c r="K55" s="17"/>
      <c r="L55" s="17">
        <f t="shared" si="7"/>
        <v>39</v>
      </c>
      <c r="M55" s="295">
        <f>SUMIF('1 Reclamation and O&amp;M costs'!$L$96:$L$113,'3 WM cash flow'!L55,'1 Reclamation and O&amp;M costs'!P$113:$P133)*(1+$H$7)</f>
        <v>0</v>
      </c>
      <c r="N55" s="296">
        <f>SUMIF('1 Reclamation and O&amp;M costs'!$K$96:$K$113,'3 WM cash flow'!L55,'1 Reclamation and O&amp;M costs'!$T$96:$T$113)*(1+$H$7)</f>
        <v>0</v>
      </c>
      <c r="O55" s="295">
        <f>SUMIF('1 Reclamation and O&amp;M costs'!$K$96:$K$113,"&gt;="&amp;B55,'1 Reclamation and O&amp;M costs'!$R$96:$R$113)*(1+$H$8)</f>
        <v>0</v>
      </c>
      <c r="P55" s="296"/>
      <c r="Q55" s="17">
        <f t="shared" si="3"/>
        <v>39</v>
      </c>
      <c r="R55" s="295">
        <f>SUMIF('1 Reclamation and O&amp;M costs'!$H$123:$H$133,'3 WM cash flow'!Q55,'1 Reclamation and O&amp;M costs'!$Q$123:$Q$133)*(1+$H$7)</f>
        <v>0</v>
      </c>
      <c r="S55" s="296">
        <f>SUMIF('1 Reclamation and O&amp;M costs'!$H$123:$H$133,"&gt;="&amp;Q55,'1 Reclamation and O&amp;M costs'!$O$123:$O$133)*(1+$H$8)</f>
        <v>0</v>
      </c>
      <c r="T55" s="25"/>
      <c r="U55" s="17">
        <f t="shared" si="4"/>
        <v>39</v>
      </c>
      <c r="V55" s="295">
        <f>(IF(U55&lt;('1 Reclamation and O&amp;M costs'!$O$24-'1 Reclamation and O&amp;M costs'!$O$23),'2 Sampling Cost'!$O$13,IF(U55&lt;'1 Reclamation and O&amp;M costs'!$O$25,'2 Sampling Cost'!$O$14,'2 Sampling Cost'!$O$15)))*(1+$H$9)</f>
        <v>2380</v>
      </c>
      <c r="W55" s="296"/>
      <c r="X55" s="295">
        <f t="shared" si="5"/>
        <v>2380</v>
      </c>
      <c r="Y55" s="296"/>
      <c r="Z55" s="25"/>
    </row>
    <row r="56" spans="2:26" ht="15.75">
      <c r="B56" s="17">
        <f t="shared" si="8"/>
        <v>40</v>
      </c>
      <c r="C56" s="295">
        <f>SUMIF('1 Reclamation and O&amp;M costs'!$N$29:$N$38,B56,'1 Reclamation and O&amp;M costs'!$P$29:$P$38)*($H$7+1)</f>
        <v>0</v>
      </c>
      <c r="D56" s="296">
        <f>SUMIF('1 Reclamation and O&amp;M costs'!$M$29:$M$38,"&gt;="&amp;B56,'1 Reclamation and O&amp;M costs'!$R$29:$R$38)*($H$8+1)</f>
        <v>0</v>
      </c>
      <c r="E56" s="17"/>
      <c r="F56" s="17">
        <f t="shared" si="6"/>
        <v>40</v>
      </c>
      <c r="G56" s="295">
        <f>SUMIF('1 Reclamation and O&amp;M costs'!$J$46:$J$61,'3 WM cash flow'!F56,'1 Reclamation and O&amp;M costs'!$P$71:$P$86)*(1+$H$7)</f>
        <v>0</v>
      </c>
      <c r="H56" s="296">
        <f>SUMIF('1 Reclamation and O&amp;M costs'!$I$46:$I$61,'3 WM cash flow'!F56,'1 Reclamation and O&amp;M costs'!$S$71:$S$86)*(1+$H$7)</f>
        <v>0</v>
      </c>
      <c r="I56" s="295">
        <f>(IF('3 WM cash flow'!F56&lt;=('1 Reclamation and O&amp;M costs'!$O$24-'1 Reclamation and O&amp;M costs'!$O$23),0,SUMIF('1 Reclamation and O&amp;M costs'!$I$46:$I$61,"&gt;="&amp;'3 WM cash flow'!F56,'1 Reclamation and O&amp;M costs'!$N$71:$N$86))+IF('3 WM cash flow'!F56&lt;=('1 Reclamation and O&amp;M costs'!$O$24-'1 Reclamation and O&amp;M costs'!$O$23),'1 Reclamation and O&amp;M costs'!$I$90,0))*(1+$H$9)</f>
        <v>0</v>
      </c>
      <c r="J56" s="296">
        <f>SUMIF('1 Reclamation and O&amp;M costs'!$I$46:$I$61,"&gt;="&amp;F56,'1 Reclamation and O&amp;M costs'!$Q$71:$Q$86)*(1+$H$8)</f>
        <v>0</v>
      </c>
      <c r="K56" s="17"/>
      <c r="L56" s="17">
        <f t="shared" si="7"/>
        <v>40</v>
      </c>
      <c r="M56" s="295">
        <f>SUMIF('1 Reclamation and O&amp;M costs'!$L$96:$L$113,'3 WM cash flow'!L56,'1 Reclamation and O&amp;M costs'!P$113:$P134)*(1+$H$7)</f>
        <v>0</v>
      </c>
      <c r="N56" s="296">
        <f>SUMIF('1 Reclamation and O&amp;M costs'!$K$96:$K$113,'3 WM cash flow'!L56,'1 Reclamation and O&amp;M costs'!$T$96:$T$113)*(1+$H$7)</f>
        <v>0</v>
      </c>
      <c r="O56" s="295">
        <f>SUMIF('1 Reclamation and O&amp;M costs'!$K$96:$K$113,"&gt;="&amp;B56,'1 Reclamation and O&amp;M costs'!$R$96:$R$113)*(1+$H$8)</f>
        <v>0</v>
      </c>
      <c r="P56" s="296"/>
      <c r="Q56" s="17">
        <f t="shared" si="3"/>
        <v>40</v>
      </c>
      <c r="R56" s="295">
        <f>SUMIF('1 Reclamation and O&amp;M costs'!$H$123:$H$133,'3 WM cash flow'!Q56,'1 Reclamation and O&amp;M costs'!$Q$123:$Q$133)*(1+$H$7)</f>
        <v>0</v>
      </c>
      <c r="S56" s="296">
        <f>SUMIF('1 Reclamation and O&amp;M costs'!$H$123:$H$133,"&gt;="&amp;Q56,'1 Reclamation and O&amp;M costs'!$O$123:$O$133)*(1+$H$8)</f>
        <v>0</v>
      </c>
      <c r="T56" s="25"/>
      <c r="U56" s="17">
        <f t="shared" si="4"/>
        <v>40</v>
      </c>
      <c r="V56" s="295">
        <f>(IF(U56&lt;('1 Reclamation and O&amp;M costs'!$O$24-'1 Reclamation and O&amp;M costs'!$O$23),'2 Sampling Cost'!$O$13,IF(U56&lt;'1 Reclamation and O&amp;M costs'!$O$25,'2 Sampling Cost'!$O$14,'2 Sampling Cost'!$O$15)))*(1+$H$9)</f>
        <v>2380</v>
      </c>
      <c r="W56" s="296"/>
      <c r="X56" s="295">
        <f t="shared" si="5"/>
        <v>2380</v>
      </c>
      <c r="Y56" s="296"/>
      <c r="Z56" s="25"/>
    </row>
    <row r="57" spans="2:26" ht="15.75">
      <c r="B57" s="17">
        <f t="shared" si="8"/>
        <v>41</v>
      </c>
      <c r="C57" s="295">
        <f>SUMIF('1 Reclamation and O&amp;M costs'!$N$29:$N$38,B57,'1 Reclamation and O&amp;M costs'!$P$29:$P$38)*($H$7+1)</f>
        <v>0</v>
      </c>
      <c r="D57" s="296">
        <f>SUMIF('1 Reclamation and O&amp;M costs'!$M$29:$M$38,"&gt;="&amp;B57,'1 Reclamation and O&amp;M costs'!$R$29:$R$38)*($H$8+1)</f>
        <v>0</v>
      </c>
      <c r="E57" s="17"/>
      <c r="F57" s="17">
        <f t="shared" si="6"/>
        <v>41</v>
      </c>
      <c r="G57" s="295">
        <f>SUMIF('1 Reclamation and O&amp;M costs'!$J$46:$J$61,'3 WM cash flow'!F57,'1 Reclamation and O&amp;M costs'!$P$71:$P$86)*(1+$H$7)</f>
        <v>0</v>
      </c>
      <c r="H57" s="296">
        <f>SUMIF('1 Reclamation and O&amp;M costs'!$I$46:$I$61,'3 WM cash flow'!F57,'1 Reclamation and O&amp;M costs'!$S$71:$S$86)*(1+$H$7)</f>
        <v>0</v>
      </c>
      <c r="I57" s="295">
        <f>(IF('3 WM cash flow'!F57&lt;=('1 Reclamation and O&amp;M costs'!$O$24-'1 Reclamation and O&amp;M costs'!$O$23),0,SUMIF('1 Reclamation and O&amp;M costs'!$I$46:$I$61,"&gt;="&amp;'3 WM cash flow'!F57,'1 Reclamation and O&amp;M costs'!$N$71:$N$86))+IF('3 WM cash flow'!F57&lt;=('1 Reclamation and O&amp;M costs'!$O$24-'1 Reclamation and O&amp;M costs'!$O$23),'1 Reclamation and O&amp;M costs'!$I$90,0))*(1+$H$9)</f>
        <v>0</v>
      </c>
      <c r="J57" s="296">
        <f>SUMIF('1 Reclamation and O&amp;M costs'!$I$46:$I$61,"&gt;="&amp;F57,'1 Reclamation and O&amp;M costs'!$Q$71:$Q$86)*(1+$H$8)</f>
        <v>0</v>
      </c>
      <c r="K57" s="17"/>
      <c r="L57" s="17">
        <f t="shared" si="7"/>
        <v>41</v>
      </c>
      <c r="M57" s="295">
        <f>SUMIF('1 Reclamation and O&amp;M costs'!$L$96:$L$113,'3 WM cash flow'!L57,'1 Reclamation and O&amp;M costs'!P$113:$P135)*(1+$H$7)</f>
        <v>0</v>
      </c>
      <c r="N57" s="296">
        <f>SUMIF('1 Reclamation and O&amp;M costs'!$K$96:$K$113,'3 WM cash flow'!L57,'1 Reclamation and O&amp;M costs'!$T$96:$T$113)*(1+$H$7)</f>
        <v>0</v>
      </c>
      <c r="O57" s="295">
        <f>SUMIF('1 Reclamation and O&amp;M costs'!$K$96:$K$113,"&gt;="&amp;B57,'1 Reclamation and O&amp;M costs'!$R$96:$R$113)*(1+$H$8)</f>
        <v>0</v>
      </c>
      <c r="P57" s="296"/>
      <c r="Q57" s="17">
        <f t="shared" si="3"/>
        <v>41</v>
      </c>
      <c r="R57" s="295">
        <f>SUMIF('1 Reclamation and O&amp;M costs'!$H$123:$H$133,'3 WM cash flow'!Q57,'1 Reclamation and O&amp;M costs'!$Q$123:$Q$133)*(1+$H$7)</f>
        <v>0</v>
      </c>
      <c r="S57" s="296">
        <f>SUMIF('1 Reclamation and O&amp;M costs'!$H$123:$H$133,"&gt;="&amp;Q57,'1 Reclamation and O&amp;M costs'!$O$123:$O$133)*(1+$H$8)</f>
        <v>0</v>
      </c>
      <c r="T57" s="25"/>
      <c r="U57" s="17">
        <f t="shared" si="4"/>
        <v>41</v>
      </c>
      <c r="V57" s="295">
        <f>(IF(U57&lt;('1 Reclamation and O&amp;M costs'!$O$24-'1 Reclamation and O&amp;M costs'!$O$23),'2 Sampling Cost'!$O$13,IF(U57&lt;'1 Reclamation and O&amp;M costs'!$O$25,'2 Sampling Cost'!$O$14,'2 Sampling Cost'!$O$15)))*(1+$H$9)</f>
        <v>2380</v>
      </c>
      <c r="W57" s="296"/>
      <c r="X57" s="295">
        <f t="shared" si="5"/>
        <v>2380</v>
      </c>
      <c r="Y57" s="296"/>
      <c r="Z57" s="25"/>
    </row>
    <row r="58" spans="2:26" ht="15.75">
      <c r="B58" s="17">
        <f t="shared" si="8"/>
        <v>42</v>
      </c>
      <c r="C58" s="295">
        <f>SUMIF('1 Reclamation and O&amp;M costs'!$N$29:$N$38,B58,'1 Reclamation and O&amp;M costs'!$P$29:$P$38)*($H$7+1)</f>
        <v>0</v>
      </c>
      <c r="D58" s="296">
        <f>SUMIF('1 Reclamation and O&amp;M costs'!$M$29:$M$38,"&gt;="&amp;B58,'1 Reclamation and O&amp;M costs'!$R$29:$R$38)*($H$8+1)</f>
        <v>0</v>
      </c>
      <c r="E58" s="17"/>
      <c r="F58" s="17">
        <f t="shared" si="6"/>
        <v>42</v>
      </c>
      <c r="G58" s="295">
        <f>SUMIF('1 Reclamation and O&amp;M costs'!$J$46:$J$61,'3 WM cash flow'!F58,'1 Reclamation and O&amp;M costs'!$P$71:$P$86)*(1+$H$7)</f>
        <v>0</v>
      </c>
      <c r="H58" s="296">
        <f>SUMIF('1 Reclamation and O&amp;M costs'!$I$46:$I$61,'3 WM cash flow'!F58,'1 Reclamation and O&amp;M costs'!$S$71:$S$86)*(1+$H$7)</f>
        <v>0</v>
      </c>
      <c r="I58" s="295">
        <f>(IF('3 WM cash flow'!F58&lt;=('1 Reclamation and O&amp;M costs'!$O$24-'1 Reclamation and O&amp;M costs'!$O$23),0,SUMIF('1 Reclamation and O&amp;M costs'!$I$46:$I$61,"&gt;="&amp;'3 WM cash flow'!F58,'1 Reclamation and O&amp;M costs'!$N$71:$N$86))+IF('3 WM cash flow'!F58&lt;=('1 Reclamation and O&amp;M costs'!$O$24-'1 Reclamation and O&amp;M costs'!$O$23),'1 Reclamation and O&amp;M costs'!$I$90,0))*(1+$H$9)</f>
        <v>0</v>
      </c>
      <c r="J58" s="296">
        <f>SUMIF('1 Reclamation and O&amp;M costs'!$I$46:$I$61,"&gt;="&amp;F58,'1 Reclamation and O&amp;M costs'!$Q$71:$Q$86)*(1+$H$8)</f>
        <v>0</v>
      </c>
      <c r="K58" s="17"/>
      <c r="L58" s="17">
        <f t="shared" si="7"/>
        <v>42</v>
      </c>
      <c r="M58" s="295">
        <f>SUMIF('1 Reclamation and O&amp;M costs'!$L$96:$L$113,'3 WM cash flow'!L58,'1 Reclamation and O&amp;M costs'!P$113:$P136)*(1+$H$7)</f>
        <v>0</v>
      </c>
      <c r="N58" s="296">
        <f>SUMIF('1 Reclamation and O&amp;M costs'!$K$96:$K$113,'3 WM cash flow'!L58,'1 Reclamation and O&amp;M costs'!$T$96:$T$113)*(1+$H$7)</f>
        <v>0</v>
      </c>
      <c r="O58" s="295">
        <f>SUMIF('1 Reclamation and O&amp;M costs'!$K$96:$K$113,"&gt;="&amp;B58,'1 Reclamation and O&amp;M costs'!$R$96:$R$113)*(1+$H$8)</f>
        <v>0</v>
      </c>
      <c r="P58" s="296"/>
      <c r="Q58" s="17">
        <f t="shared" si="3"/>
        <v>42</v>
      </c>
      <c r="R58" s="295">
        <f>SUMIF('1 Reclamation and O&amp;M costs'!$H$123:$H$133,'3 WM cash flow'!Q58,'1 Reclamation and O&amp;M costs'!$Q$123:$Q$133)*(1+$H$7)</f>
        <v>0</v>
      </c>
      <c r="S58" s="296">
        <f>SUMIF('1 Reclamation and O&amp;M costs'!$H$123:$H$133,"&gt;="&amp;Q58,'1 Reclamation and O&amp;M costs'!$O$123:$O$133)*(1+$H$8)</f>
        <v>0</v>
      </c>
      <c r="T58" s="25"/>
      <c r="U58" s="17">
        <f t="shared" si="4"/>
        <v>42</v>
      </c>
      <c r="V58" s="295">
        <f>(IF(U58&lt;('1 Reclamation and O&amp;M costs'!$O$24-'1 Reclamation and O&amp;M costs'!$O$23),'2 Sampling Cost'!$O$13,IF(U58&lt;'1 Reclamation and O&amp;M costs'!$O$25,'2 Sampling Cost'!$O$14,'2 Sampling Cost'!$O$15)))*(1+$H$9)</f>
        <v>2380</v>
      </c>
      <c r="W58" s="296"/>
      <c r="X58" s="295">
        <f t="shared" si="5"/>
        <v>2380</v>
      </c>
      <c r="Y58" s="296"/>
      <c r="Z58" s="25"/>
    </row>
    <row r="59" spans="2:26" ht="15.75">
      <c r="B59" s="17">
        <f t="shared" si="8"/>
        <v>43</v>
      </c>
      <c r="C59" s="295">
        <f>SUMIF('1 Reclamation and O&amp;M costs'!$N$29:$N$38,B59,'1 Reclamation and O&amp;M costs'!$P$29:$P$38)*($H$7+1)</f>
        <v>0</v>
      </c>
      <c r="D59" s="296">
        <f>SUMIF('1 Reclamation and O&amp;M costs'!$M$29:$M$38,"&gt;="&amp;B59,'1 Reclamation and O&amp;M costs'!$R$29:$R$38)*($H$8+1)</f>
        <v>0</v>
      </c>
      <c r="E59" s="17"/>
      <c r="F59" s="17">
        <f t="shared" si="6"/>
        <v>43</v>
      </c>
      <c r="G59" s="295">
        <f>SUMIF('1 Reclamation and O&amp;M costs'!$J$46:$J$61,'3 WM cash flow'!F59,'1 Reclamation and O&amp;M costs'!$P$71:$P$86)*(1+$H$7)</f>
        <v>0</v>
      </c>
      <c r="H59" s="296">
        <f>SUMIF('1 Reclamation and O&amp;M costs'!$I$46:$I$61,'3 WM cash flow'!F59,'1 Reclamation and O&amp;M costs'!$S$71:$S$86)*(1+$H$7)</f>
        <v>0</v>
      </c>
      <c r="I59" s="295">
        <f>(IF('3 WM cash flow'!F59&lt;=('1 Reclamation and O&amp;M costs'!$O$24-'1 Reclamation and O&amp;M costs'!$O$23),0,SUMIF('1 Reclamation and O&amp;M costs'!$I$46:$I$61,"&gt;="&amp;'3 WM cash flow'!F59,'1 Reclamation and O&amp;M costs'!$N$71:$N$86))+IF('3 WM cash flow'!F59&lt;=('1 Reclamation and O&amp;M costs'!$O$24-'1 Reclamation and O&amp;M costs'!$O$23),'1 Reclamation and O&amp;M costs'!$I$90,0))*(1+$H$9)</f>
        <v>0</v>
      </c>
      <c r="J59" s="296">
        <f>SUMIF('1 Reclamation and O&amp;M costs'!$I$46:$I$61,"&gt;="&amp;F59,'1 Reclamation and O&amp;M costs'!$Q$71:$Q$86)*(1+$H$8)</f>
        <v>0</v>
      </c>
      <c r="K59" s="17"/>
      <c r="L59" s="17">
        <f t="shared" si="7"/>
        <v>43</v>
      </c>
      <c r="M59" s="295">
        <f>SUMIF('1 Reclamation and O&amp;M costs'!$L$96:$L$113,'3 WM cash flow'!L59,'1 Reclamation and O&amp;M costs'!P$113:$P137)*(1+$H$7)</f>
        <v>0</v>
      </c>
      <c r="N59" s="296">
        <f>SUMIF('1 Reclamation and O&amp;M costs'!$K$96:$K$113,'3 WM cash flow'!L59,'1 Reclamation and O&amp;M costs'!$T$96:$T$113)*(1+$H$7)</f>
        <v>0</v>
      </c>
      <c r="O59" s="295">
        <f>SUMIF('1 Reclamation and O&amp;M costs'!$K$96:$K$113,"&gt;="&amp;B59,'1 Reclamation and O&amp;M costs'!$R$96:$R$113)*(1+$H$8)</f>
        <v>0</v>
      </c>
      <c r="P59" s="296"/>
      <c r="Q59" s="17">
        <f t="shared" si="3"/>
        <v>43</v>
      </c>
      <c r="R59" s="295">
        <f>SUMIF('1 Reclamation and O&amp;M costs'!$H$123:$H$133,'3 WM cash flow'!Q59,'1 Reclamation and O&amp;M costs'!$Q$123:$Q$133)*(1+$H$7)</f>
        <v>0</v>
      </c>
      <c r="S59" s="296">
        <f>SUMIF('1 Reclamation and O&amp;M costs'!$H$123:$H$133,"&gt;="&amp;Q59,'1 Reclamation and O&amp;M costs'!$O$123:$O$133)*(1+$H$8)</f>
        <v>0</v>
      </c>
      <c r="T59" s="25"/>
      <c r="U59" s="17">
        <f t="shared" si="4"/>
        <v>43</v>
      </c>
      <c r="V59" s="295">
        <f>(IF(U59&lt;('1 Reclamation and O&amp;M costs'!$O$24-'1 Reclamation and O&amp;M costs'!$O$23),'2 Sampling Cost'!$O$13,IF(U59&lt;'1 Reclamation and O&amp;M costs'!$O$25,'2 Sampling Cost'!$O$14,'2 Sampling Cost'!$O$15)))*(1+$H$9)</f>
        <v>2380</v>
      </c>
      <c r="W59" s="296"/>
      <c r="X59" s="295">
        <f t="shared" si="5"/>
        <v>2380</v>
      </c>
      <c r="Y59" s="296"/>
      <c r="Z59" s="25"/>
    </row>
    <row r="60" spans="2:26" ht="15.75">
      <c r="B60" s="17">
        <f t="shared" si="8"/>
        <v>44</v>
      </c>
      <c r="C60" s="295">
        <f>SUMIF('1 Reclamation and O&amp;M costs'!$N$29:$N$38,B60,'1 Reclamation and O&amp;M costs'!$P$29:$P$38)*($H$7+1)</f>
        <v>0</v>
      </c>
      <c r="D60" s="296">
        <f>SUMIF('1 Reclamation and O&amp;M costs'!$M$29:$M$38,"&gt;="&amp;B60,'1 Reclamation and O&amp;M costs'!$R$29:$R$38)*($H$8+1)</f>
        <v>0</v>
      </c>
      <c r="E60" s="17"/>
      <c r="F60" s="17">
        <f t="shared" si="6"/>
        <v>44</v>
      </c>
      <c r="G60" s="295">
        <f>SUMIF('1 Reclamation and O&amp;M costs'!$J$46:$J$61,'3 WM cash flow'!F60,'1 Reclamation and O&amp;M costs'!$P$71:$P$86)*(1+$H$7)</f>
        <v>0</v>
      </c>
      <c r="H60" s="296">
        <f>SUMIF('1 Reclamation and O&amp;M costs'!$I$46:$I$61,'3 WM cash flow'!F60,'1 Reclamation and O&amp;M costs'!$S$71:$S$86)*(1+$H$7)</f>
        <v>0</v>
      </c>
      <c r="I60" s="295">
        <f>(IF('3 WM cash flow'!F60&lt;=('1 Reclamation and O&amp;M costs'!$O$24-'1 Reclamation and O&amp;M costs'!$O$23),0,SUMIF('1 Reclamation and O&amp;M costs'!$I$46:$I$61,"&gt;="&amp;'3 WM cash flow'!F60,'1 Reclamation and O&amp;M costs'!$N$71:$N$86))+IF('3 WM cash flow'!F60&lt;=('1 Reclamation and O&amp;M costs'!$O$24-'1 Reclamation and O&amp;M costs'!$O$23),'1 Reclamation and O&amp;M costs'!$I$90,0))*(1+$H$9)</f>
        <v>0</v>
      </c>
      <c r="J60" s="296">
        <f>SUMIF('1 Reclamation and O&amp;M costs'!$I$46:$I$61,"&gt;="&amp;F60,'1 Reclamation and O&amp;M costs'!$Q$71:$Q$86)*(1+$H$8)</f>
        <v>0</v>
      </c>
      <c r="K60" s="17"/>
      <c r="L60" s="17">
        <f t="shared" si="7"/>
        <v>44</v>
      </c>
      <c r="M60" s="295">
        <f>SUMIF('1 Reclamation and O&amp;M costs'!$L$96:$L$113,'3 WM cash flow'!L60,'1 Reclamation and O&amp;M costs'!P$113:$P138)*(1+$H$7)</f>
        <v>0</v>
      </c>
      <c r="N60" s="296">
        <f>SUMIF('1 Reclamation and O&amp;M costs'!$K$96:$K$113,'3 WM cash flow'!L60,'1 Reclamation and O&amp;M costs'!$T$96:$T$113)*(1+$H$7)</f>
        <v>0</v>
      </c>
      <c r="O60" s="295">
        <f>SUMIF('1 Reclamation and O&amp;M costs'!$K$96:$K$113,"&gt;="&amp;B60,'1 Reclamation and O&amp;M costs'!$R$96:$R$113)*(1+$H$8)</f>
        <v>0</v>
      </c>
      <c r="P60" s="296"/>
      <c r="Q60" s="17">
        <f t="shared" si="3"/>
        <v>44</v>
      </c>
      <c r="R60" s="295">
        <f>SUMIF('1 Reclamation and O&amp;M costs'!$H$123:$H$133,'3 WM cash flow'!Q60,'1 Reclamation and O&amp;M costs'!$Q$123:$Q$133)*(1+$H$7)</f>
        <v>0</v>
      </c>
      <c r="S60" s="296">
        <f>SUMIF('1 Reclamation and O&amp;M costs'!$H$123:$H$133,"&gt;="&amp;Q60,'1 Reclamation and O&amp;M costs'!$O$123:$O$133)*(1+$H$8)</f>
        <v>0</v>
      </c>
      <c r="T60" s="25"/>
      <c r="U60" s="17">
        <f t="shared" si="4"/>
        <v>44</v>
      </c>
      <c r="V60" s="295">
        <f>(IF(U60&lt;('1 Reclamation and O&amp;M costs'!$O$24-'1 Reclamation and O&amp;M costs'!$O$23),'2 Sampling Cost'!$O$13,IF(U60&lt;'1 Reclamation and O&amp;M costs'!$O$25,'2 Sampling Cost'!$O$14,'2 Sampling Cost'!$O$15)))*(1+$H$9)</f>
        <v>2380</v>
      </c>
      <c r="W60" s="296"/>
      <c r="X60" s="295">
        <f t="shared" si="5"/>
        <v>2380</v>
      </c>
      <c r="Y60" s="296"/>
      <c r="Z60" s="25"/>
    </row>
    <row r="61" spans="2:26" ht="15.75">
      <c r="B61" s="17">
        <f t="shared" si="8"/>
        <v>45</v>
      </c>
      <c r="C61" s="295">
        <f>SUMIF('1 Reclamation and O&amp;M costs'!$N$29:$N$38,B61,'1 Reclamation and O&amp;M costs'!$P$29:$P$38)*($H$7+1)</f>
        <v>0</v>
      </c>
      <c r="D61" s="296">
        <f>SUMIF('1 Reclamation and O&amp;M costs'!$M$29:$M$38,"&gt;="&amp;B61,'1 Reclamation and O&amp;M costs'!$R$29:$R$38)*($H$8+1)</f>
        <v>0</v>
      </c>
      <c r="E61" s="17"/>
      <c r="F61" s="17">
        <f t="shared" si="6"/>
        <v>45</v>
      </c>
      <c r="G61" s="295">
        <f>SUMIF('1 Reclamation and O&amp;M costs'!$J$46:$J$61,'3 WM cash flow'!F61,'1 Reclamation and O&amp;M costs'!$P$71:$P$86)*(1+$H$7)</f>
        <v>0</v>
      </c>
      <c r="H61" s="296">
        <f>SUMIF('1 Reclamation and O&amp;M costs'!$I$46:$I$61,'3 WM cash flow'!F61,'1 Reclamation and O&amp;M costs'!$S$71:$S$86)*(1+$H$7)</f>
        <v>0</v>
      </c>
      <c r="I61" s="295">
        <f>(IF('3 WM cash flow'!F61&lt;=('1 Reclamation and O&amp;M costs'!$O$24-'1 Reclamation and O&amp;M costs'!$O$23),0,SUMIF('1 Reclamation and O&amp;M costs'!$I$46:$I$61,"&gt;="&amp;'3 WM cash flow'!F61,'1 Reclamation and O&amp;M costs'!$N$71:$N$86))+IF('3 WM cash flow'!F61&lt;=('1 Reclamation and O&amp;M costs'!$O$24-'1 Reclamation and O&amp;M costs'!$O$23),'1 Reclamation and O&amp;M costs'!$I$90,0))*(1+$H$9)</f>
        <v>0</v>
      </c>
      <c r="J61" s="296">
        <f>SUMIF('1 Reclamation and O&amp;M costs'!$I$46:$I$61,"&gt;="&amp;F61,'1 Reclamation and O&amp;M costs'!$Q$71:$Q$86)*(1+$H$8)</f>
        <v>0</v>
      </c>
      <c r="K61" s="17"/>
      <c r="L61" s="17">
        <f t="shared" si="7"/>
        <v>45</v>
      </c>
      <c r="M61" s="295">
        <f>SUMIF('1 Reclamation and O&amp;M costs'!$L$96:$L$113,'3 WM cash flow'!L61,'1 Reclamation and O&amp;M costs'!P$113:$P139)*(1+$H$7)</f>
        <v>0</v>
      </c>
      <c r="N61" s="296">
        <f>SUMIF('1 Reclamation and O&amp;M costs'!$K$96:$K$113,'3 WM cash flow'!L61,'1 Reclamation and O&amp;M costs'!$T$96:$T$113)*(1+$H$7)</f>
        <v>0</v>
      </c>
      <c r="O61" s="295">
        <f>SUMIF('1 Reclamation and O&amp;M costs'!$K$96:$K$113,"&gt;="&amp;B61,'1 Reclamation and O&amp;M costs'!$R$96:$R$113)*(1+$H$8)</f>
        <v>0</v>
      </c>
      <c r="P61" s="296"/>
      <c r="Q61" s="17">
        <f t="shared" si="3"/>
        <v>45</v>
      </c>
      <c r="R61" s="295">
        <f>SUMIF('1 Reclamation and O&amp;M costs'!$H$123:$H$133,'3 WM cash flow'!Q61,'1 Reclamation and O&amp;M costs'!$Q$123:$Q$133)*(1+$H$7)</f>
        <v>0</v>
      </c>
      <c r="S61" s="296">
        <f>SUMIF('1 Reclamation and O&amp;M costs'!$H$123:$H$133,"&gt;="&amp;Q61,'1 Reclamation and O&amp;M costs'!$O$123:$O$133)*(1+$H$8)</f>
        <v>0</v>
      </c>
      <c r="T61" s="25"/>
      <c r="U61" s="17">
        <f t="shared" si="4"/>
        <v>45</v>
      </c>
      <c r="V61" s="295">
        <f>(IF(U61&lt;('1 Reclamation and O&amp;M costs'!$O$24-'1 Reclamation and O&amp;M costs'!$O$23),'2 Sampling Cost'!$O$13,IF(U61&lt;'1 Reclamation and O&amp;M costs'!$O$25,'2 Sampling Cost'!$O$14,'2 Sampling Cost'!$O$15)))*(1+$H$9)</f>
        <v>2380</v>
      </c>
      <c r="W61" s="296"/>
      <c r="X61" s="295">
        <f t="shared" si="5"/>
        <v>2380</v>
      </c>
      <c r="Y61" s="296"/>
      <c r="Z61" s="25"/>
    </row>
    <row r="62" spans="2:26" ht="15.75">
      <c r="B62" s="17">
        <f t="shared" si="8"/>
        <v>46</v>
      </c>
      <c r="C62" s="295">
        <f>SUMIF('1 Reclamation and O&amp;M costs'!$N$29:$N$38,B62,'1 Reclamation and O&amp;M costs'!$P$29:$P$38)*($H$7+1)</f>
        <v>0</v>
      </c>
      <c r="D62" s="296">
        <f>SUMIF('1 Reclamation and O&amp;M costs'!$M$29:$M$38,"&gt;="&amp;B62,'1 Reclamation and O&amp;M costs'!$R$29:$R$38)*($H$8+1)</f>
        <v>0</v>
      </c>
      <c r="E62" s="17"/>
      <c r="F62" s="17">
        <f t="shared" si="6"/>
        <v>46</v>
      </c>
      <c r="G62" s="295">
        <f>SUMIF('1 Reclamation and O&amp;M costs'!$J$46:$J$61,'3 WM cash flow'!F62,'1 Reclamation and O&amp;M costs'!$P$71:$P$86)*(1+$H$7)</f>
        <v>0</v>
      </c>
      <c r="H62" s="296">
        <f>SUMIF('1 Reclamation and O&amp;M costs'!$I$46:$I$61,'3 WM cash flow'!F62,'1 Reclamation and O&amp;M costs'!$S$71:$S$86)*(1+$H$7)</f>
        <v>0</v>
      </c>
      <c r="I62" s="295">
        <f>(IF('3 WM cash flow'!F62&lt;=('1 Reclamation and O&amp;M costs'!$O$24-'1 Reclamation and O&amp;M costs'!$O$23),0,SUMIF('1 Reclamation and O&amp;M costs'!$I$46:$I$61,"&gt;="&amp;'3 WM cash flow'!F62,'1 Reclamation and O&amp;M costs'!$N$71:$N$86))+IF('3 WM cash flow'!F62&lt;=('1 Reclamation and O&amp;M costs'!$O$24-'1 Reclamation and O&amp;M costs'!$O$23),'1 Reclamation and O&amp;M costs'!$I$90,0))*(1+$H$9)</f>
        <v>0</v>
      </c>
      <c r="J62" s="296">
        <f>SUMIF('1 Reclamation and O&amp;M costs'!$I$46:$I$61,"&gt;="&amp;F62,'1 Reclamation and O&amp;M costs'!$Q$71:$Q$86)*(1+$H$8)</f>
        <v>0</v>
      </c>
      <c r="K62" s="17"/>
      <c r="L62" s="17">
        <f t="shared" si="7"/>
        <v>46</v>
      </c>
      <c r="M62" s="295">
        <f>SUMIF('1 Reclamation and O&amp;M costs'!$L$96:$L$113,'3 WM cash flow'!L62,'1 Reclamation and O&amp;M costs'!P$113:$P140)*(1+$H$7)</f>
        <v>0</v>
      </c>
      <c r="N62" s="296">
        <f>SUMIF('1 Reclamation and O&amp;M costs'!$K$96:$K$113,'3 WM cash flow'!L62,'1 Reclamation and O&amp;M costs'!$T$96:$T$113)*(1+$H$7)</f>
        <v>0</v>
      </c>
      <c r="O62" s="295">
        <f>SUMIF('1 Reclamation and O&amp;M costs'!$K$96:$K$113,"&gt;="&amp;B62,'1 Reclamation and O&amp;M costs'!$R$96:$R$113)*(1+$H$8)</f>
        <v>0</v>
      </c>
      <c r="P62" s="296"/>
      <c r="Q62" s="17">
        <f t="shared" si="3"/>
        <v>46</v>
      </c>
      <c r="R62" s="295">
        <f>SUMIF('1 Reclamation and O&amp;M costs'!$H$123:$H$133,'3 WM cash flow'!Q62,'1 Reclamation and O&amp;M costs'!$Q$123:$Q$133)*(1+$H$7)</f>
        <v>0</v>
      </c>
      <c r="S62" s="296">
        <f>SUMIF('1 Reclamation and O&amp;M costs'!$H$123:$H$133,"&gt;="&amp;Q62,'1 Reclamation and O&amp;M costs'!$O$123:$O$133)*(1+$H$8)</f>
        <v>0</v>
      </c>
      <c r="T62" s="25"/>
      <c r="U62" s="17">
        <f t="shared" si="4"/>
        <v>46</v>
      </c>
      <c r="V62" s="295">
        <f>(IF(U62&lt;('1 Reclamation and O&amp;M costs'!$O$24-'1 Reclamation and O&amp;M costs'!$O$23),'2 Sampling Cost'!$O$13,IF(U62&lt;'1 Reclamation and O&amp;M costs'!$O$25,'2 Sampling Cost'!$O$14,'2 Sampling Cost'!$O$15)))*(1+$H$9)</f>
        <v>2380</v>
      </c>
      <c r="W62" s="296"/>
      <c r="X62" s="295">
        <f t="shared" si="5"/>
        <v>2380</v>
      </c>
      <c r="Y62" s="296"/>
      <c r="Z62" s="25"/>
    </row>
    <row r="63" spans="2:26" ht="15.75">
      <c r="B63" s="17">
        <f t="shared" si="8"/>
        <v>47</v>
      </c>
      <c r="C63" s="295">
        <f>SUMIF('1 Reclamation and O&amp;M costs'!$N$29:$N$38,B63,'1 Reclamation and O&amp;M costs'!$P$29:$P$38)*($H$7+1)</f>
        <v>0</v>
      </c>
      <c r="D63" s="296">
        <f>SUMIF('1 Reclamation and O&amp;M costs'!$M$29:$M$38,"&gt;="&amp;B63,'1 Reclamation and O&amp;M costs'!$R$29:$R$38)*($H$8+1)</f>
        <v>0</v>
      </c>
      <c r="E63" s="17"/>
      <c r="F63" s="17">
        <f t="shared" si="6"/>
        <v>47</v>
      </c>
      <c r="G63" s="295">
        <f>SUMIF('1 Reclamation and O&amp;M costs'!$J$46:$J$61,'3 WM cash flow'!F63,'1 Reclamation and O&amp;M costs'!$P$71:$P$86)*(1+$H$7)</f>
        <v>0</v>
      </c>
      <c r="H63" s="296">
        <f>SUMIF('1 Reclamation and O&amp;M costs'!$I$46:$I$61,'3 WM cash flow'!F63,'1 Reclamation and O&amp;M costs'!$S$71:$S$86)*(1+$H$7)</f>
        <v>0</v>
      </c>
      <c r="I63" s="295">
        <f>(IF('3 WM cash flow'!F63&lt;=('1 Reclamation and O&amp;M costs'!$O$24-'1 Reclamation and O&amp;M costs'!$O$23),0,SUMIF('1 Reclamation and O&amp;M costs'!$I$46:$I$61,"&gt;="&amp;'3 WM cash flow'!F63,'1 Reclamation and O&amp;M costs'!$N$71:$N$86))+IF('3 WM cash flow'!F63&lt;=('1 Reclamation and O&amp;M costs'!$O$24-'1 Reclamation and O&amp;M costs'!$O$23),'1 Reclamation and O&amp;M costs'!$I$90,0))*(1+$H$9)</f>
        <v>0</v>
      </c>
      <c r="J63" s="296">
        <f>SUMIF('1 Reclamation and O&amp;M costs'!$I$46:$I$61,"&gt;="&amp;F63,'1 Reclamation and O&amp;M costs'!$Q$71:$Q$86)*(1+$H$8)</f>
        <v>0</v>
      </c>
      <c r="K63" s="17"/>
      <c r="L63" s="17">
        <f t="shared" si="7"/>
        <v>47</v>
      </c>
      <c r="M63" s="295">
        <f>SUMIF('1 Reclamation and O&amp;M costs'!$L$96:$L$113,'3 WM cash flow'!L63,'1 Reclamation and O&amp;M costs'!P$113:$P141)*(1+$H$7)</f>
        <v>0</v>
      </c>
      <c r="N63" s="296">
        <f>SUMIF('1 Reclamation and O&amp;M costs'!$K$96:$K$113,'3 WM cash flow'!L63,'1 Reclamation and O&amp;M costs'!$T$96:$T$113)*(1+$H$7)</f>
        <v>0</v>
      </c>
      <c r="O63" s="295">
        <f>SUMIF('1 Reclamation and O&amp;M costs'!$K$96:$K$113,"&gt;="&amp;B63,'1 Reclamation and O&amp;M costs'!$R$96:$R$113)*(1+$H$8)</f>
        <v>0</v>
      </c>
      <c r="P63" s="296"/>
      <c r="Q63" s="17">
        <f t="shared" si="3"/>
        <v>47</v>
      </c>
      <c r="R63" s="295">
        <f>SUMIF('1 Reclamation and O&amp;M costs'!$H$123:$H$133,'3 WM cash flow'!Q63,'1 Reclamation and O&amp;M costs'!$Q$123:$Q$133)*(1+$H$7)</f>
        <v>0</v>
      </c>
      <c r="S63" s="296">
        <f>SUMIF('1 Reclamation and O&amp;M costs'!$H$123:$H$133,"&gt;="&amp;Q63,'1 Reclamation and O&amp;M costs'!$O$123:$O$133)*(1+$H$8)</f>
        <v>0</v>
      </c>
      <c r="T63" s="25"/>
      <c r="U63" s="17">
        <f t="shared" si="4"/>
        <v>47</v>
      </c>
      <c r="V63" s="295">
        <f>(IF(U63&lt;('1 Reclamation and O&amp;M costs'!$O$24-'1 Reclamation and O&amp;M costs'!$O$23),'2 Sampling Cost'!$O$13,IF(U63&lt;'1 Reclamation and O&amp;M costs'!$O$25,'2 Sampling Cost'!$O$14,'2 Sampling Cost'!$O$15)))*(1+$H$9)</f>
        <v>2380</v>
      </c>
      <c r="W63" s="296"/>
      <c r="X63" s="295">
        <f t="shared" si="5"/>
        <v>2380</v>
      </c>
      <c r="Y63" s="296"/>
      <c r="Z63" s="25"/>
    </row>
    <row r="64" spans="2:26" ht="15.75">
      <c r="B64" s="17">
        <f t="shared" si="8"/>
        <v>48</v>
      </c>
      <c r="C64" s="295">
        <f>SUMIF('1 Reclamation and O&amp;M costs'!$N$29:$N$38,B64,'1 Reclamation and O&amp;M costs'!$P$29:$P$38)*($H$7+1)</f>
        <v>0</v>
      </c>
      <c r="D64" s="296">
        <f>SUMIF('1 Reclamation and O&amp;M costs'!$M$29:$M$38,"&gt;="&amp;B64,'1 Reclamation and O&amp;M costs'!$R$29:$R$38)*($H$8+1)</f>
        <v>0</v>
      </c>
      <c r="E64" s="17"/>
      <c r="F64" s="17">
        <f t="shared" si="6"/>
        <v>48</v>
      </c>
      <c r="G64" s="295">
        <f>SUMIF('1 Reclamation and O&amp;M costs'!$J$46:$J$61,'3 WM cash flow'!F64,'1 Reclamation and O&amp;M costs'!$P$71:$P$86)*(1+$H$7)</f>
        <v>0</v>
      </c>
      <c r="H64" s="296">
        <f>SUMIF('1 Reclamation and O&amp;M costs'!$I$46:$I$61,'3 WM cash flow'!F64,'1 Reclamation and O&amp;M costs'!$S$71:$S$86)*(1+$H$7)</f>
        <v>0</v>
      </c>
      <c r="I64" s="295">
        <f>(IF('3 WM cash flow'!F64&lt;=('1 Reclamation and O&amp;M costs'!$O$24-'1 Reclamation and O&amp;M costs'!$O$23),0,SUMIF('1 Reclamation and O&amp;M costs'!$I$46:$I$61,"&gt;="&amp;'3 WM cash flow'!F64,'1 Reclamation and O&amp;M costs'!$N$71:$N$86))+IF('3 WM cash flow'!F64&lt;=('1 Reclamation and O&amp;M costs'!$O$24-'1 Reclamation and O&amp;M costs'!$O$23),'1 Reclamation and O&amp;M costs'!$I$90,0))*(1+$H$9)</f>
        <v>0</v>
      </c>
      <c r="J64" s="296">
        <f>SUMIF('1 Reclamation and O&amp;M costs'!$I$46:$I$61,"&gt;="&amp;F64,'1 Reclamation and O&amp;M costs'!$Q$71:$Q$86)*(1+$H$8)</f>
        <v>0</v>
      </c>
      <c r="K64" s="17"/>
      <c r="L64" s="17">
        <f t="shared" si="7"/>
        <v>48</v>
      </c>
      <c r="M64" s="295">
        <f>SUMIF('1 Reclamation and O&amp;M costs'!$L$96:$L$113,'3 WM cash flow'!L64,'1 Reclamation and O&amp;M costs'!P$113:$P142)*(1+$H$7)</f>
        <v>0</v>
      </c>
      <c r="N64" s="296">
        <f>SUMIF('1 Reclamation and O&amp;M costs'!$K$96:$K$113,'3 WM cash flow'!L64,'1 Reclamation and O&amp;M costs'!$T$96:$T$113)*(1+$H$7)</f>
        <v>0</v>
      </c>
      <c r="O64" s="295">
        <f>SUMIF('1 Reclamation and O&amp;M costs'!$K$96:$K$113,"&gt;="&amp;B64,'1 Reclamation and O&amp;M costs'!$R$96:$R$113)*(1+$H$8)</f>
        <v>0</v>
      </c>
      <c r="P64" s="296"/>
      <c r="Q64" s="17">
        <f t="shared" si="3"/>
        <v>48</v>
      </c>
      <c r="R64" s="295">
        <f>SUMIF('1 Reclamation and O&amp;M costs'!$H$123:$H$133,'3 WM cash flow'!Q64,'1 Reclamation and O&amp;M costs'!$Q$123:$Q$133)*(1+$H$7)</f>
        <v>0</v>
      </c>
      <c r="S64" s="296">
        <f>SUMIF('1 Reclamation and O&amp;M costs'!$H$123:$H$133,"&gt;="&amp;Q64,'1 Reclamation and O&amp;M costs'!$O$123:$O$133)*(1+$H$8)</f>
        <v>0</v>
      </c>
      <c r="T64" s="25"/>
      <c r="U64" s="17">
        <f t="shared" si="4"/>
        <v>48</v>
      </c>
      <c r="V64" s="295">
        <f>(IF(U64&lt;('1 Reclamation and O&amp;M costs'!$O$24-'1 Reclamation and O&amp;M costs'!$O$23),'2 Sampling Cost'!$O$13,IF(U64&lt;'1 Reclamation and O&amp;M costs'!$O$25,'2 Sampling Cost'!$O$14,'2 Sampling Cost'!$O$15)))*(1+$H$9)</f>
        <v>2380</v>
      </c>
      <c r="W64" s="296"/>
      <c r="X64" s="295">
        <f t="shared" si="5"/>
        <v>2380</v>
      </c>
      <c r="Y64" s="296"/>
      <c r="Z64" s="25"/>
    </row>
    <row r="65" spans="2:26" ht="15.75">
      <c r="B65" s="17">
        <f t="shared" si="8"/>
        <v>49</v>
      </c>
      <c r="C65" s="295">
        <f>SUMIF('1 Reclamation and O&amp;M costs'!$N$29:$N$38,B65,'1 Reclamation and O&amp;M costs'!$P$29:$P$38)*($H$7+1)</f>
        <v>0</v>
      </c>
      <c r="D65" s="296">
        <f>SUMIF('1 Reclamation and O&amp;M costs'!$M$29:$M$38,"&gt;="&amp;B65,'1 Reclamation and O&amp;M costs'!$R$29:$R$38)*($H$8+1)</f>
        <v>0</v>
      </c>
      <c r="E65" s="17"/>
      <c r="F65" s="17">
        <f t="shared" si="6"/>
        <v>49</v>
      </c>
      <c r="G65" s="295">
        <f>SUMIF('1 Reclamation and O&amp;M costs'!$J$46:$J$61,'3 WM cash flow'!F65,'1 Reclamation and O&amp;M costs'!$P$71:$P$86)*(1+$H$7)</f>
        <v>0</v>
      </c>
      <c r="H65" s="296">
        <f>SUMIF('1 Reclamation and O&amp;M costs'!$I$46:$I$61,'3 WM cash flow'!F65,'1 Reclamation and O&amp;M costs'!$S$71:$S$86)*(1+$H$7)</f>
        <v>0</v>
      </c>
      <c r="I65" s="295">
        <f>(IF('3 WM cash flow'!F65&lt;=('1 Reclamation and O&amp;M costs'!$O$24-'1 Reclamation and O&amp;M costs'!$O$23),0,SUMIF('1 Reclamation and O&amp;M costs'!$I$46:$I$61,"&gt;="&amp;'3 WM cash flow'!F65,'1 Reclamation and O&amp;M costs'!$N$71:$N$86))+IF('3 WM cash flow'!F65&lt;=('1 Reclamation and O&amp;M costs'!$O$24-'1 Reclamation and O&amp;M costs'!$O$23),'1 Reclamation and O&amp;M costs'!$I$90,0))*(1+$H$9)</f>
        <v>0</v>
      </c>
      <c r="J65" s="296">
        <f>SUMIF('1 Reclamation and O&amp;M costs'!$I$46:$I$61,"&gt;="&amp;F65,'1 Reclamation and O&amp;M costs'!$Q$71:$Q$86)*(1+$H$8)</f>
        <v>0</v>
      </c>
      <c r="K65" s="17"/>
      <c r="L65" s="17">
        <f t="shared" si="7"/>
        <v>49</v>
      </c>
      <c r="M65" s="295">
        <f>SUMIF('1 Reclamation and O&amp;M costs'!$L$96:$L$113,'3 WM cash flow'!L65,'1 Reclamation and O&amp;M costs'!P$113:$P143)*(1+$H$7)</f>
        <v>0</v>
      </c>
      <c r="N65" s="296">
        <f>SUMIF('1 Reclamation and O&amp;M costs'!$K$96:$K$113,'3 WM cash flow'!L65,'1 Reclamation and O&amp;M costs'!$T$96:$T$113)*(1+$H$7)</f>
        <v>0</v>
      </c>
      <c r="O65" s="295">
        <f>SUMIF('1 Reclamation and O&amp;M costs'!$K$96:$K$113,"&gt;="&amp;B65,'1 Reclamation and O&amp;M costs'!$R$96:$R$113)*(1+$H$8)</f>
        <v>0</v>
      </c>
      <c r="P65" s="296"/>
      <c r="Q65" s="17">
        <f t="shared" si="3"/>
        <v>49</v>
      </c>
      <c r="R65" s="295">
        <f>SUMIF('1 Reclamation and O&amp;M costs'!$H$123:$H$133,'3 WM cash flow'!Q65,'1 Reclamation and O&amp;M costs'!$Q$123:$Q$133)*(1+$H$7)</f>
        <v>0</v>
      </c>
      <c r="S65" s="296">
        <f>SUMIF('1 Reclamation and O&amp;M costs'!$H$123:$H$133,"&gt;="&amp;Q65,'1 Reclamation and O&amp;M costs'!$O$123:$O$133)*(1+$H$8)</f>
        <v>0</v>
      </c>
      <c r="T65" s="25"/>
      <c r="U65" s="17">
        <f t="shared" si="4"/>
        <v>49</v>
      </c>
      <c r="V65" s="295">
        <f>(IF(U65&lt;('1 Reclamation and O&amp;M costs'!$O$24-'1 Reclamation and O&amp;M costs'!$O$23),'2 Sampling Cost'!$O$13,IF(U65&lt;'1 Reclamation and O&amp;M costs'!$O$25,'2 Sampling Cost'!$O$14,'2 Sampling Cost'!$O$15)))*(1+$H$9)</f>
        <v>2380</v>
      </c>
      <c r="W65" s="296"/>
      <c r="X65" s="295">
        <f t="shared" si="5"/>
        <v>2380</v>
      </c>
      <c r="Y65" s="296"/>
      <c r="Z65" s="25"/>
    </row>
    <row r="66" spans="2:26" ht="15.75">
      <c r="B66" s="17">
        <f t="shared" si="8"/>
        <v>50</v>
      </c>
      <c r="C66" s="295">
        <f>SUMIF('1 Reclamation and O&amp;M costs'!$N$29:$N$38,B66,'1 Reclamation and O&amp;M costs'!$P$29:$P$38)*($H$7+1)</f>
        <v>0</v>
      </c>
      <c r="D66" s="296">
        <f>SUMIF('1 Reclamation and O&amp;M costs'!$M$29:$M$38,"&gt;="&amp;B66,'1 Reclamation and O&amp;M costs'!$R$29:$R$38)*($H$8+1)</f>
        <v>0</v>
      </c>
      <c r="E66" s="17"/>
      <c r="F66" s="17">
        <f t="shared" si="6"/>
        <v>50</v>
      </c>
      <c r="G66" s="295">
        <f>SUMIF('1 Reclamation and O&amp;M costs'!$J$46:$J$61,'3 WM cash flow'!F66,'1 Reclamation and O&amp;M costs'!$P$71:$P$86)*(1+$H$7)</f>
        <v>0</v>
      </c>
      <c r="H66" s="296">
        <f>SUMIF('1 Reclamation and O&amp;M costs'!$I$46:$I$61,'3 WM cash flow'!F66,'1 Reclamation and O&amp;M costs'!$S$71:$S$86)*(1+$H$7)</f>
        <v>0</v>
      </c>
      <c r="I66" s="295">
        <f>(IF('3 WM cash flow'!F66&lt;=('1 Reclamation and O&amp;M costs'!$O$24-'1 Reclamation and O&amp;M costs'!$O$23),0,SUMIF('1 Reclamation and O&amp;M costs'!$I$46:$I$61,"&gt;="&amp;'3 WM cash flow'!F66,'1 Reclamation and O&amp;M costs'!$N$71:$N$86))+IF('3 WM cash flow'!F66&lt;=('1 Reclamation and O&amp;M costs'!$O$24-'1 Reclamation and O&amp;M costs'!$O$23),'1 Reclamation and O&amp;M costs'!$I$90,0))*(1+$H$9)</f>
        <v>0</v>
      </c>
      <c r="J66" s="296">
        <f>SUMIF('1 Reclamation and O&amp;M costs'!$I$46:$I$61,"&gt;="&amp;F66,'1 Reclamation and O&amp;M costs'!$Q$71:$Q$86)*(1+$H$8)</f>
        <v>0</v>
      </c>
      <c r="K66" s="17"/>
      <c r="L66" s="17">
        <f t="shared" si="7"/>
        <v>50</v>
      </c>
      <c r="M66" s="295">
        <f>SUMIF('1 Reclamation and O&amp;M costs'!$L$96:$L$113,'3 WM cash flow'!L66,'1 Reclamation and O&amp;M costs'!P$113:$P144)*(1+$H$7)</f>
        <v>0</v>
      </c>
      <c r="N66" s="296">
        <f>SUMIF('1 Reclamation and O&amp;M costs'!$K$96:$K$113,'3 WM cash flow'!L66,'1 Reclamation and O&amp;M costs'!$T$96:$T$113)*(1+$H$7)</f>
        <v>0</v>
      </c>
      <c r="O66" s="295">
        <f>SUMIF('1 Reclamation and O&amp;M costs'!$K$96:$K$113,"&gt;="&amp;B66,'1 Reclamation and O&amp;M costs'!$R$96:$R$113)*(1+$H$8)</f>
        <v>0</v>
      </c>
      <c r="P66" s="296"/>
      <c r="Q66" s="17">
        <f t="shared" si="3"/>
        <v>50</v>
      </c>
      <c r="R66" s="295">
        <f>SUMIF('1 Reclamation and O&amp;M costs'!$H$123:$H$133,'3 WM cash flow'!Q66,'1 Reclamation and O&amp;M costs'!$Q$123:$Q$133)*(1+$H$7)</f>
        <v>0</v>
      </c>
      <c r="S66" s="296">
        <f>SUMIF('1 Reclamation and O&amp;M costs'!$H$123:$H$133,"&gt;="&amp;Q66,'1 Reclamation and O&amp;M costs'!$O$123:$O$133)*(1+$H$8)</f>
        <v>0</v>
      </c>
      <c r="T66" s="25"/>
      <c r="U66" s="17">
        <f t="shared" si="4"/>
        <v>50</v>
      </c>
      <c r="V66" s="295">
        <f>(IF(U66&lt;('1 Reclamation and O&amp;M costs'!$O$24-'1 Reclamation and O&amp;M costs'!$O$23),'2 Sampling Cost'!$O$13,IF(U66&lt;'1 Reclamation and O&amp;M costs'!$O$25,'2 Sampling Cost'!$O$14,'2 Sampling Cost'!$O$15)))*(1+$H$9)</f>
        <v>2380</v>
      </c>
      <c r="W66" s="296"/>
      <c r="X66" s="295">
        <f t="shared" si="5"/>
        <v>2380</v>
      </c>
      <c r="Y66" s="296"/>
      <c r="Z66" s="25"/>
    </row>
    <row r="67" spans="2:26" ht="15.75">
      <c r="B67" s="17">
        <f t="shared" si="8"/>
        <v>51</v>
      </c>
      <c r="C67" s="295">
        <f>SUMIF('1 Reclamation and O&amp;M costs'!$N$29:$N$38,B67,'1 Reclamation and O&amp;M costs'!$P$29:$P$38)*($H$7+1)</f>
        <v>0</v>
      </c>
      <c r="D67" s="296">
        <f>SUMIF('1 Reclamation and O&amp;M costs'!$M$29:$M$38,"&gt;="&amp;B67,'1 Reclamation and O&amp;M costs'!$R$29:$R$38)*($H$8+1)</f>
        <v>0</v>
      </c>
      <c r="E67" s="17"/>
      <c r="F67" s="17">
        <f t="shared" si="6"/>
        <v>51</v>
      </c>
      <c r="G67" s="295">
        <f>SUMIF('1 Reclamation and O&amp;M costs'!$J$46:$J$61,'3 WM cash flow'!F67,'1 Reclamation and O&amp;M costs'!$P$71:$P$86)*(1+$H$7)</f>
        <v>0</v>
      </c>
      <c r="H67" s="296">
        <f>SUMIF('1 Reclamation and O&amp;M costs'!$I$46:$I$61,'3 WM cash flow'!F67,'1 Reclamation and O&amp;M costs'!$S$71:$S$86)*(1+$H$7)</f>
        <v>0</v>
      </c>
      <c r="I67" s="295">
        <f>(IF('3 WM cash flow'!F67&lt;=('1 Reclamation and O&amp;M costs'!$O$24-'1 Reclamation and O&amp;M costs'!$O$23),0,SUMIF('1 Reclamation and O&amp;M costs'!$I$46:$I$61,"&gt;="&amp;'3 WM cash flow'!F67,'1 Reclamation and O&amp;M costs'!$N$71:$N$86))+IF('3 WM cash flow'!F67&lt;=('1 Reclamation and O&amp;M costs'!$O$24-'1 Reclamation and O&amp;M costs'!$O$23),'1 Reclamation and O&amp;M costs'!$I$90,0))*(1+$H$9)</f>
        <v>0</v>
      </c>
      <c r="J67" s="296">
        <f>SUMIF('1 Reclamation and O&amp;M costs'!$I$46:$I$61,"&gt;="&amp;F67,'1 Reclamation and O&amp;M costs'!$Q$71:$Q$86)*(1+$H$8)</f>
        <v>0</v>
      </c>
      <c r="K67" s="17"/>
      <c r="L67" s="17">
        <f t="shared" si="7"/>
        <v>51</v>
      </c>
      <c r="M67" s="295">
        <f>SUMIF('1 Reclamation and O&amp;M costs'!$L$96:$L$113,'3 WM cash flow'!L67,'1 Reclamation and O&amp;M costs'!P$113:$P145)*(1+$H$7)</f>
        <v>0</v>
      </c>
      <c r="N67" s="296">
        <f>SUMIF('1 Reclamation and O&amp;M costs'!$K$96:$K$113,'3 WM cash flow'!L67,'1 Reclamation and O&amp;M costs'!$T$96:$T$113)*(1+$H$7)</f>
        <v>0</v>
      </c>
      <c r="O67" s="295">
        <f>SUMIF('1 Reclamation and O&amp;M costs'!$K$96:$K$113,"&gt;="&amp;B67,'1 Reclamation and O&amp;M costs'!$R$96:$R$113)*(1+$H$8)</f>
        <v>0</v>
      </c>
      <c r="P67" s="296"/>
      <c r="Q67" s="17">
        <f t="shared" si="3"/>
        <v>51</v>
      </c>
      <c r="R67" s="295">
        <f>SUMIF('1 Reclamation and O&amp;M costs'!$H$123:$H$133,'3 WM cash flow'!Q67,'1 Reclamation and O&amp;M costs'!$Q$123:$Q$133)*(1+$H$7)</f>
        <v>0</v>
      </c>
      <c r="S67" s="296">
        <f>SUMIF('1 Reclamation and O&amp;M costs'!$H$123:$H$133,"&gt;="&amp;Q67,'1 Reclamation and O&amp;M costs'!$O$123:$O$133)*(1+$H$8)</f>
        <v>0</v>
      </c>
      <c r="T67" s="25"/>
      <c r="U67" s="17">
        <f t="shared" si="4"/>
        <v>51</v>
      </c>
      <c r="V67" s="295">
        <f>(IF(U67&lt;('1 Reclamation and O&amp;M costs'!$O$24-'1 Reclamation and O&amp;M costs'!$O$23),'2 Sampling Cost'!$O$13,IF(U67&lt;'1 Reclamation and O&amp;M costs'!$O$25,'2 Sampling Cost'!$O$14,'2 Sampling Cost'!$O$15)))*(1+$H$9)</f>
        <v>2380</v>
      </c>
      <c r="W67" s="296"/>
      <c r="X67" s="295">
        <f t="shared" si="5"/>
        <v>2380</v>
      </c>
      <c r="Y67" s="296"/>
      <c r="Z67" s="25"/>
    </row>
    <row r="68" spans="2:26" ht="15.75">
      <c r="B68" s="17">
        <f t="shared" si="8"/>
        <v>52</v>
      </c>
      <c r="C68" s="295">
        <f>SUMIF('1 Reclamation and O&amp;M costs'!$N$29:$N$38,B68,'1 Reclamation and O&amp;M costs'!$P$29:$P$38)*($H$7+1)</f>
        <v>0</v>
      </c>
      <c r="D68" s="296">
        <f>SUMIF('1 Reclamation and O&amp;M costs'!$M$29:$M$38,"&gt;="&amp;B68,'1 Reclamation and O&amp;M costs'!$R$29:$R$38)*($H$8+1)</f>
        <v>0</v>
      </c>
      <c r="E68" s="17"/>
      <c r="F68" s="17">
        <f t="shared" si="6"/>
        <v>52</v>
      </c>
      <c r="G68" s="295">
        <f>SUMIF('1 Reclamation and O&amp;M costs'!$J$46:$J$61,'3 WM cash flow'!F68,'1 Reclamation and O&amp;M costs'!$P$71:$P$86)*(1+$H$7)</f>
        <v>0</v>
      </c>
      <c r="H68" s="296">
        <f>SUMIF('1 Reclamation and O&amp;M costs'!$I$46:$I$61,'3 WM cash flow'!F68,'1 Reclamation and O&amp;M costs'!$S$71:$S$86)*(1+$H$7)</f>
        <v>0</v>
      </c>
      <c r="I68" s="295">
        <f>(IF('3 WM cash flow'!F68&lt;=('1 Reclamation and O&amp;M costs'!$O$24-'1 Reclamation and O&amp;M costs'!$O$23),0,SUMIF('1 Reclamation and O&amp;M costs'!$I$46:$I$61,"&gt;="&amp;'3 WM cash flow'!F68,'1 Reclamation and O&amp;M costs'!$N$71:$N$86))+IF('3 WM cash flow'!F68&lt;=('1 Reclamation and O&amp;M costs'!$O$24-'1 Reclamation and O&amp;M costs'!$O$23),'1 Reclamation and O&amp;M costs'!$I$90,0))*(1+$H$9)</f>
        <v>0</v>
      </c>
      <c r="J68" s="296">
        <f>SUMIF('1 Reclamation and O&amp;M costs'!$I$46:$I$61,"&gt;="&amp;F68,'1 Reclamation and O&amp;M costs'!$Q$71:$Q$86)*(1+$H$8)</f>
        <v>0</v>
      </c>
      <c r="K68" s="17"/>
      <c r="L68" s="17">
        <f t="shared" si="7"/>
        <v>52</v>
      </c>
      <c r="M68" s="295">
        <f>SUMIF('1 Reclamation and O&amp;M costs'!$L$96:$L$113,'3 WM cash flow'!L68,'1 Reclamation and O&amp;M costs'!P$113:$P146)*(1+$H$7)</f>
        <v>0</v>
      </c>
      <c r="N68" s="296">
        <f>SUMIF('1 Reclamation and O&amp;M costs'!$K$96:$K$113,'3 WM cash flow'!L68,'1 Reclamation and O&amp;M costs'!$T$96:$T$113)*(1+$H$7)</f>
        <v>0</v>
      </c>
      <c r="O68" s="295">
        <f>SUMIF('1 Reclamation and O&amp;M costs'!$K$96:$K$113,"&gt;="&amp;B68,'1 Reclamation and O&amp;M costs'!$R$96:$R$113)*(1+$H$8)</f>
        <v>0</v>
      </c>
      <c r="P68" s="296"/>
      <c r="Q68" s="17">
        <f t="shared" si="3"/>
        <v>52</v>
      </c>
      <c r="R68" s="295">
        <f>SUMIF('1 Reclamation and O&amp;M costs'!$H$123:$H$133,'3 WM cash flow'!Q68,'1 Reclamation and O&amp;M costs'!$Q$123:$Q$133)*(1+$H$7)</f>
        <v>0</v>
      </c>
      <c r="S68" s="296">
        <f>SUMIF('1 Reclamation and O&amp;M costs'!$H$123:$H$133,"&gt;="&amp;Q68,'1 Reclamation and O&amp;M costs'!$O$123:$O$133)*(1+$H$8)</f>
        <v>0</v>
      </c>
      <c r="T68" s="25"/>
      <c r="U68" s="17">
        <f t="shared" si="4"/>
        <v>52</v>
      </c>
      <c r="V68" s="295">
        <f>(IF(U68&lt;('1 Reclamation and O&amp;M costs'!$O$24-'1 Reclamation and O&amp;M costs'!$O$23),'2 Sampling Cost'!$O$13,IF(U68&lt;'1 Reclamation and O&amp;M costs'!$O$25,'2 Sampling Cost'!$O$14,'2 Sampling Cost'!$O$15)))*(1+$H$9)</f>
        <v>2380</v>
      </c>
      <c r="W68" s="296"/>
      <c r="X68" s="295">
        <f t="shared" si="5"/>
        <v>2380</v>
      </c>
      <c r="Y68" s="296"/>
      <c r="Z68" s="25"/>
    </row>
    <row r="69" spans="2:26" ht="15.75">
      <c r="B69" s="17">
        <f t="shared" si="8"/>
        <v>53</v>
      </c>
      <c r="C69" s="295">
        <f>SUMIF('1 Reclamation and O&amp;M costs'!$N$29:$N$38,B69,'1 Reclamation and O&amp;M costs'!$P$29:$P$38)*($H$7+1)</f>
        <v>0</v>
      </c>
      <c r="D69" s="296">
        <f>SUMIF('1 Reclamation and O&amp;M costs'!$M$29:$M$38,"&gt;="&amp;B69,'1 Reclamation and O&amp;M costs'!$R$29:$R$38)*($H$8+1)</f>
        <v>0</v>
      </c>
      <c r="E69" s="17"/>
      <c r="F69" s="17">
        <f t="shared" si="6"/>
        <v>53</v>
      </c>
      <c r="G69" s="295">
        <f>SUMIF('1 Reclamation and O&amp;M costs'!$J$46:$J$61,'3 WM cash flow'!F69,'1 Reclamation and O&amp;M costs'!$P$71:$P$86)*(1+$H$7)</f>
        <v>0</v>
      </c>
      <c r="H69" s="296">
        <f>SUMIF('1 Reclamation and O&amp;M costs'!$I$46:$I$61,'3 WM cash flow'!F69,'1 Reclamation and O&amp;M costs'!$S$71:$S$86)*(1+$H$7)</f>
        <v>0</v>
      </c>
      <c r="I69" s="295">
        <f>(IF('3 WM cash flow'!F69&lt;=('1 Reclamation and O&amp;M costs'!$O$24-'1 Reclamation and O&amp;M costs'!$O$23),0,SUMIF('1 Reclamation and O&amp;M costs'!$I$46:$I$61,"&gt;="&amp;'3 WM cash flow'!F69,'1 Reclamation and O&amp;M costs'!$N$71:$N$86))+IF('3 WM cash flow'!F69&lt;=('1 Reclamation and O&amp;M costs'!$O$24-'1 Reclamation and O&amp;M costs'!$O$23),'1 Reclamation and O&amp;M costs'!$I$90,0))*(1+$H$9)</f>
        <v>0</v>
      </c>
      <c r="J69" s="296">
        <f>SUMIF('1 Reclamation and O&amp;M costs'!$I$46:$I$61,"&gt;="&amp;F69,'1 Reclamation and O&amp;M costs'!$Q$71:$Q$86)*(1+$H$8)</f>
        <v>0</v>
      </c>
      <c r="K69" s="17"/>
      <c r="L69" s="17">
        <f t="shared" si="7"/>
        <v>53</v>
      </c>
      <c r="M69" s="295">
        <f>SUMIF('1 Reclamation and O&amp;M costs'!$L$96:$L$113,'3 WM cash flow'!L69,'1 Reclamation and O&amp;M costs'!P$113:$P147)*(1+$H$7)</f>
        <v>0</v>
      </c>
      <c r="N69" s="296">
        <f>SUMIF('1 Reclamation and O&amp;M costs'!$K$96:$K$113,'3 WM cash flow'!L69,'1 Reclamation and O&amp;M costs'!$T$96:$T$113)*(1+$H$7)</f>
        <v>0</v>
      </c>
      <c r="O69" s="295">
        <f>SUMIF('1 Reclamation and O&amp;M costs'!$K$96:$K$113,"&gt;="&amp;B69,'1 Reclamation and O&amp;M costs'!$R$96:$R$113)*(1+$H$8)</f>
        <v>0</v>
      </c>
      <c r="P69" s="296"/>
      <c r="Q69" s="17">
        <f t="shared" si="3"/>
        <v>53</v>
      </c>
      <c r="R69" s="295">
        <f>SUMIF('1 Reclamation and O&amp;M costs'!$H$123:$H$133,'3 WM cash flow'!Q69,'1 Reclamation and O&amp;M costs'!$Q$123:$Q$133)*(1+$H$7)</f>
        <v>0</v>
      </c>
      <c r="S69" s="296">
        <f>SUMIF('1 Reclamation and O&amp;M costs'!$H$123:$H$133,"&gt;="&amp;Q69,'1 Reclamation and O&amp;M costs'!$O$123:$O$133)*(1+$H$8)</f>
        <v>0</v>
      </c>
      <c r="T69" s="25"/>
      <c r="U69" s="17">
        <f t="shared" si="4"/>
        <v>53</v>
      </c>
      <c r="V69" s="295">
        <f>(IF(U69&lt;('1 Reclamation and O&amp;M costs'!$O$24-'1 Reclamation and O&amp;M costs'!$O$23),'2 Sampling Cost'!$O$13,IF(U69&lt;'1 Reclamation and O&amp;M costs'!$O$25,'2 Sampling Cost'!$O$14,'2 Sampling Cost'!$O$15)))*(1+$H$9)</f>
        <v>2380</v>
      </c>
      <c r="W69" s="296"/>
      <c r="X69" s="295">
        <f t="shared" si="5"/>
        <v>2380</v>
      </c>
      <c r="Y69" s="296"/>
      <c r="Z69" s="25"/>
    </row>
    <row r="70" spans="2:26" ht="15.75">
      <c r="B70" s="17">
        <f t="shared" si="8"/>
        <v>54</v>
      </c>
      <c r="C70" s="295">
        <f>SUMIF('1 Reclamation and O&amp;M costs'!$N$29:$N$38,B70,'1 Reclamation and O&amp;M costs'!$P$29:$P$38)*($H$7+1)</f>
        <v>0</v>
      </c>
      <c r="D70" s="296">
        <f>SUMIF('1 Reclamation and O&amp;M costs'!$M$29:$M$38,"&gt;="&amp;B70,'1 Reclamation and O&amp;M costs'!$R$29:$R$38)*($H$8+1)</f>
        <v>0</v>
      </c>
      <c r="E70" s="17"/>
      <c r="F70" s="17">
        <f t="shared" si="6"/>
        <v>54</v>
      </c>
      <c r="G70" s="295">
        <f>SUMIF('1 Reclamation and O&amp;M costs'!$J$46:$J$61,'3 WM cash flow'!F70,'1 Reclamation and O&amp;M costs'!$P$71:$P$86)*(1+$H$7)</f>
        <v>0</v>
      </c>
      <c r="H70" s="296">
        <f>SUMIF('1 Reclamation and O&amp;M costs'!$I$46:$I$61,'3 WM cash flow'!F70,'1 Reclamation and O&amp;M costs'!$S$71:$S$86)*(1+$H$7)</f>
        <v>0</v>
      </c>
      <c r="I70" s="295">
        <f>(IF('3 WM cash flow'!F70&lt;=('1 Reclamation and O&amp;M costs'!$O$24-'1 Reclamation and O&amp;M costs'!$O$23),0,SUMIF('1 Reclamation and O&amp;M costs'!$I$46:$I$61,"&gt;="&amp;'3 WM cash flow'!F70,'1 Reclamation and O&amp;M costs'!$N$71:$N$86))+IF('3 WM cash flow'!F70&lt;=('1 Reclamation and O&amp;M costs'!$O$24-'1 Reclamation and O&amp;M costs'!$O$23),'1 Reclamation and O&amp;M costs'!$I$90,0))*(1+$H$9)</f>
        <v>0</v>
      </c>
      <c r="J70" s="296">
        <f>SUMIF('1 Reclamation and O&amp;M costs'!$I$46:$I$61,"&gt;="&amp;F70,'1 Reclamation and O&amp;M costs'!$Q$71:$Q$86)*(1+$H$8)</f>
        <v>0</v>
      </c>
      <c r="K70" s="17"/>
      <c r="L70" s="17">
        <f t="shared" si="7"/>
        <v>54</v>
      </c>
      <c r="M70" s="295">
        <f>SUMIF('1 Reclamation and O&amp;M costs'!$L$96:$L$113,'3 WM cash flow'!L70,'1 Reclamation and O&amp;M costs'!P$113:$P148)*(1+$H$7)</f>
        <v>0</v>
      </c>
      <c r="N70" s="296">
        <f>SUMIF('1 Reclamation and O&amp;M costs'!$K$96:$K$113,'3 WM cash flow'!L70,'1 Reclamation and O&amp;M costs'!$T$96:$T$113)*(1+$H$7)</f>
        <v>0</v>
      </c>
      <c r="O70" s="295">
        <f>SUMIF('1 Reclamation and O&amp;M costs'!$K$96:$K$113,"&gt;="&amp;B70,'1 Reclamation and O&amp;M costs'!$R$96:$R$113)*(1+$H$8)</f>
        <v>0</v>
      </c>
      <c r="P70" s="296"/>
      <c r="Q70" s="17">
        <f t="shared" si="3"/>
        <v>54</v>
      </c>
      <c r="R70" s="295">
        <f>SUMIF('1 Reclamation and O&amp;M costs'!$H$123:$H$133,'3 WM cash flow'!Q70,'1 Reclamation and O&amp;M costs'!$Q$123:$Q$133)*(1+$H$7)</f>
        <v>0</v>
      </c>
      <c r="S70" s="296">
        <f>SUMIF('1 Reclamation and O&amp;M costs'!$H$123:$H$133,"&gt;="&amp;Q70,'1 Reclamation and O&amp;M costs'!$O$123:$O$133)*(1+$H$8)</f>
        <v>0</v>
      </c>
      <c r="T70" s="25"/>
      <c r="U70" s="17">
        <f t="shared" si="4"/>
        <v>54</v>
      </c>
      <c r="V70" s="295">
        <f>(IF(U70&lt;('1 Reclamation and O&amp;M costs'!$O$24-'1 Reclamation and O&amp;M costs'!$O$23),'2 Sampling Cost'!$O$13,IF(U70&lt;'1 Reclamation and O&amp;M costs'!$O$25,'2 Sampling Cost'!$O$14,'2 Sampling Cost'!$O$15)))*(1+$H$9)</f>
        <v>2380</v>
      </c>
      <c r="W70" s="296"/>
      <c r="X70" s="295">
        <f t="shared" si="5"/>
        <v>2380</v>
      </c>
      <c r="Y70" s="296"/>
      <c r="Z70" s="25"/>
    </row>
    <row r="71" spans="2:26" ht="15.75">
      <c r="B71" s="17">
        <f t="shared" si="8"/>
        <v>55</v>
      </c>
      <c r="C71" s="295">
        <f>SUMIF('1 Reclamation and O&amp;M costs'!$N$29:$N$38,B71,'1 Reclamation and O&amp;M costs'!$P$29:$P$38)*($H$7+1)</f>
        <v>0</v>
      </c>
      <c r="D71" s="296">
        <f>SUMIF('1 Reclamation and O&amp;M costs'!$M$29:$M$38,"&gt;="&amp;B71,'1 Reclamation and O&amp;M costs'!$R$29:$R$38)*($H$8+1)</f>
        <v>0</v>
      </c>
      <c r="E71" s="17"/>
      <c r="F71" s="17">
        <f t="shared" si="6"/>
        <v>55</v>
      </c>
      <c r="G71" s="295">
        <f>SUMIF('1 Reclamation and O&amp;M costs'!$J$46:$J$61,'3 WM cash flow'!F71,'1 Reclamation and O&amp;M costs'!$P$71:$P$86)*(1+$H$7)</f>
        <v>0</v>
      </c>
      <c r="H71" s="296">
        <f>SUMIF('1 Reclamation and O&amp;M costs'!$I$46:$I$61,'3 WM cash flow'!F71,'1 Reclamation and O&amp;M costs'!$S$71:$S$86)*(1+$H$7)</f>
        <v>0</v>
      </c>
      <c r="I71" s="295">
        <f>(IF('3 WM cash flow'!F71&lt;=('1 Reclamation and O&amp;M costs'!$O$24-'1 Reclamation and O&amp;M costs'!$O$23),0,SUMIF('1 Reclamation and O&amp;M costs'!$I$46:$I$61,"&gt;="&amp;'3 WM cash flow'!F71,'1 Reclamation and O&amp;M costs'!$N$71:$N$86))+IF('3 WM cash flow'!F71&lt;=('1 Reclamation and O&amp;M costs'!$O$24-'1 Reclamation and O&amp;M costs'!$O$23),'1 Reclamation and O&amp;M costs'!$I$90,0))*(1+$H$9)</f>
        <v>0</v>
      </c>
      <c r="J71" s="296">
        <f>SUMIF('1 Reclamation and O&amp;M costs'!$I$46:$I$61,"&gt;="&amp;F71,'1 Reclamation and O&amp;M costs'!$Q$71:$Q$86)*(1+$H$8)</f>
        <v>0</v>
      </c>
      <c r="K71" s="17"/>
      <c r="L71" s="17">
        <f t="shared" si="7"/>
        <v>55</v>
      </c>
      <c r="M71" s="295">
        <f>SUMIF('1 Reclamation and O&amp;M costs'!$L$96:$L$113,'3 WM cash flow'!L71,'1 Reclamation and O&amp;M costs'!P$113:$P149)*(1+$H$7)</f>
        <v>0</v>
      </c>
      <c r="N71" s="296">
        <f>SUMIF('1 Reclamation and O&amp;M costs'!$K$96:$K$113,'3 WM cash flow'!L71,'1 Reclamation and O&amp;M costs'!$T$96:$T$113)*(1+$H$7)</f>
        <v>0</v>
      </c>
      <c r="O71" s="295">
        <f>SUMIF('1 Reclamation and O&amp;M costs'!$K$96:$K$113,"&gt;="&amp;B71,'1 Reclamation and O&amp;M costs'!$R$96:$R$113)*(1+$H$8)</f>
        <v>0</v>
      </c>
      <c r="P71" s="296"/>
      <c r="Q71" s="17">
        <f t="shared" si="3"/>
        <v>55</v>
      </c>
      <c r="R71" s="295">
        <f>SUMIF('1 Reclamation and O&amp;M costs'!$H$123:$H$133,'3 WM cash flow'!Q71,'1 Reclamation and O&amp;M costs'!$Q$123:$Q$133)*(1+$H$7)</f>
        <v>0</v>
      </c>
      <c r="S71" s="296">
        <f>SUMIF('1 Reclamation and O&amp;M costs'!$H$123:$H$133,"&gt;="&amp;Q71,'1 Reclamation and O&amp;M costs'!$O$123:$O$133)*(1+$H$8)</f>
        <v>0</v>
      </c>
      <c r="T71" s="25"/>
      <c r="U71" s="17">
        <f t="shared" si="4"/>
        <v>55</v>
      </c>
      <c r="V71" s="295">
        <f>(IF(U71&lt;('1 Reclamation and O&amp;M costs'!$O$24-'1 Reclamation and O&amp;M costs'!$O$23),'2 Sampling Cost'!$O$13,IF(U71&lt;'1 Reclamation and O&amp;M costs'!$O$25,'2 Sampling Cost'!$O$14,'2 Sampling Cost'!$O$15)))*(1+$H$9)</f>
        <v>2380</v>
      </c>
      <c r="W71" s="296"/>
      <c r="X71" s="295">
        <f t="shared" si="5"/>
        <v>2380</v>
      </c>
      <c r="Y71" s="296"/>
      <c r="Z71" s="25"/>
    </row>
    <row r="72" spans="2:26" ht="15.75">
      <c r="B72" s="17">
        <f t="shared" si="8"/>
        <v>56</v>
      </c>
      <c r="C72" s="295">
        <f>SUMIF('1 Reclamation and O&amp;M costs'!$N$29:$N$38,B72,'1 Reclamation and O&amp;M costs'!$P$29:$P$38)*($H$7+1)</f>
        <v>0</v>
      </c>
      <c r="D72" s="296">
        <f>SUMIF('1 Reclamation and O&amp;M costs'!$M$29:$M$38,"&gt;="&amp;B72,'1 Reclamation and O&amp;M costs'!$R$29:$R$38)*($H$8+1)</f>
        <v>0</v>
      </c>
      <c r="E72" s="17"/>
      <c r="F72" s="17">
        <f t="shared" si="6"/>
        <v>56</v>
      </c>
      <c r="G72" s="295">
        <f>SUMIF('1 Reclamation and O&amp;M costs'!$J$46:$J$61,'3 WM cash flow'!F72,'1 Reclamation and O&amp;M costs'!$P$71:$P$86)*(1+$H$7)</f>
        <v>0</v>
      </c>
      <c r="H72" s="296">
        <f>SUMIF('1 Reclamation and O&amp;M costs'!$I$46:$I$61,'3 WM cash flow'!F72,'1 Reclamation and O&amp;M costs'!$S$71:$S$86)*(1+$H$7)</f>
        <v>0</v>
      </c>
      <c r="I72" s="295">
        <f>(IF('3 WM cash flow'!F72&lt;=('1 Reclamation and O&amp;M costs'!$O$24-'1 Reclamation and O&amp;M costs'!$O$23),0,SUMIF('1 Reclamation and O&amp;M costs'!$I$46:$I$61,"&gt;="&amp;'3 WM cash flow'!F72,'1 Reclamation and O&amp;M costs'!$N$71:$N$86))+IF('3 WM cash flow'!F72&lt;=('1 Reclamation and O&amp;M costs'!$O$24-'1 Reclamation and O&amp;M costs'!$O$23),'1 Reclamation and O&amp;M costs'!$I$90,0))*(1+$H$9)</f>
        <v>0</v>
      </c>
      <c r="J72" s="296">
        <f>SUMIF('1 Reclamation and O&amp;M costs'!$I$46:$I$61,"&gt;="&amp;F72,'1 Reclamation and O&amp;M costs'!$Q$71:$Q$86)*(1+$H$8)</f>
        <v>0</v>
      </c>
      <c r="K72" s="17"/>
      <c r="L72" s="17">
        <f t="shared" si="7"/>
        <v>56</v>
      </c>
      <c r="M72" s="295">
        <f>SUMIF('1 Reclamation and O&amp;M costs'!$L$96:$L$113,'3 WM cash flow'!L72,'1 Reclamation and O&amp;M costs'!P$113:$P150)*(1+$H$7)</f>
        <v>0</v>
      </c>
      <c r="N72" s="296">
        <f>SUMIF('1 Reclamation and O&amp;M costs'!$K$96:$K$113,'3 WM cash flow'!L72,'1 Reclamation and O&amp;M costs'!$T$96:$T$113)*(1+$H$7)</f>
        <v>0</v>
      </c>
      <c r="O72" s="295">
        <f>SUMIF('1 Reclamation and O&amp;M costs'!$K$96:$K$113,"&gt;="&amp;B72,'1 Reclamation and O&amp;M costs'!$R$96:$R$113)*(1+$H$8)</f>
        <v>0</v>
      </c>
      <c r="P72" s="296"/>
      <c r="Q72" s="17">
        <f t="shared" si="3"/>
        <v>56</v>
      </c>
      <c r="R72" s="295">
        <f>SUMIF('1 Reclamation and O&amp;M costs'!$H$123:$H$133,'3 WM cash flow'!Q72,'1 Reclamation and O&amp;M costs'!$Q$123:$Q$133)*(1+$H$7)</f>
        <v>0</v>
      </c>
      <c r="S72" s="296">
        <f>SUMIF('1 Reclamation and O&amp;M costs'!$H$123:$H$133,"&gt;="&amp;Q72,'1 Reclamation and O&amp;M costs'!$O$123:$O$133)*(1+$H$8)</f>
        <v>0</v>
      </c>
      <c r="T72" s="25"/>
      <c r="U72" s="17">
        <f t="shared" si="4"/>
        <v>56</v>
      </c>
      <c r="V72" s="295">
        <f>(IF(U72&lt;('1 Reclamation and O&amp;M costs'!$O$24-'1 Reclamation and O&amp;M costs'!$O$23),'2 Sampling Cost'!$O$13,IF(U72&lt;'1 Reclamation and O&amp;M costs'!$O$25,'2 Sampling Cost'!$O$14,'2 Sampling Cost'!$O$15)))*(1+$H$9)</f>
        <v>2380</v>
      </c>
      <c r="W72" s="296"/>
      <c r="X72" s="295">
        <f t="shared" si="5"/>
        <v>2380</v>
      </c>
      <c r="Y72" s="296"/>
      <c r="Z72" s="25"/>
    </row>
    <row r="73" spans="2:26" ht="15.75">
      <c r="B73" s="17">
        <f t="shared" si="8"/>
        <v>57</v>
      </c>
      <c r="C73" s="295">
        <f>SUMIF('1 Reclamation and O&amp;M costs'!$N$29:$N$38,B73,'1 Reclamation and O&amp;M costs'!$P$29:$P$38)*($H$7+1)</f>
        <v>0</v>
      </c>
      <c r="D73" s="296">
        <f>SUMIF('1 Reclamation and O&amp;M costs'!$M$29:$M$38,"&gt;="&amp;B73,'1 Reclamation and O&amp;M costs'!$R$29:$R$38)*($H$8+1)</f>
        <v>0</v>
      </c>
      <c r="E73" s="17"/>
      <c r="F73" s="17">
        <f t="shared" si="6"/>
        <v>57</v>
      </c>
      <c r="G73" s="295">
        <f>SUMIF('1 Reclamation and O&amp;M costs'!$J$46:$J$61,'3 WM cash flow'!F73,'1 Reclamation and O&amp;M costs'!$P$71:$P$86)*(1+$H$7)</f>
        <v>0</v>
      </c>
      <c r="H73" s="296">
        <f>SUMIF('1 Reclamation and O&amp;M costs'!$I$46:$I$61,'3 WM cash flow'!F73,'1 Reclamation and O&amp;M costs'!$S$71:$S$86)*(1+$H$7)</f>
        <v>0</v>
      </c>
      <c r="I73" s="295">
        <f>(IF('3 WM cash flow'!F73&lt;=('1 Reclamation and O&amp;M costs'!$O$24-'1 Reclamation and O&amp;M costs'!$O$23),0,SUMIF('1 Reclamation and O&amp;M costs'!$I$46:$I$61,"&gt;="&amp;'3 WM cash flow'!F73,'1 Reclamation and O&amp;M costs'!$N$71:$N$86))+IF('3 WM cash flow'!F73&lt;=('1 Reclamation and O&amp;M costs'!$O$24-'1 Reclamation and O&amp;M costs'!$O$23),'1 Reclamation and O&amp;M costs'!$I$90,0))*(1+$H$9)</f>
        <v>0</v>
      </c>
      <c r="J73" s="296">
        <f>SUMIF('1 Reclamation and O&amp;M costs'!$I$46:$I$61,"&gt;="&amp;F73,'1 Reclamation and O&amp;M costs'!$Q$71:$Q$86)*(1+$H$8)</f>
        <v>0</v>
      </c>
      <c r="K73" s="17"/>
      <c r="L73" s="17">
        <f t="shared" si="7"/>
        <v>57</v>
      </c>
      <c r="M73" s="295">
        <f>SUMIF('1 Reclamation and O&amp;M costs'!$L$96:$L$113,'3 WM cash flow'!L73,'1 Reclamation and O&amp;M costs'!P$113:$P151)*(1+$H$7)</f>
        <v>0</v>
      </c>
      <c r="N73" s="296">
        <f>SUMIF('1 Reclamation and O&amp;M costs'!$K$96:$K$113,'3 WM cash flow'!L73,'1 Reclamation and O&amp;M costs'!$T$96:$T$113)*(1+$H$7)</f>
        <v>0</v>
      </c>
      <c r="O73" s="295">
        <f>SUMIF('1 Reclamation and O&amp;M costs'!$K$96:$K$113,"&gt;="&amp;B73,'1 Reclamation and O&amp;M costs'!$R$96:$R$113)*(1+$H$8)</f>
        <v>0</v>
      </c>
      <c r="P73" s="296"/>
      <c r="Q73" s="17">
        <f t="shared" si="3"/>
        <v>57</v>
      </c>
      <c r="R73" s="295">
        <f>SUMIF('1 Reclamation and O&amp;M costs'!$H$123:$H$133,'3 WM cash flow'!Q73,'1 Reclamation and O&amp;M costs'!$Q$123:$Q$133)*(1+$H$7)</f>
        <v>0</v>
      </c>
      <c r="S73" s="296">
        <f>SUMIF('1 Reclamation and O&amp;M costs'!$H$123:$H$133,"&gt;="&amp;Q73,'1 Reclamation and O&amp;M costs'!$O$123:$O$133)*(1+$H$8)</f>
        <v>0</v>
      </c>
      <c r="T73" s="25"/>
      <c r="U73" s="17">
        <f t="shared" si="4"/>
        <v>57</v>
      </c>
      <c r="V73" s="295">
        <f>(IF(U73&lt;('1 Reclamation and O&amp;M costs'!$O$24-'1 Reclamation and O&amp;M costs'!$O$23),'2 Sampling Cost'!$O$13,IF(U73&lt;'1 Reclamation and O&amp;M costs'!$O$25,'2 Sampling Cost'!$O$14,'2 Sampling Cost'!$O$15)))*(1+$H$9)</f>
        <v>2380</v>
      </c>
      <c r="W73" s="296"/>
      <c r="X73" s="295">
        <f t="shared" si="5"/>
        <v>2380</v>
      </c>
      <c r="Y73" s="296"/>
      <c r="Z73" s="25"/>
    </row>
    <row r="74" spans="2:26" ht="15.75">
      <c r="B74" s="17">
        <f t="shared" si="8"/>
        <v>58</v>
      </c>
      <c r="C74" s="295">
        <f>SUMIF('1 Reclamation and O&amp;M costs'!$N$29:$N$38,B74,'1 Reclamation and O&amp;M costs'!$P$29:$P$38)*($H$7+1)</f>
        <v>0</v>
      </c>
      <c r="D74" s="296">
        <f>SUMIF('1 Reclamation and O&amp;M costs'!$M$29:$M$38,"&gt;="&amp;B74,'1 Reclamation and O&amp;M costs'!$R$29:$R$38)*($H$8+1)</f>
        <v>0</v>
      </c>
      <c r="E74" s="17"/>
      <c r="F74" s="17">
        <f t="shared" si="6"/>
        <v>58</v>
      </c>
      <c r="G74" s="295">
        <f>SUMIF('1 Reclamation and O&amp;M costs'!$J$46:$J$61,'3 WM cash flow'!F74,'1 Reclamation and O&amp;M costs'!$P$71:$P$86)*(1+$H$7)</f>
        <v>0</v>
      </c>
      <c r="H74" s="296">
        <f>SUMIF('1 Reclamation and O&amp;M costs'!$I$46:$I$61,'3 WM cash flow'!F74,'1 Reclamation and O&amp;M costs'!$S$71:$S$86)*(1+$H$7)</f>
        <v>0</v>
      </c>
      <c r="I74" s="295">
        <f>(IF('3 WM cash flow'!F74&lt;=('1 Reclamation and O&amp;M costs'!$O$24-'1 Reclamation and O&amp;M costs'!$O$23),0,SUMIF('1 Reclamation and O&amp;M costs'!$I$46:$I$61,"&gt;="&amp;'3 WM cash flow'!F74,'1 Reclamation and O&amp;M costs'!$N$71:$N$86))+IF('3 WM cash flow'!F74&lt;=('1 Reclamation and O&amp;M costs'!$O$24-'1 Reclamation and O&amp;M costs'!$O$23),'1 Reclamation and O&amp;M costs'!$I$90,0))*(1+$H$9)</f>
        <v>0</v>
      </c>
      <c r="J74" s="296">
        <f>SUMIF('1 Reclamation and O&amp;M costs'!$I$46:$I$61,"&gt;="&amp;F74,'1 Reclamation and O&amp;M costs'!$Q$71:$Q$86)*(1+$H$8)</f>
        <v>0</v>
      </c>
      <c r="K74" s="17"/>
      <c r="L74" s="17">
        <f t="shared" si="7"/>
        <v>58</v>
      </c>
      <c r="M74" s="295">
        <f>SUMIF('1 Reclamation and O&amp;M costs'!$L$96:$L$113,'3 WM cash flow'!L74,'1 Reclamation and O&amp;M costs'!P$113:$P152)*(1+$H$7)</f>
        <v>0</v>
      </c>
      <c r="N74" s="296">
        <f>SUMIF('1 Reclamation and O&amp;M costs'!$K$96:$K$113,'3 WM cash flow'!L74,'1 Reclamation and O&amp;M costs'!$T$96:$T$113)*(1+$H$7)</f>
        <v>0</v>
      </c>
      <c r="O74" s="295">
        <f>SUMIF('1 Reclamation and O&amp;M costs'!$K$96:$K$113,"&gt;="&amp;B74,'1 Reclamation and O&amp;M costs'!$R$96:$R$113)*(1+$H$8)</f>
        <v>0</v>
      </c>
      <c r="P74" s="296"/>
      <c r="Q74" s="17">
        <f t="shared" si="3"/>
        <v>58</v>
      </c>
      <c r="R74" s="295">
        <f>SUMIF('1 Reclamation and O&amp;M costs'!$H$123:$H$133,'3 WM cash flow'!Q74,'1 Reclamation and O&amp;M costs'!$Q$123:$Q$133)*(1+$H$7)</f>
        <v>0</v>
      </c>
      <c r="S74" s="296">
        <f>SUMIF('1 Reclamation and O&amp;M costs'!$H$123:$H$133,"&gt;="&amp;Q74,'1 Reclamation and O&amp;M costs'!$O$123:$O$133)*(1+$H$8)</f>
        <v>0</v>
      </c>
      <c r="T74" s="25"/>
      <c r="U74" s="17">
        <f t="shared" si="4"/>
        <v>58</v>
      </c>
      <c r="V74" s="295">
        <f>(IF(U74&lt;('1 Reclamation and O&amp;M costs'!$O$24-'1 Reclamation and O&amp;M costs'!$O$23),'2 Sampling Cost'!$O$13,IF(U74&lt;'1 Reclamation and O&amp;M costs'!$O$25,'2 Sampling Cost'!$O$14,'2 Sampling Cost'!$O$15)))*(1+$H$9)</f>
        <v>2380</v>
      </c>
      <c r="W74" s="296"/>
      <c r="X74" s="295">
        <f t="shared" si="5"/>
        <v>2380</v>
      </c>
      <c r="Y74" s="296"/>
      <c r="Z74" s="25"/>
    </row>
    <row r="75" spans="2:26" ht="15.75">
      <c r="B75" s="17">
        <f t="shared" si="8"/>
        <v>59</v>
      </c>
      <c r="C75" s="295">
        <f>SUMIF('1 Reclamation and O&amp;M costs'!$N$29:$N$38,B75,'1 Reclamation and O&amp;M costs'!$P$29:$P$38)*($H$7+1)</f>
        <v>0</v>
      </c>
      <c r="D75" s="296">
        <f>SUMIF('1 Reclamation and O&amp;M costs'!$M$29:$M$38,"&gt;="&amp;B75,'1 Reclamation and O&amp;M costs'!$R$29:$R$38)*($H$8+1)</f>
        <v>0</v>
      </c>
      <c r="E75" s="17"/>
      <c r="F75" s="17">
        <f t="shared" si="6"/>
        <v>59</v>
      </c>
      <c r="G75" s="295">
        <f>SUMIF('1 Reclamation and O&amp;M costs'!$J$46:$J$61,'3 WM cash flow'!F75,'1 Reclamation and O&amp;M costs'!$P$71:$P$86)*(1+$H$7)</f>
        <v>0</v>
      </c>
      <c r="H75" s="296">
        <f>SUMIF('1 Reclamation and O&amp;M costs'!$I$46:$I$61,'3 WM cash flow'!F75,'1 Reclamation and O&amp;M costs'!$S$71:$S$86)*(1+$H$7)</f>
        <v>0</v>
      </c>
      <c r="I75" s="295">
        <f>(IF('3 WM cash flow'!F75&lt;=('1 Reclamation and O&amp;M costs'!$O$24-'1 Reclamation and O&amp;M costs'!$O$23),0,SUMIF('1 Reclamation and O&amp;M costs'!$I$46:$I$61,"&gt;="&amp;'3 WM cash flow'!F75,'1 Reclamation and O&amp;M costs'!$N$71:$N$86))+IF('3 WM cash flow'!F75&lt;=('1 Reclamation and O&amp;M costs'!$O$24-'1 Reclamation and O&amp;M costs'!$O$23),'1 Reclamation and O&amp;M costs'!$I$90,0))*(1+$H$9)</f>
        <v>0</v>
      </c>
      <c r="J75" s="296">
        <f>SUMIF('1 Reclamation and O&amp;M costs'!$I$46:$I$61,"&gt;="&amp;F75,'1 Reclamation and O&amp;M costs'!$Q$71:$Q$86)*(1+$H$8)</f>
        <v>0</v>
      </c>
      <c r="K75" s="17"/>
      <c r="L75" s="17">
        <f t="shared" si="7"/>
        <v>59</v>
      </c>
      <c r="M75" s="295">
        <f>SUMIF('1 Reclamation and O&amp;M costs'!$L$96:$L$113,'3 WM cash flow'!L75,'1 Reclamation and O&amp;M costs'!P$113:$P153)*(1+$H$7)</f>
        <v>0</v>
      </c>
      <c r="N75" s="296">
        <f>SUMIF('1 Reclamation and O&amp;M costs'!$K$96:$K$113,'3 WM cash flow'!L75,'1 Reclamation and O&amp;M costs'!$T$96:$T$113)*(1+$H$7)</f>
        <v>0</v>
      </c>
      <c r="O75" s="295">
        <f>SUMIF('1 Reclamation and O&amp;M costs'!$K$96:$K$113,"&gt;="&amp;B75,'1 Reclamation and O&amp;M costs'!$R$96:$R$113)*(1+$H$8)</f>
        <v>0</v>
      </c>
      <c r="P75" s="296"/>
      <c r="Q75" s="17">
        <f t="shared" si="3"/>
        <v>59</v>
      </c>
      <c r="R75" s="295">
        <f>SUMIF('1 Reclamation and O&amp;M costs'!$H$123:$H$133,'3 WM cash flow'!Q75,'1 Reclamation and O&amp;M costs'!$Q$123:$Q$133)*(1+$H$7)</f>
        <v>0</v>
      </c>
      <c r="S75" s="296">
        <f>SUMIF('1 Reclamation and O&amp;M costs'!$H$123:$H$133,"&gt;="&amp;Q75,'1 Reclamation and O&amp;M costs'!$O$123:$O$133)*(1+$H$8)</f>
        <v>0</v>
      </c>
      <c r="T75" s="25"/>
      <c r="U75" s="17">
        <f t="shared" si="4"/>
        <v>59</v>
      </c>
      <c r="V75" s="295">
        <f>(IF(U75&lt;('1 Reclamation and O&amp;M costs'!$O$24-'1 Reclamation and O&amp;M costs'!$O$23),'2 Sampling Cost'!$O$13,IF(U75&lt;'1 Reclamation and O&amp;M costs'!$O$25,'2 Sampling Cost'!$O$14,'2 Sampling Cost'!$O$15)))*(1+$H$9)</f>
        <v>2380</v>
      </c>
      <c r="W75" s="296"/>
      <c r="X75" s="295">
        <f t="shared" si="5"/>
        <v>2380</v>
      </c>
      <c r="Y75" s="296"/>
      <c r="Z75" s="25"/>
    </row>
    <row r="76" spans="2:26" ht="15.75">
      <c r="B76" s="17">
        <f t="shared" si="8"/>
        <v>60</v>
      </c>
      <c r="C76" s="295">
        <f>SUMIF('1 Reclamation and O&amp;M costs'!$N$29:$N$38,B76,'1 Reclamation and O&amp;M costs'!$P$29:$P$38)*($H$7+1)</f>
        <v>0</v>
      </c>
      <c r="D76" s="296">
        <f>SUMIF('1 Reclamation and O&amp;M costs'!$M$29:$M$38,"&gt;="&amp;B76,'1 Reclamation and O&amp;M costs'!$R$29:$R$38)*($H$8+1)</f>
        <v>0</v>
      </c>
      <c r="E76" s="17"/>
      <c r="F76" s="17">
        <f t="shared" si="6"/>
        <v>60</v>
      </c>
      <c r="G76" s="295">
        <f>SUMIF('1 Reclamation and O&amp;M costs'!$J$46:$J$61,'3 WM cash flow'!F76,'1 Reclamation and O&amp;M costs'!$P$71:$P$86)*(1+$H$7)</f>
        <v>0</v>
      </c>
      <c r="H76" s="296">
        <f>SUMIF('1 Reclamation and O&amp;M costs'!$I$46:$I$61,'3 WM cash flow'!F76,'1 Reclamation and O&amp;M costs'!$S$71:$S$86)*(1+$H$7)</f>
        <v>0</v>
      </c>
      <c r="I76" s="295">
        <f>(IF('3 WM cash flow'!F76&lt;=('1 Reclamation and O&amp;M costs'!$O$24-'1 Reclamation and O&amp;M costs'!$O$23),0,SUMIF('1 Reclamation and O&amp;M costs'!$I$46:$I$61,"&gt;="&amp;'3 WM cash flow'!F76,'1 Reclamation and O&amp;M costs'!$N$71:$N$86))+IF('3 WM cash flow'!F76&lt;=('1 Reclamation and O&amp;M costs'!$O$24-'1 Reclamation and O&amp;M costs'!$O$23),'1 Reclamation and O&amp;M costs'!$I$90,0))*(1+$H$9)</f>
        <v>0</v>
      </c>
      <c r="J76" s="296">
        <f>SUMIF('1 Reclamation and O&amp;M costs'!$I$46:$I$61,"&gt;="&amp;F76,'1 Reclamation and O&amp;M costs'!$Q$71:$Q$86)*(1+$H$8)</f>
        <v>0</v>
      </c>
      <c r="K76" s="17"/>
      <c r="L76" s="17">
        <f t="shared" si="7"/>
        <v>60</v>
      </c>
      <c r="M76" s="295">
        <f>SUMIF('1 Reclamation and O&amp;M costs'!$L$96:$L$113,'3 WM cash flow'!L76,'1 Reclamation and O&amp;M costs'!P$113:$P154)*(1+$H$7)</f>
        <v>0</v>
      </c>
      <c r="N76" s="296">
        <f>SUMIF('1 Reclamation and O&amp;M costs'!$K$96:$K$113,'3 WM cash flow'!L76,'1 Reclamation and O&amp;M costs'!$T$96:$T$113)*(1+$H$7)</f>
        <v>0</v>
      </c>
      <c r="O76" s="295">
        <f>SUMIF('1 Reclamation and O&amp;M costs'!$K$96:$K$113,"&gt;="&amp;B76,'1 Reclamation and O&amp;M costs'!$R$96:$R$113)*(1+$H$8)</f>
        <v>0</v>
      </c>
      <c r="P76" s="296"/>
      <c r="Q76" s="17">
        <f t="shared" si="3"/>
        <v>60</v>
      </c>
      <c r="R76" s="295">
        <f>SUMIF('1 Reclamation and O&amp;M costs'!$H$123:$H$133,'3 WM cash flow'!Q76,'1 Reclamation and O&amp;M costs'!$Q$123:$Q$133)*(1+$H$7)</f>
        <v>0</v>
      </c>
      <c r="S76" s="296">
        <f>SUMIF('1 Reclamation and O&amp;M costs'!$H$123:$H$133,"&gt;="&amp;Q76,'1 Reclamation and O&amp;M costs'!$O$123:$O$133)*(1+$H$8)</f>
        <v>0</v>
      </c>
      <c r="T76" s="25"/>
      <c r="U76" s="17">
        <f t="shared" si="4"/>
        <v>60</v>
      </c>
      <c r="V76" s="295">
        <f>(IF(U76&lt;('1 Reclamation and O&amp;M costs'!$O$24-'1 Reclamation and O&amp;M costs'!$O$23),'2 Sampling Cost'!$O$13,IF(U76&lt;'1 Reclamation and O&amp;M costs'!$O$25,'2 Sampling Cost'!$O$14,'2 Sampling Cost'!$O$15)))*(1+$H$9)</f>
        <v>2380</v>
      </c>
      <c r="W76" s="296"/>
      <c r="X76" s="295">
        <f t="shared" si="5"/>
        <v>2380</v>
      </c>
      <c r="Y76" s="296"/>
      <c r="Z76" s="25"/>
    </row>
    <row r="77" spans="2:26" ht="15.75">
      <c r="B77" s="17">
        <f t="shared" si="8"/>
        <v>61</v>
      </c>
      <c r="C77" s="295">
        <f>SUMIF('1 Reclamation and O&amp;M costs'!$N$29:$N$38,B77,'1 Reclamation and O&amp;M costs'!$P$29:$P$38)*($H$7+1)</f>
        <v>0</v>
      </c>
      <c r="D77" s="296">
        <f>SUMIF('1 Reclamation and O&amp;M costs'!$M$29:$M$38,"&gt;="&amp;B77,'1 Reclamation and O&amp;M costs'!$R$29:$R$38)*($H$8+1)</f>
        <v>0</v>
      </c>
      <c r="E77" s="17"/>
      <c r="F77" s="17">
        <f t="shared" si="6"/>
        <v>61</v>
      </c>
      <c r="G77" s="295">
        <f>SUMIF('1 Reclamation and O&amp;M costs'!$J$46:$J$61,'3 WM cash flow'!F77,'1 Reclamation and O&amp;M costs'!$P$71:$P$86)*(1+$H$7)</f>
        <v>0</v>
      </c>
      <c r="H77" s="296">
        <f>SUMIF('1 Reclamation and O&amp;M costs'!$I$46:$I$61,'3 WM cash flow'!F77,'1 Reclamation and O&amp;M costs'!$S$71:$S$86)*(1+$H$7)</f>
        <v>0</v>
      </c>
      <c r="I77" s="295">
        <f>(IF('3 WM cash flow'!F77&lt;=('1 Reclamation and O&amp;M costs'!$O$24-'1 Reclamation and O&amp;M costs'!$O$23),0,SUMIF('1 Reclamation and O&amp;M costs'!$I$46:$I$61,"&gt;="&amp;'3 WM cash flow'!F77,'1 Reclamation and O&amp;M costs'!$N$71:$N$86))+IF('3 WM cash flow'!F77&lt;=('1 Reclamation and O&amp;M costs'!$O$24-'1 Reclamation and O&amp;M costs'!$O$23),'1 Reclamation and O&amp;M costs'!$I$90,0))*(1+$H$9)</f>
        <v>0</v>
      </c>
      <c r="J77" s="296">
        <f>SUMIF('1 Reclamation and O&amp;M costs'!$I$46:$I$61,"&gt;="&amp;F77,'1 Reclamation and O&amp;M costs'!$Q$71:$Q$86)*(1+$H$8)</f>
        <v>0</v>
      </c>
      <c r="K77" s="17"/>
      <c r="L77" s="17">
        <f t="shared" si="7"/>
        <v>61</v>
      </c>
      <c r="M77" s="295">
        <f>SUMIF('1 Reclamation and O&amp;M costs'!$L$96:$L$113,'3 WM cash flow'!L77,'1 Reclamation and O&amp;M costs'!P$113:$P155)*(1+$H$7)</f>
        <v>0</v>
      </c>
      <c r="N77" s="296">
        <f>SUMIF('1 Reclamation and O&amp;M costs'!$K$96:$K$113,'3 WM cash flow'!L77,'1 Reclamation and O&amp;M costs'!$T$96:$T$113)*(1+$H$7)</f>
        <v>0</v>
      </c>
      <c r="O77" s="295">
        <f>SUMIF('1 Reclamation and O&amp;M costs'!$K$96:$K$113,"&gt;="&amp;B77,'1 Reclamation and O&amp;M costs'!$R$96:$R$113)*(1+$H$8)</f>
        <v>0</v>
      </c>
      <c r="P77" s="296"/>
      <c r="Q77" s="17">
        <f t="shared" si="3"/>
        <v>61</v>
      </c>
      <c r="R77" s="295">
        <f>SUMIF('1 Reclamation and O&amp;M costs'!$H$123:$H$133,'3 WM cash flow'!Q77,'1 Reclamation and O&amp;M costs'!$Q$123:$Q$133)*(1+$H$7)</f>
        <v>0</v>
      </c>
      <c r="S77" s="296">
        <f>SUMIF('1 Reclamation and O&amp;M costs'!$H$123:$H$133,"&gt;="&amp;Q77,'1 Reclamation and O&amp;M costs'!$O$123:$O$133)*(1+$H$8)</f>
        <v>0</v>
      </c>
      <c r="T77" s="25"/>
      <c r="U77" s="17">
        <f t="shared" si="4"/>
        <v>61</v>
      </c>
      <c r="V77" s="295">
        <f>(IF(U77&lt;('1 Reclamation and O&amp;M costs'!$O$24-'1 Reclamation and O&amp;M costs'!$O$23),'2 Sampling Cost'!$O$13,IF(U77&lt;'1 Reclamation and O&amp;M costs'!$O$25,'2 Sampling Cost'!$O$14,'2 Sampling Cost'!$O$15)))*(1+$H$9)</f>
        <v>2380</v>
      </c>
      <c r="W77" s="296"/>
      <c r="X77" s="295">
        <f t="shared" si="5"/>
        <v>2380</v>
      </c>
      <c r="Y77" s="296"/>
      <c r="Z77" s="25"/>
    </row>
    <row r="78" spans="2:26" ht="15.75">
      <c r="B78" s="17">
        <f t="shared" si="8"/>
        <v>62</v>
      </c>
      <c r="C78" s="295">
        <f>SUMIF('1 Reclamation and O&amp;M costs'!$N$29:$N$38,B78,'1 Reclamation and O&amp;M costs'!$P$29:$P$38)*($H$7+1)</f>
        <v>0</v>
      </c>
      <c r="D78" s="296">
        <f>SUMIF('1 Reclamation and O&amp;M costs'!$M$29:$M$38,"&gt;="&amp;B78,'1 Reclamation and O&amp;M costs'!$R$29:$R$38)*($H$8+1)</f>
        <v>0</v>
      </c>
      <c r="E78" s="17"/>
      <c r="F78" s="17">
        <f t="shared" si="6"/>
        <v>62</v>
      </c>
      <c r="G78" s="295">
        <f>SUMIF('1 Reclamation and O&amp;M costs'!$J$46:$J$61,'3 WM cash flow'!F78,'1 Reclamation and O&amp;M costs'!$P$71:$P$86)*(1+$H$7)</f>
        <v>0</v>
      </c>
      <c r="H78" s="296">
        <f>SUMIF('1 Reclamation and O&amp;M costs'!$I$46:$I$61,'3 WM cash flow'!F78,'1 Reclamation and O&amp;M costs'!$S$71:$S$86)*(1+$H$7)</f>
        <v>0</v>
      </c>
      <c r="I78" s="295">
        <f>(IF('3 WM cash flow'!F78&lt;=('1 Reclamation and O&amp;M costs'!$O$24-'1 Reclamation and O&amp;M costs'!$O$23),0,SUMIF('1 Reclamation and O&amp;M costs'!$I$46:$I$61,"&gt;="&amp;'3 WM cash flow'!F78,'1 Reclamation and O&amp;M costs'!$N$71:$N$86))+IF('3 WM cash flow'!F78&lt;=('1 Reclamation and O&amp;M costs'!$O$24-'1 Reclamation and O&amp;M costs'!$O$23),'1 Reclamation and O&amp;M costs'!$I$90,0))*(1+$H$9)</f>
        <v>0</v>
      </c>
      <c r="J78" s="296">
        <f>SUMIF('1 Reclamation and O&amp;M costs'!$I$46:$I$61,"&gt;="&amp;F78,'1 Reclamation and O&amp;M costs'!$Q$71:$Q$86)*(1+$H$8)</f>
        <v>0</v>
      </c>
      <c r="K78" s="17"/>
      <c r="L78" s="17">
        <f t="shared" si="7"/>
        <v>62</v>
      </c>
      <c r="M78" s="295">
        <f>SUMIF('1 Reclamation and O&amp;M costs'!$L$96:$L$113,'3 WM cash flow'!L78,'1 Reclamation and O&amp;M costs'!P$113:$P156)*(1+$H$7)</f>
        <v>0</v>
      </c>
      <c r="N78" s="296">
        <f>SUMIF('1 Reclamation and O&amp;M costs'!$K$96:$K$113,'3 WM cash flow'!L78,'1 Reclamation and O&amp;M costs'!$T$96:$T$113)*(1+$H$7)</f>
        <v>0</v>
      </c>
      <c r="O78" s="295">
        <f>SUMIF('1 Reclamation and O&amp;M costs'!$K$96:$K$113,"&gt;="&amp;B78,'1 Reclamation and O&amp;M costs'!$R$96:$R$113)*(1+$H$8)</f>
        <v>0</v>
      </c>
      <c r="P78" s="296"/>
      <c r="Q78" s="17">
        <f t="shared" si="3"/>
        <v>62</v>
      </c>
      <c r="R78" s="295">
        <f>SUMIF('1 Reclamation and O&amp;M costs'!$H$123:$H$133,'3 WM cash flow'!Q78,'1 Reclamation and O&amp;M costs'!$Q$123:$Q$133)*(1+$H$7)</f>
        <v>0</v>
      </c>
      <c r="S78" s="296">
        <f>SUMIF('1 Reclamation and O&amp;M costs'!$H$123:$H$133,"&gt;="&amp;Q78,'1 Reclamation and O&amp;M costs'!$O$123:$O$133)*(1+$H$8)</f>
        <v>0</v>
      </c>
      <c r="T78" s="25"/>
      <c r="U78" s="17">
        <f t="shared" si="4"/>
        <v>62</v>
      </c>
      <c r="V78" s="295">
        <f>(IF(U78&lt;('1 Reclamation and O&amp;M costs'!$O$24-'1 Reclamation and O&amp;M costs'!$O$23),'2 Sampling Cost'!$O$13,IF(U78&lt;'1 Reclamation and O&amp;M costs'!$O$25,'2 Sampling Cost'!$O$14,'2 Sampling Cost'!$O$15)))*(1+$H$9)</f>
        <v>2380</v>
      </c>
      <c r="W78" s="296"/>
      <c r="X78" s="295">
        <f t="shared" si="5"/>
        <v>2380</v>
      </c>
      <c r="Y78" s="296"/>
      <c r="Z78" s="25"/>
    </row>
    <row r="79" spans="2:26" ht="15.75">
      <c r="B79" s="17">
        <f t="shared" si="8"/>
        <v>63</v>
      </c>
      <c r="C79" s="295">
        <f>SUMIF('1 Reclamation and O&amp;M costs'!$N$29:$N$38,B79,'1 Reclamation and O&amp;M costs'!$P$29:$P$38)*($H$7+1)</f>
        <v>0</v>
      </c>
      <c r="D79" s="296">
        <f>SUMIF('1 Reclamation and O&amp;M costs'!$M$29:$M$38,"&gt;="&amp;B79,'1 Reclamation and O&amp;M costs'!$R$29:$R$38)*($H$8+1)</f>
        <v>0</v>
      </c>
      <c r="E79" s="17"/>
      <c r="F79" s="17">
        <f t="shared" si="6"/>
        <v>63</v>
      </c>
      <c r="G79" s="295">
        <f>SUMIF('1 Reclamation and O&amp;M costs'!$J$46:$J$61,'3 WM cash flow'!F79,'1 Reclamation and O&amp;M costs'!$P$71:$P$86)*(1+$H$7)</f>
        <v>0</v>
      </c>
      <c r="H79" s="296">
        <f>SUMIF('1 Reclamation and O&amp;M costs'!$I$46:$I$61,'3 WM cash flow'!F79,'1 Reclamation and O&amp;M costs'!$S$71:$S$86)*(1+$H$7)</f>
        <v>0</v>
      </c>
      <c r="I79" s="295">
        <f>(IF('3 WM cash flow'!F79&lt;=('1 Reclamation and O&amp;M costs'!$O$24-'1 Reclamation and O&amp;M costs'!$O$23),0,SUMIF('1 Reclamation and O&amp;M costs'!$I$46:$I$61,"&gt;="&amp;'3 WM cash flow'!F79,'1 Reclamation and O&amp;M costs'!$N$71:$N$86))+IF('3 WM cash flow'!F79&lt;=('1 Reclamation and O&amp;M costs'!$O$24-'1 Reclamation and O&amp;M costs'!$O$23),'1 Reclamation and O&amp;M costs'!$I$90,0))*(1+$H$9)</f>
        <v>0</v>
      </c>
      <c r="J79" s="296">
        <f>SUMIF('1 Reclamation and O&amp;M costs'!$I$46:$I$61,"&gt;="&amp;F79,'1 Reclamation and O&amp;M costs'!$Q$71:$Q$86)*(1+$H$8)</f>
        <v>0</v>
      </c>
      <c r="K79" s="17"/>
      <c r="L79" s="17">
        <f t="shared" si="7"/>
        <v>63</v>
      </c>
      <c r="M79" s="295">
        <f>SUMIF('1 Reclamation and O&amp;M costs'!$L$96:$L$113,'3 WM cash flow'!L79,'1 Reclamation and O&amp;M costs'!P$113:$P157)*(1+$H$7)</f>
        <v>0</v>
      </c>
      <c r="N79" s="296">
        <f>SUMIF('1 Reclamation and O&amp;M costs'!$K$96:$K$113,'3 WM cash flow'!L79,'1 Reclamation and O&amp;M costs'!$T$96:$T$113)*(1+$H$7)</f>
        <v>0</v>
      </c>
      <c r="O79" s="295">
        <f>SUMIF('1 Reclamation and O&amp;M costs'!$K$96:$K$113,"&gt;="&amp;B79,'1 Reclamation and O&amp;M costs'!$R$96:$R$113)*(1+$H$8)</f>
        <v>0</v>
      </c>
      <c r="P79" s="296"/>
      <c r="Q79" s="17">
        <f t="shared" si="3"/>
        <v>63</v>
      </c>
      <c r="R79" s="295">
        <f>SUMIF('1 Reclamation and O&amp;M costs'!$H$123:$H$133,'3 WM cash flow'!Q79,'1 Reclamation and O&amp;M costs'!$Q$123:$Q$133)*(1+$H$7)</f>
        <v>0</v>
      </c>
      <c r="S79" s="296">
        <f>SUMIF('1 Reclamation and O&amp;M costs'!$H$123:$H$133,"&gt;="&amp;Q79,'1 Reclamation and O&amp;M costs'!$O$123:$O$133)*(1+$H$8)</f>
        <v>0</v>
      </c>
      <c r="T79" s="25"/>
      <c r="U79" s="17">
        <f t="shared" si="4"/>
        <v>63</v>
      </c>
      <c r="V79" s="295">
        <f>(IF(U79&lt;('1 Reclamation and O&amp;M costs'!$O$24-'1 Reclamation and O&amp;M costs'!$O$23),'2 Sampling Cost'!$O$13,IF(U79&lt;'1 Reclamation and O&amp;M costs'!$O$25,'2 Sampling Cost'!$O$14,'2 Sampling Cost'!$O$15)))*(1+$H$9)</f>
        <v>2380</v>
      </c>
      <c r="W79" s="296"/>
      <c r="X79" s="295">
        <f t="shared" si="5"/>
        <v>2380</v>
      </c>
      <c r="Y79" s="296"/>
      <c r="Z79" s="25"/>
    </row>
    <row r="80" spans="2:26" ht="15.75">
      <c r="B80" s="17">
        <f t="shared" si="8"/>
        <v>64</v>
      </c>
      <c r="C80" s="295">
        <f>SUMIF('1 Reclamation and O&amp;M costs'!$N$29:$N$38,B80,'1 Reclamation and O&amp;M costs'!$P$29:$P$38)*($H$7+1)</f>
        <v>0</v>
      </c>
      <c r="D80" s="296">
        <f>SUMIF('1 Reclamation and O&amp;M costs'!$M$29:$M$38,"&gt;="&amp;B80,'1 Reclamation and O&amp;M costs'!$R$29:$R$38)*($H$8+1)</f>
        <v>0</v>
      </c>
      <c r="E80" s="17"/>
      <c r="F80" s="17">
        <f t="shared" si="6"/>
        <v>64</v>
      </c>
      <c r="G80" s="295">
        <f>SUMIF('1 Reclamation and O&amp;M costs'!$J$46:$J$61,'3 WM cash flow'!F80,'1 Reclamation and O&amp;M costs'!$P$71:$P$86)*(1+$H$7)</f>
        <v>0</v>
      </c>
      <c r="H80" s="296">
        <f>SUMIF('1 Reclamation and O&amp;M costs'!$I$46:$I$61,'3 WM cash flow'!F80,'1 Reclamation and O&amp;M costs'!$S$71:$S$86)*(1+$H$7)</f>
        <v>0</v>
      </c>
      <c r="I80" s="295">
        <f>(IF('3 WM cash flow'!F80&lt;=('1 Reclamation and O&amp;M costs'!$O$24-'1 Reclamation and O&amp;M costs'!$O$23),0,SUMIF('1 Reclamation and O&amp;M costs'!$I$46:$I$61,"&gt;="&amp;'3 WM cash flow'!F80,'1 Reclamation and O&amp;M costs'!$N$71:$N$86))+IF('3 WM cash flow'!F80&lt;=('1 Reclamation and O&amp;M costs'!$O$24-'1 Reclamation and O&amp;M costs'!$O$23),'1 Reclamation and O&amp;M costs'!$I$90,0))*(1+$H$9)</f>
        <v>0</v>
      </c>
      <c r="J80" s="296">
        <f>SUMIF('1 Reclamation and O&amp;M costs'!$I$46:$I$61,"&gt;="&amp;F80,'1 Reclamation and O&amp;M costs'!$Q$71:$Q$86)*(1+$H$8)</f>
        <v>0</v>
      </c>
      <c r="K80" s="17"/>
      <c r="L80" s="17">
        <f t="shared" si="7"/>
        <v>64</v>
      </c>
      <c r="M80" s="295">
        <f>SUMIF('1 Reclamation and O&amp;M costs'!$L$96:$L$113,'3 WM cash flow'!L80,'1 Reclamation and O&amp;M costs'!P$113:$P158)*(1+$H$7)</f>
        <v>0</v>
      </c>
      <c r="N80" s="296">
        <f>SUMIF('1 Reclamation and O&amp;M costs'!$K$96:$K$113,'3 WM cash flow'!L80,'1 Reclamation and O&amp;M costs'!$T$96:$T$113)*(1+$H$7)</f>
        <v>0</v>
      </c>
      <c r="O80" s="295">
        <f>SUMIF('1 Reclamation and O&amp;M costs'!$K$96:$K$113,"&gt;="&amp;B80,'1 Reclamation and O&amp;M costs'!$R$96:$R$113)*(1+$H$8)</f>
        <v>0</v>
      </c>
      <c r="P80" s="296"/>
      <c r="Q80" s="17">
        <f t="shared" si="3"/>
        <v>64</v>
      </c>
      <c r="R80" s="295">
        <f>SUMIF('1 Reclamation and O&amp;M costs'!$H$123:$H$133,'3 WM cash flow'!Q80,'1 Reclamation and O&amp;M costs'!$Q$123:$Q$133)*(1+$H$7)</f>
        <v>0</v>
      </c>
      <c r="S80" s="296">
        <f>SUMIF('1 Reclamation and O&amp;M costs'!$H$123:$H$133,"&gt;="&amp;Q80,'1 Reclamation and O&amp;M costs'!$O$123:$O$133)*(1+$H$8)</f>
        <v>0</v>
      </c>
      <c r="T80" s="25"/>
      <c r="U80" s="17">
        <f t="shared" si="4"/>
        <v>64</v>
      </c>
      <c r="V80" s="295">
        <f>(IF(U80&lt;('1 Reclamation and O&amp;M costs'!$O$24-'1 Reclamation and O&amp;M costs'!$O$23),'2 Sampling Cost'!$O$13,IF(U80&lt;'1 Reclamation and O&amp;M costs'!$O$25,'2 Sampling Cost'!$O$14,'2 Sampling Cost'!$O$15)))*(1+$H$9)</f>
        <v>2380</v>
      </c>
      <c r="W80" s="296"/>
      <c r="X80" s="295">
        <f t="shared" si="5"/>
        <v>2380</v>
      </c>
      <c r="Y80" s="296"/>
      <c r="Z80" s="25"/>
    </row>
    <row r="81" spans="2:26" ht="15.75">
      <c r="B81" s="17">
        <f t="shared" si="8"/>
        <v>65</v>
      </c>
      <c r="C81" s="295">
        <f>SUMIF('1 Reclamation and O&amp;M costs'!$N$29:$N$38,B81,'1 Reclamation and O&amp;M costs'!$P$29:$P$38)*($H$7+1)</f>
        <v>0</v>
      </c>
      <c r="D81" s="296">
        <f>SUMIF('1 Reclamation and O&amp;M costs'!$M$29:$M$38,"&gt;="&amp;B81,'1 Reclamation and O&amp;M costs'!$R$29:$R$38)*($H$8+1)</f>
        <v>0</v>
      </c>
      <c r="E81" s="17"/>
      <c r="F81" s="17">
        <f aca="true" t="shared" si="9" ref="F81:F112">1+F80</f>
        <v>65</v>
      </c>
      <c r="G81" s="295">
        <f>SUMIF('1 Reclamation and O&amp;M costs'!$J$46:$J$61,'3 WM cash flow'!F81,'1 Reclamation and O&amp;M costs'!$P$71:$P$86)*(1+$H$7)</f>
        <v>0</v>
      </c>
      <c r="H81" s="296">
        <f>SUMIF('1 Reclamation and O&amp;M costs'!$I$46:$I$61,'3 WM cash flow'!F81,'1 Reclamation and O&amp;M costs'!$S$71:$S$86)*(1+$H$7)</f>
        <v>0</v>
      </c>
      <c r="I81" s="295">
        <f>(IF('3 WM cash flow'!F81&lt;=('1 Reclamation and O&amp;M costs'!$O$24-'1 Reclamation and O&amp;M costs'!$O$23),0,SUMIF('1 Reclamation and O&amp;M costs'!$I$46:$I$61,"&gt;="&amp;'3 WM cash flow'!F81,'1 Reclamation and O&amp;M costs'!$N$71:$N$86))+IF('3 WM cash flow'!F81&lt;=('1 Reclamation and O&amp;M costs'!$O$24-'1 Reclamation and O&amp;M costs'!$O$23),'1 Reclamation and O&amp;M costs'!$I$90,0))*(1+$H$9)</f>
        <v>0</v>
      </c>
      <c r="J81" s="296">
        <f>SUMIF('1 Reclamation and O&amp;M costs'!$I$46:$I$61,"&gt;="&amp;F81,'1 Reclamation and O&amp;M costs'!$Q$71:$Q$86)*(1+$H$8)</f>
        <v>0</v>
      </c>
      <c r="K81" s="17"/>
      <c r="L81" s="17">
        <f aca="true" t="shared" si="10" ref="L81:L112">L80+1</f>
        <v>65</v>
      </c>
      <c r="M81" s="295">
        <f>SUMIF('1 Reclamation and O&amp;M costs'!$L$96:$L$113,'3 WM cash flow'!L81,'1 Reclamation and O&amp;M costs'!P$113:$P159)*(1+$H$7)</f>
        <v>0</v>
      </c>
      <c r="N81" s="296">
        <f>SUMIF('1 Reclamation and O&amp;M costs'!$K$96:$K$113,'3 WM cash flow'!L81,'1 Reclamation and O&amp;M costs'!$T$96:$T$113)*(1+$H$7)</f>
        <v>0</v>
      </c>
      <c r="O81" s="295">
        <f>SUMIF('1 Reclamation and O&amp;M costs'!$K$96:$K$113,"&gt;="&amp;B81,'1 Reclamation and O&amp;M costs'!$R$96:$R$113)*(1+$H$8)</f>
        <v>0</v>
      </c>
      <c r="P81" s="296"/>
      <c r="Q81" s="17">
        <f aca="true" t="shared" si="11" ref="Q81:Q115">Q80+1</f>
        <v>65</v>
      </c>
      <c r="R81" s="295">
        <f>SUMIF('1 Reclamation and O&amp;M costs'!$H$123:$H$133,'3 WM cash flow'!Q81,'1 Reclamation and O&amp;M costs'!$Q$123:$Q$133)*(1+$H$7)</f>
        <v>0</v>
      </c>
      <c r="S81" s="296">
        <f>SUMIF('1 Reclamation and O&amp;M costs'!$H$123:$H$133,"&gt;="&amp;Q81,'1 Reclamation and O&amp;M costs'!$O$123:$O$133)*(1+$H$8)</f>
        <v>0</v>
      </c>
      <c r="T81" s="25"/>
      <c r="U81" s="17">
        <f aca="true" t="shared" si="12" ref="U81:U115">U80+1</f>
        <v>65</v>
      </c>
      <c r="V81" s="295">
        <f>(IF(U81&lt;('1 Reclamation and O&amp;M costs'!$O$24-'1 Reclamation and O&amp;M costs'!$O$23),'2 Sampling Cost'!$O$13,IF(U81&lt;'1 Reclamation and O&amp;M costs'!$O$25,'2 Sampling Cost'!$O$14,'2 Sampling Cost'!$O$15)))*(1+$H$9)</f>
        <v>2380</v>
      </c>
      <c r="W81" s="296"/>
      <c r="X81" s="295">
        <f aca="true" t="shared" si="13" ref="X81:X115">SUM(V81,R81:S81,M81:O81,G81:J81,C81:D81)</f>
        <v>2380</v>
      </c>
      <c r="Y81" s="296"/>
      <c r="Z81" s="25"/>
    </row>
    <row r="82" spans="2:26" ht="15.75">
      <c r="B82" s="17">
        <f t="shared" si="8"/>
        <v>66</v>
      </c>
      <c r="C82" s="295">
        <f>SUMIF('1 Reclamation and O&amp;M costs'!$N$29:$N$38,B82,'1 Reclamation and O&amp;M costs'!$P$29:$P$38)*($H$7+1)</f>
        <v>0</v>
      </c>
      <c r="D82" s="296">
        <f>SUMIF('1 Reclamation and O&amp;M costs'!$M$29:$M$38,"&gt;="&amp;B82,'1 Reclamation and O&amp;M costs'!$R$29:$R$38)*($H$8+1)</f>
        <v>0</v>
      </c>
      <c r="E82" s="17"/>
      <c r="F82" s="17">
        <f t="shared" si="9"/>
        <v>66</v>
      </c>
      <c r="G82" s="295">
        <f>SUMIF('1 Reclamation and O&amp;M costs'!$J$46:$J$61,'3 WM cash flow'!F82,'1 Reclamation and O&amp;M costs'!$P$71:$P$86)*(1+$H$7)</f>
        <v>0</v>
      </c>
      <c r="H82" s="296">
        <f>SUMIF('1 Reclamation and O&amp;M costs'!$I$46:$I$61,'3 WM cash flow'!F82,'1 Reclamation and O&amp;M costs'!$S$71:$S$86)*(1+$H$7)</f>
        <v>0</v>
      </c>
      <c r="I82" s="295">
        <f>(IF('3 WM cash flow'!F82&lt;=('1 Reclamation and O&amp;M costs'!$O$24-'1 Reclamation and O&amp;M costs'!$O$23),0,SUMIF('1 Reclamation and O&amp;M costs'!$I$46:$I$61,"&gt;="&amp;'3 WM cash flow'!F82,'1 Reclamation and O&amp;M costs'!$N$71:$N$86))+IF('3 WM cash flow'!F82&lt;=('1 Reclamation and O&amp;M costs'!$O$24-'1 Reclamation and O&amp;M costs'!$O$23),'1 Reclamation and O&amp;M costs'!$I$90,0))*(1+$H$9)</f>
        <v>0</v>
      </c>
      <c r="J82" s="296">
        <f>SUMIF('1 Reclamation and O&amp;M costs'!$I$46:$I$61,"&gt;="&amp;F82,'1 Reclamation and O&amp;M costs'!$Q$71:$Q$86)*(1+$H$8)</f>
        <v>0</v>
      </c>
      <c r="K82" s="17"/>
      <c r="L82" s="17">
        <f t="shared" si="10"/>
        <v>66</v>
      </c>
      <c r="M82" s="295">
        <f>SUMIF('1 Reclamation and O&amp;M costs'!$L$96:$L$113,'3 WM cash flow'!L82,'1 Reclamation and O&amp;M costs'!P$113:$P160)*(1+$H$7)</f>
        <v>0</v>
      </c>
      <c r="N82" s="296">
        <f>SUMIF('1 Reclamation and O&amp;M costs'!$K$96:$K$113,'3 WM cash flow'!L82,'1 Reclamation and O&amp;M costs'!$T$96:$T$113)*(1+$H$7)</f>
        <v>0</v>
      </c>
      <c r="O82" s="295">
        <f>SUMIF('1 Reclamation and O&amp;M costs'!$K$96:$K$113,"&gt;="&amp;B82,'1 Reclamation and O&amp;M costs'!$R$96:$R$113)*(1+$H$8)</f>
        <v>0</v>
      </c>
      <c r="P82" s="296"/>
      <c r="Q82" s="17">
        <f t="shared" si="11"/>
        <v>66</v>
      </c>
      <c r="R82" s="295">
        <f>SUMIF('1 Reclamation and O&amp;M costs'!$H$123:$H$133,'3 WM cash flow'!Q82,'1 Reclamation and O&amp;M costs'!$Q$123:$Q$133)*(1+$H$7)</f>
        <v>0</v>
      </c>
      <c r="S82" s="296">
        <f>SUMIF('1 Reclamation and O&amp;M costs'!$H$123:$H$133,"&gt;="&amp;Q82,'1 Reclamation and O&amp;M costs'!$O$123:$O$133)*(1+$H$8)</f>
        <v>0</v>
      </c>
      <c r="T82" s="25"/>
      <c r="U82" s="17">
        <f t="shared" si="12"/>
        <v>66</v>
      </c>
      <c r="V82" s="295">
        <f>(IF(U82&lt;('1 Reclamation and O&amp;M costs'!$O$24-'1 Reclamation and O&amp;M costs'!$O$23),'2 Sampling Cost'!$O$13,IF(U82&lt;'1 Reclamation and O&amp;M costs'!$O$25,'2 Sampling Cost'!$O$14,'2 Sampling Cost'!$O$15)))*(1+$H$9)</f>
        <v>2380</v>
      </c>
      <c r="W82" s="296"/>
      <c r="X82" s="295">
        <f t="shared" si="13"/>
        <v>2380</v>
      </c>
      <c r="Y82" s="296"/>
      <c r="Z82" s="25"/>
    </row>
    <row r="83" spans="2:26" ht="15.75">
      <c r="B83" s="17">
        <f t="shared" si="8"/>
        <v>67</v>
      </c>
      <c r="C83" s="295">
        <f>SUMIF('1 Reclamation and O&amp;M costs'!$N$29:$N$38,B83,'1 Reclamation and O&amp;M costs'!$P$29:$P$38)*($H$7+1)</f>
        <v>0</v>
      </c>
      <c r="D83" s="296">
        <f>SUMIF('1 Reclamation and O&amp;M costs'!$M$29:$M$38,"&gt;="&amp;B83,'1 Reclamation and O&amp;M costs'!$R$29:$R$38)*($H$8+1)</f>
        <v>0</v>
      </c>
      <c r="E83" s="17"/>
      <c r="F83" s="17">
        <f t="shared" si="9"/>
        <v>67</v>
      </c>
      <c r="G83" s="295">
        <f>SUMIF('1 Reclamation and O&amp;M costs'!$J$46:$J$61,'3 WM cash flow'!F83,'1 Reclamation and O&amp;M costs'!$P$71:$P$86)*(1+$H$7)</f>
        <v>0</v>
      </c>
      <c r="H83" s="296">
        <f>SUMIF('1 Reclamation and O&amp;M costs'!$I$46:$I$61,'3 WM cash flow'!F83,'1 Reclamation and O&amp;M costs'!$S$71:$S$86)*(1+$H$7)</f>
        <v>0</v>
      </c>
      <c r="I83" s="295">
        <f>(IF('3 WM cash flow'!F83&lt;=('1 Reclamation and O&amp;M costs'!$O$24-'1 Reclamation and O&amp;M costs'!$O$23),0,SUMIF('1 Reclamation and O&amp;M costs'!$I$46:$I$61,"&gt;="&amp;'3 WM cash flow'!F83,'1 Reclamation and O&amp;M costs'!$N$71:$N$86))+IF('3 WM cash flow'!F83&lt;=('1 Reclamation and O&amp;M costs'!$O$24-'1 Reclamation and O&amp;M costs'!$O$23),'1 Reclamation and O&amp;M costs'!$I$90,0))*(1+$H$9)</f>
        <v>0</v>
      </c>
      <c r="J83" s="296">
        <f>SUMIF('1 Reclamation and O&amp;M costs'!$I$46:$I$61,"&gt;="&amp;F83,'1 Reclamation and O&amp;M costs'!$Q$71:$Q$86)*(1+$H$8)</f>
        <v>0</v>
      </c>
      <c r="K83" s="17"/>
      <c r="L83" s="17">
        <f t="shared" si="10"/>
        <v>67</v>
      </c>
      <c r="M83" s="295">
        <f>SUMIF('1 Reclamation and O&amp;M costs'!$L$96:$L$113,'3 WM cash flow'!L83,'1 Reclamation and O&amp;M costs'!P$113:$P161)*(1+$H$7)</f>
        <v>0</v>
      </c>
      <c r="N83" s="296">
        <f>SUMIF('1 Reclamation and O&amp;M costs'!$K$96:$K$113,'3 WM cash flow'!L83,'1 Reclamation and O&amp;M costs'!$T$96:$T$113)*(1+$H$7)</f>
        <v>0</v>
      </c>
      <c r="O83" s="295">
        <f>SUMIF('1 Reclamation and O&amp;M costs'!$K$96:$K$113,"&gt;="&amp;B83,'1 Reclamation and O&amp;M costs'!$R$96:$R$113)*(1+$H$8)</f>
        <v>0</v>
      </c>
      <c r="P83" s="296"/>
      <c r="Q83" s="17">
        <f t="shared" si="11"/>
        <v>67</v>
      </c>
      <c r="R83" s="295">
        <f>SUMIF('1 Reclamation and O&amp;M costs'!$H$123:$H$133,'3 WM cash flow'!Q83,'1 Reclamation and O&amp;M costs'!$Q$123:$Q$133)*(1+$H$7)</f>
        <v>0</v>
      </c>
      <c r="S83" s="296">
        <f>SUMIF('1 Reclamation and O&amp;M costs'!$H$123:$H$133,"&gt;="&amp;Q83,'1 Reclamation and O&amp;M costs'!$O$123:$O$133)*(1+$H$8)</f>
        <v>0</v>
      </c>
      <c r="T83" s="25"/>
      <c r="U83" s="17">
        <f t="shared" si="12"/>
        <v>67</v>
      </c>
      <c r="V83" s="295">
        <f>(IF(U83&lt;('1 Reclamation and O&amp;M costs'!$O$24-'1 Reclamation and O&amp;M costs'!$O$23),'2 Sampling Cost'!$O$13,IF(U83&lt;'1 Reclamation and O&amp;M costs'!$O$25,'2 Sampling Cost'!$O$14,'2 Sampling Cost'!$O$15)))*(1+$H$9)</f>
        <v>2380</v>
      </c>
      <c r="W83" s="296"/>
      <c r="X83" s="295">
        <f t="shared" si="13"/>
        <v>2380</v>
      </c>
      <c r="Y83" s="296"/>
      <c r="Z83" s="25"/>
    </row>
    <row r="84" spans="2:26" ht="15.75">
      <c r="B84" s="17">
        <f t="shared" si="8"/>
        <v>68</v>
      </c>
      <c r="C84" s="295">
        <f>SUMIF('1 Reclamation and O&amp;M costs'!$N$29:$N$38,B84,'1 Reclamation and O&amp;M costs'!$P$29:$P$38)*($H$7+1)</f>
        <v>0</v>
      </c>
      <c r="D84" s="296">
        <f>SUMIF('1 Reclamation and O&amp;M costs'!$M$29:$M$38,"&gt;="&amp;B84,'1 Reclamation and O&amp;M costs'!$R$29:$R$38)*($H$8+1)</f>
        <v>0</v>
      </c>
      <c r="E84" s="17"/>
      <c r="F84" s="17">
        <f t="shared" si="9"/>
        <v>68</v>
      </c>
      <c r="G84" s="295">
        <f>SUMIF('1 Reclamation and O&amp;M costs'!$J$46:$J$61,'3 WM cash flow'!F84,'1 Reclamation and O&amp;M costs'!$P$71:$P$86)*(1+$H$7)</f>
        <v>0</v>
      </c>
      <c r="H84" s="296">
        <f>SUMIF('1 Reclamation and O&amp;M costs'!$I$46:$I$61,'3 WM cash flow'!F84,'1 Reclamation and O&amp;M costs'!$S$71:$S$86)*(1+$H$7)</f>
        <v>0</v>
      </c>
      <c r="I84" s="295">
        <f>(IF('3 WM cash flow'!F84&lt;=('1 Reclamation and O&amp;M costs'!$O$24-'1 Reclamation and O&amp;M costs'!$O$23),0,SUMIF('1 Reclamation and O&amp;M costs'!$I$46:$I$61,"&gt;="&amp;'3 WM cash flow'!F84,'1 Reclamation and O&amp;M costs'!$N$71:$N$86))+IF('3 WM cash flow'!F84&lt;=('1 Reclamation and O&amp;M costs'!$O$24-'1 Reclamation and O&amp;M costs'!$O$23),'1 Reclamation and O&amp;M costs'!$I$90,0))*(1+$H$9)</f>
        <v>0</v>
      </c>
      <c r="J84" s="296">
        <f>SUMIF('1 Reclamation and O&amp;M costs'!$I$46:$I$61,"&gt;="&amp;F84,'1 Reclamation and O&amp;M costs'!$Q$71:$Q$86)*(1+$H$8)</f>
        <v>0</v>
      </c>
      <c r="K84" s="17"/>
      <c r="L84" s="17">
        <f t="shared" si="10"/>
        <v>68</v>
      </c>
      <c r="M84" s="295">
        <f>SUMIF('1 Reclamation and O&amp;M costs'!$L$96:$L$113,'3 WM cash flow'!L84,'1 Reclamation and O&amp;M costs'!P$113:$P162)*(1+$H$7)</f>
        <v>0</v>
      </c>
      <c r="N84" s="296">
        <f>SUMIF('1 Reclamation and O&amp;M costs'!$K$96:$K$113,'3 WM cash flow'!L84,'1 Reclamation and O&amp;M costs'!$T$96:$T$113)*(1+$H$7)</f>
        <v>0</v>
      </c>
      <c r="O84" s="295">
        <f>SUMIF('1 Reclamation and O&amp;M costs'!$K$96:$K$113,"&gt;="&amp;B84,'1 Reclamation and O&amp;M costs'!$R$96:$R$113)*(1+$H$8)</f>
        <v>0</v>
      </c>
      <c r="P84" s="296"/>
      <c r="Q84" s="17">
        <f t="shared" si="11"/>
        <v>68</v>
      </c>
      <c r="R84" s="295">
        <f>SUMIF('1 Reclamation and O&amp;M costs'!$H$123:$H$133,'3 WM cash flow'!Q84,'1 Reclamation and O&amp;M costs'!$Q$123:$Q$133)*(1+$H$7)</f>
        <v>0</v>
      </c>
      <c r="S84" s="296">
        <f>SUMIF('1 Reclamation and O&amp;M costs'!$H$123:$H$133,"&gt;="&amp;Q84,'1 Reclamation and O&amp;M costs'!$O$123:$O$133)*(1+$H$8)</f>
        <v>0</v>
      </c>
      <c r="T84" s="25"/>
      <c r="U84" s="17">
        <f t="shared" si="12"/>
        <v>68</v>
      </c>
      <c r="V84" s="295">
        <f>(IF(U84&lt;('1 Reclamation and O&amp;M costs'!$O$24-'1 Reclamation and O&amp;M costs'!$O$23),'2 Sampling Cost'!$O$13,IF(U84&lt;'1 Reclamation and O&amp;M costs'!$O$25,'2 Sampling Cost'!$O$14,'2 Sampling Cost'!$O$15)))*(1+$H$9)</f>
        <v>2380</v>
      </c>
      <c r="W84" s="296"/>
      <c r="X84" s="295">
        <f t="shared" si="13"/>
        <v>2380</v>
      </c>
      <c r="Y84" s="296"/>
      <c r="Z84" s="25"/>
    </row>
    <row r="85" spans="2:26" ht="15.75">
      <c r="B85" s="17">
        <f t="shared" si="8"/>
        <v>69</v>
      </c>
      <c r="C85" s="295">
        <f>SUMIF('1 Reclamation and O&amp;M costs'!$N$29:$N$38,B85,'1 Reclamation and O&amp;M costs'!$P$29:$P$38)*($H$7+1)</f>
        <v>0</v>
      </c>
      <c r="D85" s="296">
        <f>SUMIF('1 Reclamation and O&amp;M costs'!$M$29:$M$38,"&gt;="&amp;B85,'1 Reclamation and O&amp;M costs'!$R$29:$R$38)*($H$8+1)</f>
        <v>0</v>
      </c>
      <c r="E85" s="17"/>
      <c r="F85" s="17">
        <f t="shared" si="9"/>
        <v>69</v>
      </c>
      <c r="G85" s="295">
        <f>SUMIF('1 Reclamation and O&amp;M costs'!$J$46:$J$61,'3 WM cash flow'!F85,'1 Reclamation and O&amp;M costs'!$P$71:$P$86)*(1+$H$7)</f>
        <v>0</v>
      </c>
      <c r="H85" s="296">
        <f>SUMIF('1 Reclamation and O&amp;M costs'!$I$46:$I$61,'3 WM cash flow'!F85,'1 Reclamation and O&amp;M costs'!$S$71:$S$86)*(1+$H$7)</f>
        <v>0</v>
      </c>
      <c r="I85" s="295">
        <f>(IF('3 WM cash flow'!F85&lt;=('1 Reclamation and O&amp;M costs'!$O$24-'1 Reclamation and O&amp;M costs'!$O$23),0,SUMIF('1 Reclamation and O&amp;M costs'!$I$46:$I$61,"&gt;="&amp;'3 WM cash flow'!F85,'1 Reclamation and O&amp;M costs'!$N$71:$N$86))+IF('3 WM cash flow'!F85&lt;=('1 Reclamation and O&amp;M costs'!$O$24-'1 Reclamation and O&amp;M costs'!$O$23),'1 Reclamation and O&amp;M costs'!$I$90,0))*(1+$H$9)</f>
        <v>0</v>
      </c>
      <c r="J85" s="296">
        <f>SUMIF('1 Reclamation and O&amp;M costs'!$I$46:$I$61,"&gt;="&amp;F85,'1 Reclamation and O&amp;M costs'!$Q$71:$Q$86)*(1+$H$8)</f>
        <v>0</v>
      </c>
      <c r="K85" s="17"/>
      <c r="L85" s="17">
        <f t="shared" si="10"/>
        <v>69</v>
      </c>
      <c r="M85" s="295">
        <f>SUMIF('1 Reclamation and O&amp;M costs'!$L$96:$L$113,'3 WM cash flow'!L85,'1 Reclamation and O&amp;M costs'!P$113:$P163)*(1+$H$7)</f>
        <v>0</v>
      </c>
      <c r="N85" s="296">
        <f>SUMIF('1 Reclamation and O&amp;M costs'!$K$96:$K$113,'3 WM cash flow'!L85,'1 Reclamation and O&amp;M costs'!$T$96:$T$113)*(1+$H$7)</f>
        <v>0</v>
      </c>
      <c r="O85" s="295">
        <f>SUMIF('1 Reclamation and O&amp;M costs'!$K$96:$K$113,"&gt;="&amp;B85,'1 Reclamation and O&amp;M costs'!$R$96:$R$113)*(1+$H$8)</f>
        <v>0</v>
      </c>
      <c r="P85" s="296"/>
      <c r="Q85" s="17">
        <f t="shared" si="11"/>
        <v>69</v>
      </c>
      <c r="R85" s="295">
        <f>SUMIF('1 Reclamation and O&amp;M costs'!$H$123:$H$133,'3 WM cash flow'!Q85,'1 Reclamation and O&amp;M costs'!$Q$123:$Q$133)*(1+$H$7)</f>
        <v>0</v>
      </c>
      <c r="S85" s="296">
        <f>SUMIF('1 Reclamation and O&amp;M costs'!$H$123:$H$133,"&gt;="&amp;Q85,'1 Reclamation and O&amp;M costs'!$O$123:$O$133)*(1+$H$8)</f>
        <v>0</v>
      </c>
      <c r="T85" s="25"/>
      <c r="U85" s="17">
        <f t="shared" si="12"/>
        <v>69</v>
      </c>
      <c r="V85" s="295">
        <f>(IF(U85&lt;('1 Reclamation and O&amp;M costs'!$O$24-'1 Reclamation and O&amp;M costs'!$O$23),'2 Sampling Cost'!$O$13,IF(U85&lt;'1 Reclamation and O&amp;M costs'!$O$25,'2 Sampling Cost'!$O$14,'2 Sampling Cost'!$O$15)))*(1+$H$9)</f>
        <v>2380</v>
      </c>
      <c r="W85" s="296"/>
      <c r="X85" s="295">
        <f t="shared" si="13"/>
        <v>2380</v>
      </c>
      <c r="Y85" s="296"/>
      <c r="Z85" s="25"/>
    </row>
    <row r="86" spans="2:26" ht="15.75">
      <c r="B86" s="17">
        <f t="shared" si="8"/>
        <v>70</v>
      </c>
      <c r="C86" s="295">
        <f>SUMIF('1 Reclamation and O&amp;M costs'!$N$29:$N$38,B86,'1 Reclamation and O&amp;M costs'!$P$29:$P$38)*($H$7+1)</f>
        <v>0</v>
      </c>
      <c r="D86" s="296">
        <f>SUMIF('1 Reclamation and O&amp;M costs'!$M$29:$M$38,"&gt;="&amp;B86,'1 Reclamation and O&amp;M costs'!$R$29:$R$38)*($H$8+1)</f>
        <v>0</v>
      </c>
      <c r="E86" s="17"/>
      <c r="F86" s="17">
        <f t="shared" si="9"/>
        <v>70</v>
      </c>
      <c r="G86" s="295">
        <f>SUMIF('1 Reclamation and O&amp;M costs'!$J$46:$J$61,'3 WM cash flow'!F86,'1 Reclamation and O&amp;M costs'!$P$71:$P$86)*(1+$H$7)</f>
        <v>0</v>
      </c>
      <c r="H86" s="296">
        <f>SUMIF('1 Reclamation and O&amp;M costs'!$I$46:$I$61,'3 WM cash flow'!F86,'1 Reclamation and O&amp;M costs'!$S$71:$S$86)*(1+$H$7)</f>
        <v>0</v>
      </c>
      <c r="I86" s="295">
        <f>(IF('3 WM cash flow'!F86&lt;=('1 Reclamation and O&amp;M costs'!$O$24-'1 Reclamation and O&amp;M costs'!$O$23),0,SUMIF('1 Reclamation and O&amp;M costs'!$I$46:$I$61,"&gt;="&amp;'3 WM cash flow'!F86,'1 Reclamation and O&amp;M costs'!$N$71:$N$86))+IF('3 WM cash flow'!F86&lt;=('1 Reclamation and O&amp;M costs'!$O$24-'1 Reclamation and O&amp;M costs'!$O$23),'1 Reclamation and O&amp;M costs'!$I$90,0))*(1+$H$9)</f>
        <v>0</v>
      </c>
      <c r="J86" s="296">
        <f>SUMIF('1 Reclamation and O&amp;M costs'!$I$46:$I$61,"&gt;="&amp;F86,'1 Reclamation and O&amp;M costs'!$Q$71:$Q$86)*(1+$H$8)</f>
        <v>0</v>
      </c>
      <c r="K86" s="17"/>
      <c r="L86" s="17">
        <f t="shared" si="10"/>
        <v>70</v>
      </c>
      <c r="M86" s="295">
        <f>SUMIF('1 Reclamation and O&amp;M costs'!$L$96:$L$113,'3 WM cash flow'!L86,'1 Reclamation and O&amp;M costs'!P$113:$P164)*(1+$H$7)</f>
        <v>0</v>
      </c>
      <c r="N86" s="296">
        <f>SUMIF('1 Reclamation and O&amp;M costs'!$K$96:$K$113,'3 WM cash flow'!L86,'1 Reclamation and O&amp;M costs'!$T$96:$T$113)*(1+$H$7)</f>
        <v>0</v>
      </c>
      <c r="O86" s="295">
        <f>SUMIF('1 Reclamation and O&amp;M costs'!$K$96:$K$113,"&gt;="&amp;B86,'1 Reclamation and O&amp;M costs'!$R$96:$R$113)*(1+$H$8)</f>
        <v>0</v>
      </c>
      <c r="P86" s="296"/>
      <c r="Q86" s="17">
        <f t="shared" si="11"/>
        <v>70</v>
      </c>
      <c r="R86" s="295">
        <f>SUMIF('1 Reclamation and O&amp;M costs'!$H$123:$H$133,'3 WM cash flow'!Q86,'1 Reclamation and O&amp;M costs'!$Q$123:$Q$133)*(1+$H$7)</f>
        <v>0</v>
      </c>
      <c r="S86" s="296">
        <f>SUMIF('1 Reclamation and O&amp;M costs'!$H$123:$H$133,"&gt;="&amp;Q86,'1 Reclamation and O&amp;M costs'!$O$123:$O$133)*(1+$H$8)</f>
        <v>0</v>
      </c>
      <c r="T86" s="25"/>
      <c r="U86" s="17">
        <f t="shared" si="12"/>
        <v>70</v>
      </c>
      <c r="V86" s="295">
        <f>(IF(U86&lt;('1 Reclamation and O&amp;M costs'!$O$24-'1 Reclamation and O&amp;M costs'!$O$23),'2 Sampling Cost'!$O$13,IF(U86&lt;'1 Reclamation and O&amp;M costs'!$O$25,'2 Sampling Cost'!$O$14,'2 Sampling Cost'!$O$15)))*(1+$H$9)</f>
        <v>2380</v>
      </c>
      <c r="W86" s="296"/>
      <c r="X86" s="295">
        <f t="shared" si="13"/>
        <v>2380</v>
      </c>
      <c r="Y86" s="296"/>
      <c r="Z86" s="25"/>
    </row>
    <row r="87" spans="2:26" ht="15.75">
      <c r="B87" s="17">
        <f t="shared" si="8"/>
        <v>71</v>
      </c>
      <c r="C87" s="295">
        <f>SUMIF('1 Reclamation and O&amp;M costs'!$N$29:$N$38,B87,'1 Reclamation and O&amp;M costs'!$P$29:$P$38)*($H$7+1)</f>
        <v>0</v>
      </c>
      <c r="D87" s="296">
        <f>SUMIF('1 Reclamation and O&amp;M costs'!$M$29:$M$38,"&gt;="&amp;B87,'1 Reclamation and O&amp;M costs'!$R$29:$R$38)*($H$8+1)</f>
        <v>0</v>
      </c>
      <c r="E87" s="17"/>
      <c r="F87" s="17">
        <f t="shared" si="9"/>
        <v>71</v>
      </c>
      <c r="G87" s="295">
        <f>SUMIF('1 Reclamation and O&amp;M costs'!$J$46:$J$61,'3 WM cash flow'!F87,'1 Reclamation and O&amp;M costs'!$P$71:$P$86)*(1+$H$7)</f>
        <v>0</v>
      </c>
      <c r="H87" s="296">
        <f>SUMIF('1 Reclamation and O&amp;M costs'!$I$46:$I$61,'3 WM cash flow'!F87,'1 Reclamation and O&amp;M costs'!$S$71:$S$86)*(1+$H$7)</f>
        <v>0</v>
      </c>
      <c r="I87" s="295">
        <f>(IF('3 WM cash flow'!F87&lt;=('1 Reclamation and O&amp;M costs'!$O$24-'1 Reclamation and O&amp;M costs'!$O$23),0,SUMIF('1 Reclamation and O&amp;M costs'!$I$46:$I$61,"&gt;="&amp;'3 WM cash flow'!F87,'1 Reclamation and O&amp;M costs'!$N$71:$N$86))+IF('3 WM cash flow'!F87&lt;=('1 Reclamation and O&amp;M costs'!$O$24-'1 Reclamation and O&amp;M costs'!$O$23),'1 Reclamation and O&amp;M costs'!$I$90,0))*(1+$H$9)</f>
        <v>0</v>
      </c>
      <c r="J87" s="296">
        <f>SUMIF('1 Reclamation and O&amp;M costs'!$I$46:$I$61,"&gt;="&amp;F87,'1 Reclamation and O&amp;M costs'!$Q$71:$Q$86)*(1+$H$8)</f>
        <v>0</v>
      </c>
      <c r="K87" s="17"/>
      <c r="L87" s="17">
        <f t="shared" si="10"/>
        <v>71</v>
      </c>
      <c r="M87" s="295">
        <f>SUMIF('1 Reclamation and O&amp;M costs'!$L$96:$L$113,'3 WM cash flow'!L87,'1 Reclamation and O&amp;M costs'!P$113:$P165)*(1+$H$7)</f>
        <v>0</v>
      </c>
      <c r="N87" s="296">
        <f>SUMIF('1 Reclamation and O&amp;M costs'!$K$96:$K$113,'3 WM cash flow'!L87,'1 Reclamation and O&amp;M costs'!$T$96:$T$113)*(1+$H$7)</f>
        <v>0</v>
      </c>
      <c r="O87" s="295">
        <f>SUMIF('1 Reclamation and O&amp;M costs'!$K$96:$K$113,"&gt;="&amp;B87,'1 Reclamation and O&amp;M costs'!$R$96:$R$113)*(1+$H$8)</f>
        <v>0</v>
      </c>
      <c r="P87" s="296"/>
      <c r="Q87" s="17">
        <f t="shared" si="11"/>
        <v>71</v>
      </c>
      <c r="R87" s="295">
        <f>SUMIF('1 Reclamation and O&amp;M costs'!$H$123:$H$133,'3 WM cash flow'!Q87,'1 Reclamation and O&amp;M costs'!$Q$123:$Q$133)*(1+$H$7)</f>
        <v>0</v>
      </c>
      <c r="S87" s="296">
        <f>SUMIF('1 Reclamation and O&amp;M costs'!$H$123:$H$133,"&gt;="&amp;Q87,'1 Reclamation and O&amp;M costs'!$O$123:$O$133)*(1+$H$8)</f>
        <v>0</v>
      </c>
      <c r="T87" s="25"/>
      <c r="U87" s="17">
        <f t="shared" si="12"/>
        <v>71</v>
      </c>
      <c r="V87" s="295">
        <f>(IF(U87&lt;('1 Reclamation and O&amp;M costs'!$O$24-'1 Reclamation and O&amp;M costs'!$O$23),'2 Sampling Cost'!$O$13,IF(U87&lt;'1 Reclamation and O&amp;M costs'!$O$25,'2 Sampling Cost'!$O$14,'2 Sampling Cost'!$O$15)))*(1+$H$9)</f>
        <v>2380</v>
      </c>
      <c r="W87" s="296"/>
      <c r="X87" s="295">
        <f t="shared" si="13"/>
        <v>2380</v>
      </c>
      <c r="Y87" s="296"/>
      <c r="Z87" s="25"/>
    </row>
    <row r="88" spans="2:26" ht="15.75">
      <c r="B88" s="17">
        <f t="shared" si="8"/>
        <v>72</v>
      </c>
      <c r="C88" s="295">
        <f>SUMIF('1 Reclamation and O&amp;M costs'!$N$29:$N$38,B88,'1 Reclamation and O&amp;M costs'!$P$29:$P$38)*($H$7+1)</f>
        <v>0</v>
      </c>
      <c r="D88" s="296">
        <f>SUMIF('1 Reclamation and O&amp;M costs'!$M$29:$M$38,"&gt;="&amp;B88,'1 Reclamation and O&amp;M costs'!$R$29:$R$38)*($H$8+1)</f>
        <v>0</v>
      </c>
      <c r="E88" s="17"/>
      <c r="F88" s="17">
        <f t="shared" si="9"/>
        <v>72</v>
      </c>
      <c r="G88" s="295">
        <f>SUMIF('1 Reclamation and O&amp;M costs'!$J$46:$J$61,'3 WM cash flow'!F88,'1 Reclamation and O&amp;M costs'!$P$71:$P$86)*(1+$H$7)</f>
        <v>0</v>
      </c>
      <c r="H88" s="296">
        <f>SUMIF('1 Reclamation and O&amp;M costs'!$I$46:$I$61,'3 WM cash flow'!F88,'1 Reclamation and O&amp;M costs'!$S$71:$S$86)*(1+$H$7)</f>
        <v>0</v>
      </c>
      <c r="I88" s="295">
        <f>(IF('3 WM cash flow'!F88&lt;=('1 Reclamation and O&amp;M costs'!$O$24-'1 Reclamation and O&amp;M costs'!$O$23),0,SUMIF('1 Reclamation and O&amp;M costs'!$I$46:$I$61,"&gt;="&amp;'3 WM cash flow'!F88,'1 Reclamation and O&amp;M costs'!$N$71:$N$86))+IF('3 WM cash flow'!F88&lt;=('1 Reclamation and O&amp;M costs'!$O$24-'1 Reclamation and O&amp;M costs'!$O$23),'1 Reclamation and O&amp;M costs'!$I$90,0))*(1+$H$9)</f>
        <v>0</v>
      </c>
      <c r="J88" s="296">
        <f>SUMIF('1 Reclamation and O&amp;M costs'!$I$46:$I$61,"&gt;="&amp;F88,'1 Reclamation and O&amp;M costs'!$Q$71:$Q$86)*(1+$H$8)</f>
        <v>0</v>
      </c>
      <c r="K88" s="17"/>
      <c r="L88" s="17">
        <f t="shared" si="10"/>
        <v>72</v>
      </c>
      <c r="M88" s="295">
        <f>SUMIF('1 Reclamation and O&amp;M costs'!$L$96:$L$113,'3 WM cash flow'!L88,'1 Reclamation and O&amp;M costs'!P$113:$P166)*(1+$H$7)</f>
        <v>0</v>
      </c>
      <c r="N88" s="296">
        <f>SUMIF('1 Reclamation and O&amp;M costs'!$K$96:$K$113,'3 WM cash flow'!L88,'1 Reclamation and O&amp;M costs'!$T$96:$T$113)*(1+$H$7)</f>
        <v>0</v>
      </c>
      <c r="O88" s="295">
        <f>SUMIF('1 Reclamation and O&amp;M costs'!$K$96:$K$113,"&gt;="&amp;B88,'1 Reclamation and O&amp;M costs'!$R$96:$R$113)*(1+$H$8)</f>
        <v>0</v>
      </c>
      <c r="P88" s="296"/>
      <c r="Q88" s="17">
        <f t="shared" si="11"/>
        <v>72</v>
      </c>
      <c r="R88" s="295">
        <f>SUMIF('1 Reclamation and O&amp;M costs'!$H$123:$H$133,'3 WM cash flow'!Q88,'1 Reclamation and O&amp;M costs'!$Q$123:$Q$133)*(1+$H$7)</f>
        <v>0</v>
      </c>
      <c r="S88" s="296">
        <f>SUMIF('1 Reclamation and O&amp;M costs'!$H$123:$H$133,"&gt;="&amp;Q88,'1 Reclamation and O&amp;M costs'!$O$123:$O$133)*(1+$H$8)</f>
        <v>0</v>
      </c>
      <c r="T88" s="25"/>
      <c r="U88" s="17">
        <f t="shared" si="12"/>
        <v>72</v>
      </c>
      <c r="V88" s="295">
        <f>(IF(U88&lt;('1 Reclamation and O&amp;M costs'!$O$24-'1 Reclamation and O&amp;M costs'!$O$23),'2 Sampling Cost'!$O$13,IF(U88&lt;'1 Reclamation and O&amp;M costs'!$O$25,'2 Sampling Cost'!$O$14,'2 Sampling Cost'!$O$15)))*(1+$H$9)</f>
        <v>2380</v>
      </c>
      <c r="W88" s="296"/>
      <c r="X88" s="295">
        <f t="shared" si="13"/>
        <v>2380</v>
      </c>
      <c r="Y88" s="296"/>
      <c r="Z88" s="25"/>
    </row>
    <row r="89" spans="2:26" ht="15.75">
      <c r="B89" s="17">
        <f t="shared" si="8"/>
        <v>73</v>
      </c>
      <c r="C89" s="295">
        <f>SUMIF('1 Reclamation and O&amp;M costs'!$N$29:$N$38,B89,'1 Reclamation and O&amp;M costs'!$P$29:$P$38)*($H$7+1)</f>
        <v>0</v>
      </c>
      <c r="D89" s="296">
        <f>SUMIF('1 Reclamation and O&amp;M costs'!$M$29:$M$38,"&gt;="&amp;B89,'1 Reclamation and O&amp;M costs'!$R$29:$R$38)*($H$8+1)</f>
        <v>0</v>
      </c>
      <c r="E89" s="17"/>
      <c r="F89" s="17">
        <f t="shared" si="9"/>
        <v>73</v>
      </c>
      <c r="G89" s="295">
        <f>SUMIF('1 Reclamation and O&amp;M costs'!$J$46:$J$61,'3 WM cash flow'!F89,'1 Reclamation and O&amp;M costs'!$P$71:$P$86)*(1+$H$7)</f>
        <v>0</v>
      </c>
      <c r="H89" s="296">
        <f>SUMIF('1 Reclamation and O&amp;M costs'!$I$46:$I$61,'3 WM cash flow'!F89,'1 Reclamation and O&amp;M costs'!$S$71:$S$86)*(1+$H$7)</f>
        <v>0</v>
      </c>
      <c r="I89" s="295">
        <f>(IF('3 WM cash flow'!F89&lt;=('1 Reclamation and O&amp;M costs'!$O$24-'1 Reclamation and O&amp;M costs'!$O$23),0,SUMIF('1 Reclamation and O&amp;M costs'!$I$46:$I$61,"&gt;="&amp;'3 WM cash flow'!F89,'1 Reclamation and O&amp;M costs'!$N$71:$N$86))+IF('3 WM cash flow'!F89&lt;=('1 Reclamation and O&amp;M costs'!$O$24-'1 Reclamation and O&amp;M costs'!$O$23),'1 Reclamation and O&amp;M costs'!$I$90,0))*(1+$H$9)</f>
        <v>0</v>
      </c>
      <c r="J89" s="296">
        <f>SUMIF('1 Reclamation and O&amp;M costs'!$I$46:$I$61,"&gt;="&amp;F89,'1 Reclamation and O&amp;M costs'!$Q$71:$Q$86)*(1+$H$8)</f>
        <v>0</v>
      </c>
      <c r="K89" s="17"/>
      <c r="L89" s="17">
        <f t="shared" si="10"/>
        <v>73</v>
      </c>
      <c r="M89" s="295">
        <f>SUMIF('1 Reclamation and O&amp;M costs'!$L$96:$L$113,'3 WM cash flow'!L89,'1 Reclamation and O&amp;M costs'!P$113:$P167)*(1+$H$7)</f>
        <v>0</v>
      </c>
      <c r="N89" s="296">
        <f>SUMIF('1 Reclamation and O&amp;M costs'!$K$96:$K$113,'3 WM cash flow'!L89,'1 Reclamation and O&amp;M costs'!$T$96:$T$113)*(1+$H$7)</f>
        <v>0</v>
      </c>
      <c r="O89" s="295">
        <f>SUMIF('1 Reclamation and O&amp;M costs'!$K$96:$K$113,"&gt;="&amp;B89,'1 Reclamation and O&amp;M costs'!$R$96:$R$113)*(1+$H$8)</f>
        <v>0</v>
      </c>
      <c r="P89" s="296"/>
      <c r="Q89" s="17">
        <f t="shared" si="11"/>
        <v>73</v>
      </c>
      <c r="R89" s="295">
        <f>SUMIF('1 Reclamation and O&amp;M costs'!$H$123:$H$133,'3 WM cash flow'!Q89,'1 Reclamation and O&amp;M costs'!$Q$123:$Q$133)*(1+$H$7)</f>
        <v>0</v>
      </c>
      <c r="S89" s="296">
        <f>SUMIF('1 Reclamation and O&amp;M costs'!$H$123:$H$133,"&gt;="&amp;Q89,'1 Reclamation and O&amp;M costs'!$O$123:$O$133)*(1+$H$8)</f>
        <v>0</v>
      </c>
      <c r="T89" s="25"/>
      <c r="U89" s="17">
        <f t="shared" si="12"/>
        <v>73</v>
      </c>
      <c r="V89" s="295">
        <f>(IF(U89&lt;('1 Reclamation and O&amp;M costs'!$O$24-'1 Reclamation and O&amp;M costs'!$O$23),'2 Sampling Cost'!$O$13,IF(U89&lt;'1 Reclamation and O&amp;M costs'!$O$25,'2 Sampling Cost'!$O$14,'2 Sampling Cost'!$O$15)))*(1+$H$9)</f>
        <v>2380</v>
      </c>
      <c r="W89" s="296"/>
      <c r="X89" s="295">
        <f t="shared" si="13"/>
        <v>2380</v>
      </c>
      <c r="Y89" s="296"/>
      <c r="Z89" s="25"/>
    </row>
    <row r="90" spans="2:26" ht="15.75">
      <c r="B90" s="17">
        <f t="shared" si="8"/>
        <v>74</v>
      </c>
      <c r="C90" s="295">
        <f>SUMIF('1 Reclamation and O&amp;M costs'!$N$29:$N$38,B90,'1 Reclamation and O&amp;M costs'!$P$29:$P$38)*($H$7+1)</f>
        <v>0</v>
      </c>
      <c r="D90" s="296">
        <f>SUMIF('1 Reclamation and O&amp;M costs'!$M$29:$M$38,"&gt;="&amp;B90,'1 Reclamation and O&amp;M costs'!$R$29:$R$38)*($H$8+1)</f>
        <v>0</v>
      </c>
      <c r="E90" s="17"/>
      <c r="F90" s="17">
        <f t="shared" si="9"/>
        <v>74</v>
      </c>
      <c r="G90" s="295">
        <f>SUMIF('1 Reclamation and O&amp;M costs'!$J$46:$J$61,'3 WM cash flow'!F90,'1 Reclamation and O&amp;M costs'!$P$71:$P$86)*(1+$H$7)</f>
        <v>0</v>
      </c>
      <c r="H90" s="296">
        <f>SUMIF('1 Reclamation and O&amp;M costs'!$I$46:$I$61,'3 WM cash flow'!F90,'1 Reclamation and O&amp;M costs'!$S$71:$S$86)*(1+$H$7)</f>
        <v>0</v>
      </c>
      <c r="I90" s="295">
        <f>(IF('3 WM cash flow'!F90&lt;=('1 Reclamation and O&amp;M costs'!$O$24-'1 Reclamation and O&amp;M costs'!$O$23),0,SUMIF('1 Reclamation and O&amp;M costs'!$I$46:$I$61,"&gt;="&amp;'3 WM cash flow'!F90,'1 Reclamation and O&amp;M costs'!$N$71:$N$86))+IF('3 WM cash flow'!F90&lt;=('1 Reclamation and O&amp;M costs'!$O$24-'1 Reclamation and O&amp;M costs'!$O$23),'1 Reclamation and O&amp;M costs'!$I$90,0))*(1+$H$9)</f>
        <v>0</v>
      </c>
      <c r="J90" s="296">
        <f>SUMIF('1 Reclamation and O&amp;M costs'!$I$46:$I$61,"&gt;="&amp;F90,'1 Reclamation and O&amp;M costs'!$Q$71:$Q$86)*(1+$H$8)</f>
        <v>0</v>
      </c>
      <c r="K90" s="17"/>
      <c r="L90" s="17">
        <f t="shared" si="10"/>
        <v>74</v>
      </c>
      <c r="M90" s="295">
        <f>SUMIF('1 Reclamation and O&amp;M costs'!$L$96:$L$113,'3 WM cash flow'!L90,'1 Reclamation and O&amp;M costs'!P$113:$P168)*(1+$H$7)</f>
        <v>0</v>
      </c>
      <c r="N90" s="296">
        <f>SUMIF('1 Reclamation and O&amp;M costs'!$K$96:$K$113,'3 WM cash flow'!L90,'1 Reclamation and O&amp;M costs'!$T$96:$T$113)*(1+$H$7)</f>
        <v>0</v>
      </c>
      <c r="O90" s="295">
        <f>SUMIF('1 Reclamation and O&amp;M costs'!$K$96:$K$113,"&gt;="&amp;B90,'1 Reclamation and O&amp;M costs'!$R$96:$R$113)*(1+$H$8)</f>
        <v>0</v>
      </c>
      <c r="P90" s="296"/>
      <c r="Q90" s="17">
        <f t="shared" si="11"/>
        <v>74</v>
      </c>
      <c r="R90" s="295">
        <f>SUMIF('1 Reclamation and O&amp;M costs'!$H$123:$H$133,'3 WM cash flow'!Q90,'1 Reclamation and O&amp;M costs'!$Q$123:$Q$133)*(1+$H$7)</f>
        <v>0</v>
      </c>
      <c r="S90" s="296">
        <f>SUMIF('1 Reclamation and O&amp;M costs'!$H$123:$H$133,"&gt;="&amp;Q90,'1 Reclamation and O&amp;M costs'!$O$123:$O$133)*(1+$H$8)</f>
        <v>0</v>
      </c>
      <c r="T90" s="25"/>
      <c r="U90" s="17">
        <f t="shared" si="12"/>
        <v>74</v>
      </c>
      <c r="V90" s="295">
        <f>(IF(U90&lt;('1 Reclamation and O&amp;M costs'!$O$24-'1 Reclamation and O&amp;M costs'!$O$23),'2 Sampling Cost'!$O$13,IF(U90&lt;'1 Reclamation and O&amp;M costs'!$O$25,'2 Sampling Cost'!$O$14,'2 Sampling Cost'!$O$15)))*(1+$H$9)</f>
        <v>2380</v>
      </c>
      <c r="W90" s="296"/>
      <c r="X90" s="295">
        <f t="shared" si="13"/>
        <v>2380</v>
      </c>
      <c r="Y90" s="296"/>
      <c r="Z90" s="25"/>
    </row>
    <row r="91" spans="2:26" ht="15.75">
      <c r="B91" s="17">
        <f t="shared" si="8"/>
        <v>75</v>
      </c>
      <c r="C91" s="295">
        <f>SUMIF('1 Reclamation and O&amp;M costs'!$N$29:$N$38,B91,'1 Reclamation and O&amp;M costs'!$P$29:$P$38)*($H$7+1)</f>
        <v>0</v>
      </c>
      <c r="D91" s="296">
        <f>SUMIF('1 Reclamation and O&amp;M costs'!$M$29:$M$38,"&gt;="&amp;B91,'1 Reclamation and O&amp;M costs'!$R$29:$R$38)*($H$8+1)</f>
        <v>0</v>
      </c>
      <c r="E91" s="17"/>
      <c r="F91" s="17">
        <f t="shared" si="9"/>
        <v>75</v>
      </c>
      <c r="G91" s="295">
        <f>SUMIF('1 Reclamation and O&amp;M costs'!$J$46:$J$61,'3 WM cash flow'!F91,'1 Reclamation and O&amp;M costs'!$P$71:$P$86)*(1+$H$7)</f>
        <v>0</v>
      </c>
      <c r="H91" s="296">
        <f>SUMIF('1 Reclamation and O&amp;M costs'!$I$46:$I$61,'3 WM cash flow'!F91,'1 Reclamation and O&amp;M costs'!$S$71:$S$86)*(1+$H$7)</f>
        <v>0</v>
      </c>
      <c r="I91" s="295">
        <f>(IF('3 WM cash flow'!F91&lt;=('1 Reclamation and O&amp;M costs'!$O$24-'1 Reclamation and O&amp;M costs'!$O$23),0,SUMIF('1 Reclamation and O&amp;M costs'!$I$46:$I$61,"&gt;="&amp;'3 WM cash flow'!F91,'1 Reclamation and O&amp;M costs'!$N$71:$N$86))+IF('3 WM cash flow'!F91&lt;=('1 Reclamation and O&amp;M costs'!$O$24-'1 Reclamation and O&amp;M costs'!$O$23),'1 Reclamation and O&amp;M costs'!$I$90,0))*(1+$H$9)</f>
        <v>0</v>
      </c>
      <c r="J91" s="296">
        <f>SUMIF('1 Reclamation and O&amp;M costs'!$I$46:$I$61,"&gt;="&amp;F91,'1 Reclamation and O&amp;M costs'!$Q$71:$Q$86)*(1+$H$8)</f>
        <v>0</v>
      </c>
      <c r="K91" s="17"/>
      <c r="L91" s="17">
        <f t="shared" si="10"/>
        <v>75</v>
      </c>
      <c r="M91" s="295">
        <f>SUMIF('1 Reclamation and O&amp;M costs'!$L$96:$L$113,'3 WM cash flow'!L91,'1 Reclamation and O&amp;M costs'!P$113:$P169)*(1+$H$7)</f>
        <v>0</v>
      </c>
      <c r="N91" s="296">
        <f>SUMIF('1 Reclamation and O&amp;M costs'!$K$96:$K$113,'3 WM cash flow'!L91,'1 Reclamation and O&amp;M costs'!$T$96:$T$113)*(1+$H$7)</f>
        <v>0</v>
      </c>
      <c r="O91" s="295">
        <f>SUMIF('1 Reclamation and O&amp;M costs'!$K$96:$K$113,"&gt;="&amp;B91,'1 Reclamation and O&amp;M costs'!$R$96:$R$113)*(1+$H$8)</f>
        <v>0</v>
      </c>
      <c r="P91" s="296"/>
      <c r="Q91" s="17">
        <f t="shared" si="11"/>
        <v>75</v>
      </c>
      <c r="R91" s="295">
        <f>SUMIF('1 Reclamation and O&amp;M costs'!$H$123:$H$133,'3 WM cash flow'!Q91,'1 Reclamation and O&amp;M costs'!$Q$123:$Q$133)*(1+$H$7)</f>
        <v>0</v>
      </c>
      <c r="S91" s="296">
        <f>SUMIF('1 Reclamation and O&amp;M costs'!$H$123:$H$133,"&gt;="&amp;Q91,'1 Reclamation and O&amp;M costs'!$O$123:$O$133)*(1+$H$8)</f>
        <v>0</v>
      </c>
      <c r="T91" s="25"/>
      <c r="U91" s="17">
        <f t="shared" si="12"/>
        <v>75</v>
      </c>
      <c r="V91" s="295">
        <f>(IF(U91&lt;('1 Reclamation and O&amp;M costs'!$O$24-'1 Reclamation and O&amp;M costs'!$O$23),'2 Sampling Cost'!$O$13,IF(U91&lt;'1 Reclamation and O&amp;M costs'!$O$25,'2 Sampling Cost'!$O$14,'2 Sampling Cost'!$O$15)))*(1+$H$9)</f>
        <v>2380</v>
      </c>
      <c r="W91" s="296"/>
      <c r="X91" s="295">
        <f t="shared" si="13"/>
        <v>2380</v>
      </c>
      <c r="Y91" s="296"/>
      <c r="Z91" s="25"/>
    </row>
    <row r="92" spans="2:26" ht="15.75">
      <c r="B92" s="17">
        <f t="shared" si="8"/>
        <v>76</v>
      </c>
      <c r="C92" s="295">
        <f>SUMIF('1 Reclamation and O&amp;M costs'!$N$29:$N$38,B92,'1 Reclamation and O&amp;M costs'!$P$29:$P$38)*($H$7+1)</f>
        <v>0</v>
      </c>
      <c r="D92" s="296">
        <f>SUMIF('1 Reclamation and O&amp;M costs'!$M$29:$M$38,"&gt;="&amp;B92,'1 Reclamation and O&amp;M costs'!$R$29:$R$38)*($H$8+1)</f>
        <v>0</v>
      </c>
      <c r="E92" s="17"/>
      <c r="F92" s="17">
        <f t="shared" si="9"/>
        <v>76</v>
      </c>
      <c r="G92" s="295">
        <f>SUMIF('1 Reclamation and O&amp;M costs'!$J$46:$J$61,'3 WM cash flow'!F92,'1 Reclamation and O&amp;M costs'!$P$71:$P$86)*(1+$H$7)</f>
        <v>0</v>
      </c>
      <c r="H92" s="296">
        <f>SUMIF('1 Reclamation and O&amp;M costs'!$I$46:$I$61,'3 WM cash flow'!F92,'1 Reclamation and O&amp;M costs'!$S$71:$S$86)*(1+$H$7)</f>
        <v>0</v>
      </c>
      <c r="I92" s="295">
        <f>(IF('3 WM cash flow'!F92&lt;=('1 Reclamation and O&amp;M costs'!$O$24-'1 Reclamation and O&amp;M costs'!$O$23),0,SUMIF('1 Reclamation and O&amp;M costs'!$I$46:$I$61,"&gt;="&amp;'3 WM cash flow'!F92,'1 Reclamation and O&amp;M costs'!$N$71:$N$86))+IF('3 WM cash flow'!F92&lt;=('1 Reclamation and O&amp;M costs'!$O$24-'1 Reclamation and O&amp;M costs'!$O$23),'1 Reclamation and O&amp;M costs'!$I$90,0))*(1+$H$9)</f>
        <v>0</v>
      </c>
      <c r="J92" s="296">
        <f>SUMIF('1 Reclamation and O&amp;M costs'!$I$46:$I$61,"&gt;="&amp;F92,'1 Reclamation and O&amp;M costs'!$Q$71:$Q$86)*(1+$H$8)</f>
        <v>0</v>
      </c>
      <c r="K92" s="17"/>
      <c r="L92" s="17">
        <f t="shared" si="10"/>
        <v>76</v>
      </c>
      <c r="M92" s="295">
        <f>SUMIF('1 Reclamation and O&amp;M costs'!$L$96:$L$113,'3 WM cash flow'!L92,'1 Reclamation and O&amp;M costs'!P$113:$P170)*(1+$H$7)</f>
        <v>0</v>
      </c>
      <c r="N92" s="296">
        <f>SUMIF('1 Reclamation and O&amp;M costs'!$K$96:$K$113,'3 WM cash flow'!L92,'1 Reclamation and O&amp;M costs'!$T$96:$T$113)*(1+$H$7)</f>
        <v>0</v>
      </c>
      <c r="O92" s="295">
        <f>SUMIF('1 Reclamation and O&amp;M costs'!$K$96:$K$113,"&gt;="&amp;B92,'1 Reclamation and O&amp;M costs'!$R$96:$R$113)*(1+$H$8)</f>
        <v>0</v>
      </c>
      <c r="P92" s="296"/>
      <c r="Q92" s="17">
        <f t="shared" si="11"/>
        <v>76</v>
      </c>
      <c r="R92" s="295">
        <f>SUMIF('1 Reclamation and O&amp;M costs'!$H$123:$H$133,'3 WM cash flow'!Q92,'1 Reclamation and O&amp;M costs'!$Q$123:$Q$133)*(1+$H$7)</f>
        <v>0</v>
      </c>
      <c r="S92" s="296">
        <f>SUMIF('1 Reclamation and O&amp;M costs'!$H$123:$H$133,"&gt;="&amp;Q92,'1 Reclamation and O&amp;M costs'!$O$123:$O$133)*(1+$H$8)</f>
        <v>0</v>
      </c>
      <c r="T92" s="25"/>
      <c r="U92" s="17">
        <f t="shared" si="12"/>
        <v>76</v>
      </c>
      <c r="V92" s="295">
        <f>(IF(U92&lt;('1 Reclamation and O&amp;M costs'!$O$24-'1 Reclamation and O&amp;M costs'!$O$23),'2 Sampling Cost'!$O$13,IF(U92&lt;'1 Reclamation and O&amp;M costs'!$O$25,'2 Sampling Cost'!$O$14,'2 Sampling Cost'!$O$15)))*(1+$H$9)</f>
        <v>2380</v>
      </c>
      <c r="W92" s="296"/>
      <c r="X92" s="295">
        <f t="shared" si="13"/>
        <v>2380</v>
      </c>
      <c r="Y92" s="296"/>
      <c r="Z92" s="25"/>
    </row>
    <row r="93" spans="2:26" ht="15.75">
      <c r="B93" s="17">
        <f t="shared" si="8"/>
        <v>77</v>
      </c>
      <c r="C93" s="295">
        <f>SUMIF('1 Reclamation and O&amp;M costs'!$N$29:$N$38,B93,'1 Reclamation and O&amp;M costs'!$P$29:$P$38)*($H$7+1)</f>
        <v>0</v>
      </c>
      <c r="D93" s="296">
        <f>SUMIF('1 Reclamation and O&amp;M costs'!$M$29:$M$38,"&gt;="&amp;B93,'1 Reclamation and O&amp;M costs'!$R$29:$R$38)*($H$8+1)</f>
        <v>0</v>
      </c>
      <c r="E93" s="17"/>
      <c r="F93" s="17">
        <f t="shared" si="9"/>
        <v>77</v>
      </c>
      <c r="G93" s="295">
        <f>SUMIF('1 Reclamation and O&amp;M costs'!$J$46:$J$61,'3 WM cash flow'!F93,'1 Reclamation and O&amp;M costs'!$P$71:$P$86)*(1+$H$7)</f>
        <v>0</v>
      </c>
      <c r="H93" s="296">
        <f>SUMIF('1 Reclamation and O&amp;M costs'!$I$46:$I$61,'3 WM cash flow'!F93,'1 Reclamation and O&amp;M costs'!$S$71:$S$86)*(1+$H$7)</f>
        <v>0</v>
      </c>
      <c r="I93" s="295">
        <f>(IF('3 WM cash flow'!F93&lt;=('1 Reclamation and O&amp;M costs'!$O$24-'1 Reclamation and O&amp;M costs'!$O$23),0,SUMIF('1 Reclamation and O&amp;M costs'!$I$46:$I$61,"&gt;="&amp;'3 WM cash flow'!F93,'1 Reclamation and O&amp;M costs'!$N$71:$N$86))+IF('3 WM cash flow'!F93&lt;=('1 Reclamation and O&amp;M costs'!$O$24-'1 Reclamation and O&amp;M costs'!$O$23),'1 Reclamation and O&amp;M costs'!$I$90,0))*(1+$H$9)</f>
        <v>0</v>
      </c>
      <c r="J93" s="296">
        <f>SUMIF('1 Reclamation and O&amp;M costs'!$I$46:$I$61,"&gt;="&amp;F93,'1 Reclamation and O&amp;M costs'!$Q$71:$Q$86)*(1+$H$8)</f>
        <v>0</v>
      </c>
      <c r="K93" s="17"/>
      <c r="L93" s="17">
        <f t="shared" si="10"/>
        <v>77</v>
      </c>
      <c r="M93" s="295">
        <f>SUMIF('1 Reclamation and O&amp;M costs'!$L$96:$L$113,'3 WM cash flow'!L93,'1 Reclamation and O&amp;M costs'!P$113:$P171)*(1+$H$7)</f>
        <v>0</v>
      </c>
      <c r="N93" s="296">
        <f>SUMIF('1 Reclamation and O&amp;M costs'!$K$96:$K$113,'3 WM cash flow'!L93,'1 Reclamation and O&amp;M costs'!$T$96:$T$113)*(1+$H$7)</f>
        <v>0</v>
      </c>
      <c r="O93" s="295">
        <f>SUMIF('1 Reclamation and O&amp;M costs'!$K$96:$K$113,"&gt;="&amp;B93,'1 Reclamation and O&amp;M costs'!$R$96:$R$113)*(1+$H$8)</f>
        <v>0</v>
      </c>
      <c r="P93" s="296"/>
      <c r="Q93" s="17">
        <f t="shared" si="11"/>
        <v>77</v>
      </c>
      <c r="R93" s="295">
        <f>SUMIF('1 Reclamation and O&amp;M costs'!$H$123:$H$133,'3 WM cash flow'!Q93,'1 Reclamation and O&amp;M costs'!$Q$123:$Q$133)*(1+$H$7)</f>
        <v>0</v>
      </c>
      <c r="S93" s="296">
        <f>SUMIF('1 Reclamation and O&amp;M costs'!$H$123:$H$133,"&gt;="&amp;Q93,'1 Reclamation and O&amp;M costs'!$O$123:$O$133)*(1+$H$8)</f>
        <v>0</v>
      </c>
      <c r="T93" s="25"/>
      <c r="U93" s="17">
        <f t="shared" si="12"/>
        <v>77</v>
      </c>
      <c r="V93" s="295">
        <f>(IF(U93&lt;('1 Reclamation and O&amp;M costs'!$O$24-'1 Reclamation and O&amp;M costs'!$O$23),'2 Sampling Cost'!$O$13,IF(U93&lt;'1 Reclamation and O&amp;M costs'!$O$25,'2 Sampling Cost'!$O$14,'2 Sampling Cost'!$O$15)))*(1+$H$9)</f>
        <v>2380</v>
      </c>
      <c r="W93" s="296"/>
      <c r="X93" s="295">
        <f t="shared" si="13"/>
        <v>2380</v>
      </c>
      <c r="Y93" s="296"/>
      <c r="Z93" s="25"/>
    </row>
    <row r="94" spans="2:26" ht="15.75">
      <c r="B94" s="17">
        <f t="shared" si="8"/>
        <v>78</v>
      </c>
      <c r="C94" s="295">
        <f>SUMIF('1 Reclamation and O&amp;M costs'!$N$29:$N$38,B94,'1 Reclamation and O&amp;M costs'!$P$29:$P$38)*($H$7+1)</f>
        <v>0</v>
      </c>
      <c r="D94" s="296">
        <f>SUMIF('1 Reclamation and O&amp;M costs'!$M$29:$M$38,"&gt;="&amp;B94,'1 Reclamation and O&amp;M costs'!$R$29:$R$38)*($H$8+1)</f>
        <v>0</v>
      </c>
      <c r="E94" s="17"/>
      <c r="F94" s="17">
        <f t="shared" si="9"/>
        <v>78</v>
      </c>
      <c r="G94" s="295">
        <f>SUMIF('1 Reclamation and O&amp;M costs'!$J$46:$J$61,'3 WM cash flow'!F94,'1 Reclamation and O&amp;M costs'!$P$71:$P$86)*(1+$H$7)</f>
        <v>0</v>
      </c>
      <c r="H94" s="296">
        <f>SUMIF('1 Reclamation and O&amp;M costs'!$I$46:$I$61,'3 WM cash flow'!F94,'1 Reclamation and O&amp;M costs'!$S$71:$S$86)*(1+$H$7)</f>
        <v>0</v>
      </c>
      <c r="I94" s="295">
        <f>(IF('3 WM cash flow'!F94&lt;=('1 Reclamation and O&amp;M costs'!$O$24-'1 Reclamation and O&amp;M costs'!$O$23),0,SUMIF('1 Reclamation and O&amp;M costs'!$I$46:$I$61,"&gt;="&amp;'3 WM cash flow'!F94,'1 Reclamation and O&amp;M costs'!$N$71:$N$86))+IF('3 WM cash flow'!F94&lt;=('1 Reclamation and O&amp;M costs'!$O$24-'1 Reclamation and O&amp;M costs'!$O$23),'1 Reclamation and O&amp;M costs'!$I$90,0))*(1+$H$9)</f>
        <v>0</v>
      </c>
      <c r="J94" s="296">
        <f>SUMIF('1 Reclamation and O&amp;M costs'!$I$46:$I$61,"&gt;="&amp;F94,'1 Reclamation and O&amp;M costs'!$Q$71:$Q$86)*(1+$H$8)</f>
        <v>0</v>
      </c>
      <c r="K94" s="17"/>
      <c r="L94" s="17">
        <f t="shared" si="10"/>
        <v>78</v>
      </c>
      <c r="M94" s="295">
        <f>SUMIF('1 Reclamation and O&amp;M costs'!$L$96:$L$113,'3 WM cash flow'!L94,'1 Reclamation and O&amp;M costs'!P$113:$P172)*(1+$H$7)</f>
        <v>0</v>
      </c>
      <c r="N94" s="296">
        <f>SUMIF('1 Reclamation and O&amp;M costs'!$K$96:$K$113,'3 WM cash flow'!L94,'1 Reclamation and O&amp;M costs'!$T$96:$T$113)*(1+$H$7)</f>
        <v>0</v>
      </c>
      <c r="O94" s="295">
        <f>SUMIF('1 Reclamation and O&amp;M costs'!$K$96:$K$113,"&gt;="&amp;B94,'1 Reclamation and O&amp;M costs'!$R$96:$R$113)*(1+$H$8)</f>
        <v>0</v>
      </c>
      <c r="P94" s="296"/>
      <c r="Q94" s="17">
        <f t="shared" si="11"/>
        <v>78</v>
      </c>
      <c r="R94" s="295">
        <f>SUMIF('1 Reclamation and O&amp;M costs'!$H$123:$H$133,'3 WM cash flow'!Q94,'1 Reclamation and O&amp;M costs'!$Q$123:$Q$133)*(1+$H$7)</f>
        <v>0</v>
      </c>
      <c r="S94" s="296">
        <f>SUMIF('1 Reclamation and O&amp;M costs'!$H$123:$H$133,"&gt;="&amp;Q94,'1 Reclamation and O&amp;M costs'!$O$123:$O$133)*(1+$H$8)</f>
        <v>0</v>
      </c>
      <c r="T94" s="25"/>
      <c r="U94" s="17">
        <f t="shared" si="12"/>
        <v>78</v>
      </c>
      <c r="V94" s="295">
        <f>(IF(U94&lt;('1 Reclamation and O&amp;M costs'!$O$24-'1 Reclamation and O&amp;M costs'!$O$23),'2 Sampling Cost'!$O$13,IF(U94&lt;'1 Reclamation and O&amp;M costs'!$O$25,'2 Sampling Cost'!$O$14,'2 Sampling Cost'!$O$15)))*(1+$H$9)</f>
        <v>2380</v>
      </c>
      <c r="W94" s="296"/>
      <c r="X94" s="295">
        <f t="shared" si="13"/>
        <v>2380</v>
      </c>
      <c r="Y94" s="296"/>
      <c r="Z94" s="25"/>
    </row>
    <row r="95" spans="2:26" ht="15.75">
      <c r="B95" s="17">
        <f t="shared" si="8"/>
        <v>79</v>
      </c>
      <c r="C95" s="295">
        <f>SUMIF('1 Reclamation and O&amp;M costs'!$N$29:$N$38,B95,'1 Reclamation and O&amp;M costs'!$P$29:$P$38)*($H$7+1)</f>
        <v>0</v>
      </c>
      <c r="D95" s="296">
        <f>SUMIF('1 Reclamation and O&amp;M costs'!$M$29:$M$38,"&gt;="&amp;B95,'1 Reclamation and O&amp;M costs'!$R$29:$R$38)*($H$8+1)</f>
        <v>0</v>
      </c>
      <c r="E95" s="17"/>
      <c r="F95" s="17">
        <f t="shared" si="9"/>
        <v>79</v>
      </c>
      <c r="G95" s="295">
        <f>SUMIF('1 Reclamation and O&amp;M costs'!$J$46:$J$61,'3 WM cash flow'!F95,'1 Reclamation and O&amp;M costs'!$P$71:$P$86)*(1+$H$7)</f>
        <v>0</v>
      </c>
      <c r="H95" s="296">
        <f>SUMIF('1 Reclamation and O&amp;M costs'!$I$46:$I$61,'3 WM cash flow'!F95,'1 Reclamation and O&amp;M costs'!$S$71:$S$86)*(1+$H$7)</f>
        <v>0</v>
      </c>
      <c r="I95" s="295">
        <f>(IF('3 WM cash flow'!F95&lt;=('1 Reclamation and O&amp;M costs'!$O$24-'1 Reclamation and O&amp;M costs'!$O$23),0,SUMIF('1 Reclamation and O&amp;M costs'!$I$46:$I$61,"&gt;="&amp;'3 WM cash flow'!F95,'1 Reclamation and O&amp;M costs'!$N$71:$N$86))+IF('3 WM cash flow'!F95&lt;=('1 Reclamation and O&amp;M costs'!$O$24-'1 Reclamation and O&amp;M costs'!$O$23),'1 Reclamation and O&amp;M costs'!$I$90,0))*(1+$H$9)</f>
        <v>0</v>
      </c>
      <c r="J95" s="296">
        <f>SUMIF('1 Reclamation and O&amp;M costs'!$I$46:$I$61,"&gt;="&amp;F95,'1 Reclamation and O&amp;M costs'!$Q$71:$Q$86)*(1+$H$8)</f>
        <v>0</v>
      </c>
      <c r="K95" s="17"/>
      <c r="L95" s="17">
        <f t="shared" si="10"/>
        <v>79</v>
      </c>
      <c r="M95" s="295">
        <f>SUMIF('1 Reclamation and O&amp;M costs'!$L$96:$L$113,'3 WM cash flow'!L95,'1 Reclamation and O&amp;M costs'!P$113:$P173)*(1+$H$7)</f>
        <v>0</v>
      </c>
      <c r="N95" s="296">
        <f>SUMIF('1 Reclamation and O&amp;M costs'!$K$96:$K$113,'3 WM cash flow'!L95,'1 Reclamation and O&amp;M costs'!$T$96:$T$113)*(1+$H$7)</f>
        <v>0</v>
      </c>
      <c r="O95" s="295">
        <f>SUMIF('1 Reclamation and O&amp;M costs'!$K$96:$K$113,"&gt;="&amp;B95,'1 Reclamation and O&amp;M costs'!$R$96:$R$113)*(1+$H$8)</f>
        <v>0</v>
      </c>
      <c r="P95" s="296"/>
      <c r="Q95" s="17">
        <f t="shared" si="11"/>
        <v>79</v>
      </c>
      <c r="R95" s="295">
        <f>SUMIF('1 Reclamation and O&amp;M costs'!$H$123:$H$133,'3 WM cash flow'!Q95,'1 Reclamation and O&amp;M costs'!$Q$123:$Q$133)*(1+$H$7)</f>
        <v>0</v>
      </c>
      <c r="S95" s="296">
        <f>SUMIF('1 Reclamation and O&amp;M costs'!$H$123:$H$133,"&gt;="&amp;Q95,'1 Reclamation and O&amp;M costs'!$O$123:$O$133)*(1+$H$8)</f>
        <v>0</v>
      </c>
      <c r="T95" s="25"/>
      <c r="U95" s="17">
        <f t="shared" si="12"/>
        <v>79</v>
      </c>
      <c r="V95" s="295">
        <f>(IF(U95&lt;('1 Reclamation and O&amp;M costs'!$O$24-'1 Reclamation and O&amp;M costs'!$O$23),'2 Sampling Cost'!$O$13,IF(U95&lt;'1 Reclamation and O&amp;M costs'!$O$25,'2 Sampling Cost'!$O$14,'2 Sampling Cost'!$O$15)))*(1+$H$9)</f>
        <v>2380</v>
      </c>
      <c r="W95" s="296"/>
      <c r="X95" s="295">
        <f t="shared" si="13"/>
        <v>2380</v>
      </c>
      <c r="Y95" s="296"/>
      <c r="Z95" s="25"/>
    </row>
    <row r="96" spans="2:26" ht="15.75">
      <c r="B96" s="17">
        <f t="shared" si="8"/>
        <v>80</v>
      </c>
      <c r="C96" s="295">
        <f>SUMIF('1 Reclamation and O&amp;M costs'!$N$29:$N$38,B96,'1 Reclamation and O&amp;M costs'!$P$29:$P$38)*($H$7+1)</f>
        <v>0</v>
      </c>
      <c r="D96" s="296">
        <f>SUMIF('1 Reclamation and O&amp;M costs'!$M$29:$M$38,"&gt;="&amp;B96,'1 Reclamation and O&amp;M costs'!$R$29:$R$38)*($H$8+1)</f>
        <v>0</v>
      </c>
      <c r="E96" s="17"/>
      <c r="F96" s="17">
        <f t="shared" si="9"/>
        <v>80</v>
      </c>
      <c r="G96" s="295">
        <f>SUMIF('1 Reclamation and O&amp;M costs'!$J$46:$J$61,'3 WM cash flow'!F96,'1 Reclamation and O&amp;M costs'!$P$71:$P$86)*(1+$H$7)</f>
        <v>0</v>
      </c>
      <c r="H96" s="296">
        <f>SUMIF('1 Reclamation and O&amp;M costs'!$I$46:$I$61,'3 WM cash flow'!F96,'1 Reclamation and O&amp;M costs'!$S$71:$S$86)*(1+$H$7)</f>
        <v>0</v>
      </c>
      <c r="I96" s="295">
        <f>(IF('3 WM cash flow'!F96&lt;=('1 Reclamation and O&amp;M costs'!$O$24-'1 Reclamation and O&amp;M costs'!$O$23),0,SUMIF('1 Reclamation and O&amp;M costs'!$I$46:$I$61,"&gt;="&amp;'3 WM cash flow'!F96,'1 Reclamation and O&amp;M costs'!$N$71:$N$86))+IF('3 WM cash flow'!F96&lt;=('1 Reclamation and O&amp;M costs'!$O$24-'1 Reclamation and O&amp;M costs'!$O$23),'1 Reclamation and O&amp;M costs'!$I$90,0))*(1+$H$9)</f>
        <v>0</v>
      </c>
      <c r="J96" s="296">
        <f>SUMIF('1 Reclamation and O&amp;M costs'!$I$46:$I$61,"&gt;="&amp;F96,'1 Reclamation and O&amp;M costs'!$Q$71:$Q$86)*(1+$H$8)</f>
        <v>0</v>
      </c>
      <c r="K96" s="17"/>
      <c r="L96" s="17">
        <f t="shared" si="10"/>
        <v>80</v>
      </c>
      <c r="M96" s="295">
        <f>SUMIF('1 Reclamation and O&amp;M costs'!$L$96:$L$113,'3 WM cash flow'!L96,'1 Reclamation and O&amp;M costs'!P$113:$P174)*(1+$H$7)</f>
        <v>0</v>
      </c>
      <c r="N96" s="296">
        <f>SUMIF('1 Reclamation and O&amp;M costs'!$K$96:$K$113,'3 WM cash flow'!L96,'1 Reclamation and O&amp;M costs'!$T$96:$T$113)*(1+$H$7)</f>
        <v>0</v>
      </c>
      <c r="O96" s="295">
        <f>SUMIF('1 Reclamation and O&amp;M costs'!$K$96:$K$113,"&gt;="&amp;B96,'1 Reclamation and O&amp;M costs'!$R$96:$R$113)*(1+$H$8)</f>
        <v>0</v>
      </c>
      <c r="P96" s="296"/>
      <c r="Q96" s="17">
        <f t="shared" si="11"/>
        <v>80</v>
      </c>
      <c r="R96" s="295">
        <f>SUMIF('1 Reclamation and O&amp;M costs'!$H$123:$H$133,'3 WM cash flow'!Q96,'1 Reclamation and O&amp;M costs'!$Q$123:$Q$133)*(1+$H$7)</f>
        <v>0</v>
      </c>
      <c r="S96" s="296">
        <f>SUMIF('1 Reclamation and O&amp;M costs'!$H$123:$H$133,"&gt;="&amp;Q96,'1 Reclamation and O&amp;M costs'!$O$123:$O$133)*(1+$H$8)</f>
        <v>0</v>
      </c>
      <c r="T96" s="25"/>
      <c r="U96" s="17">
        <f t="shared" si="12"/>
        <v>80</v>
      </c>
      <c r="V96" s="295">
        <f>(IF(U96&lt;('1 Reclamation and O&amp;M costs'!$O$24-'1 Reclamation and O&amp;M costs'!$O$23),'2 Sampling Cost'!$O$13,IF(U96&lt;'1 Reclamation and O&amp;M costs'!$O$25,'2 Sampling Cost'!$O$14,'2 Sampling Cost'!$O$15)))*(1+$H$9)</f>
        <v>2380</v>
      </c>
      <c r="W96" s="296"/>
      <c r="X96" s="295">
        <f t="shared" si="13"/>
        <v>2380</v>
      </c>
      <c r="Y96" s="296"/>
      <c r="Z96" s="25"/>
    </row>
    <row r="97" spans="2:26" ht="15.75">
      <c r="B97" s="17">
        <f t="shared" si="8"/>
        <v>81</v>
      </c>
      <c r="C97" s="295">
        <f>SUMIF('1 Reclamation and O&amp;M costs'!$N$29:$N$38,B97,'1 Reclamation and O&amp;M costs'!$P$29:$P$38)*($H$7+1)</f>
        <v>0</v>
      </c>
      <c r="D97" s="296">
        <f>SUMIF('1 Reclamation and O&amp;M costs'!$M$29:$M$38,"&gt;="&amp;B97,'1 Reclamation and O&amp;M costs'!$R$29:$R$38)*($H$8+1)</f>
        <v>0</v>
      </c>
      <c r="E97" s="17"/>
      <c r="F97" s="17">
        <f t="shared" si="9"/>
        <v>81</v>
      </c>
      <c r="G97" s="295">
        <f>SUMIF('1 Reclamation and O&amp;M costs'!$J$46:$J$61,'3 WM cash flow'!F97,'1 Reclamation and O&amp;M costs'!$P$71:$P$86)*(1+$H$7)</f>
        <v>0</v>
      </c>
      <c r="H97" s="296">
        <f>SUMIF('1 Reclamation and O&amp;M costs'!$I$46:$I$61,'3 WM cash flow'!F97,'1 Reclamation and O&amp;M costs'!$S$71:$S$86)*(1+$H$7)</f>
        <v>0</v>
      </c>
      <c r="I97" s="295">
        <f>(IF('3 WM cash flow'!F97&lt;=('1 Reclamation and O&amp;M costs'!$O$24-'1 Reclamation and O&amp;M costs'!$O$23),0,SUMIF('1 Reclamation and O&amp;M costs'!$I$46:$I$61,"&gt;="&amp;'3 WM cash flow'!F97,'1 Reclamation and O&amp;M costs'!$N$71:$N$86))+IF('3 WM cash flow'!F97&lt;=('1 Reclamation and O&amp;M costs'!$O$24-'1 Reclamation and O&amp;M costs'!$O$23),'1 Reclamation and O&amp;M costs'!$I$90,0))*(1+$H$9)</f>
        <v>0</v>
      </c>
      <c r="J97" s="296">
        <f>SUMIF('1 Reclamation and O&amp;M costs'!$I$46:$I$61,"&gt;="&amp;F97,'1 Reclamation and O&amp;M costs'!$Q$71:$Q$86)*(1+$H$8)</f>
        <v>0</v>
      </c>
      <c r="K97" s="17"/>
      <c r="L97" s="17">
        <f t="shared" si="10"/>
        <v>81</v>
      </c>
      <c r="M97" s="295">
        <f>SUMIF('1 Reclamation and O&amp;M costs'!$L$96:$L$113,'3 WM cash flow'!L97,'1 Reclamation and O&amp;M costs'!P$113:$P175)*(1+$H$7)</f>
        <v>0</v>
      </c>
      <c r="N97" s="296">
        <f>SUMIF('1 Reclamation and O&amp;M costs'!$K$96:$K$113,'3 WM cash flow'!L97,'1 Reclamation and O&amp;M costs'!$T$96:$T$113)*(1+$H$7)</f>
        <v>0</v>
      </c>
      <c r="O97" s="295">
        <f>SUMIF('1 Reclamation and O&amp;M costs'!$K$96:$K$113,"&gt;="&amp;B97,'1 Reclamation and O&amp;M costs'!$R$96:$R$113)*(1+$H$8)</f>
        <v>0</v>
      </c>
      <c r="P97" s="296"/>
      <c r="Q97" s="17">
        <f t="shared" si="11"/>
        <v>81</v>
      </c>
      <c r="R97" s="295">
        <f>SUMIF('1 Reclamation and O&amp;M costs'!$H$123:$H$133,'3 WM cash flow'!Q97,'1 Reclamation and O&amp;M costs'!$Q$123:$Q$133)*(1+$H$7)</f>
        <v>0</v>
      </c>
      <c r="S97" s="296">
        <f>SUMIF('1 Reclamation and O&amp;M costs'!$H$123:$H$133,"&gt;="&amp;Q97,'1 Reclamation and O&amp;M costs'!$O$123:$O$133)*(1+$H$8)</f>
        <v>0</v>
      </c>
      <c r="T97" s="25"/>
      <c r="U97" s="17">
        <f t="shared" si="12"/>
        <v>81</v>
      </c>
      <c r="V97" s="295">
        <f>(IF(U97&lt;('1 Reclamation and O&amp;M costs'!$O$24-'1 Reclamation and O&amp;M costs'!$O$23),'2 Sampling Cost'!$O$13,IF(U97&lt;'1 Reclamation and O&amp;M costs'!$O$25,'2 Sampling Cost'!$O$14,'2 Sampling Cost'!$O$15)))*(1+$H$9)</f>
        <v>2380</v>
      </c>
      <c r="W97" s="296"/>
      <c r="X97" s="295">
        <f t="shared" si="13"/>
        <v>2380</v>
      </c>
      <c r="Y97" s="296"/>
      <c r="Z97" s="25"/>
    </row>
    <row r="98" spans="2:26" ht="15.75">
      <c r="B98" s="17">
        <f t="shared" si="8"/>
        <v>82</v>
      </c>
      <c r="C98" s="295">
        <f>SUMIF('1 Reclamation and O&amp;M costs'!$N$29:$N$38,B98,'1 Reclamation and O&amp;M costs'!$P$29:$P$38)*($H$7+1)</f>
        <v>0</v>
      </c>
      <c r="D98" s="296">
        <f>SUMIF('1 Reclamation and O&amp;M costs'!$M$29:$M$38,"&gt;="&amp;B98,'1 Reclamation and O&amp;M costs'!$R$29:$R$38)*($H$8+1)</f>
        <v>0</v>
      </c>
      <c r="E98" s="17"/>
      <c r="F98" s="17">
        <f t="shared" si="9"/>
        <v>82</v>
      </c>
      <c r="G98" s="295">
        <f>SUMIF('1 Reclamation and O&amp;M costs'!$J$46:$J$61,'3 WM cash flow'!F98,'1 Reclamation and O&amp;M costs'!$P$71:$P$86)*(1+$H$7)</f>
        <v>0</v>
      </c>
      <c r="H98" s="296">
        <f>SUMIF('1 Reclamation and O&amp;M costs'!$I$46:$I$61,'3 WM cash flow'!F98,'1 Reclamation and O&amp;M costs'!$S$71:$S$86)*(1+$H$7)</f>
        <v>0</v>
      </c>
      <c r="I98" s="295">
        <f>(IF('3 WM cash flow'!F98&lt;=('1 Reclamation and O&amp;M costs'!$O$24-'1 Reclamation and O&amp;M costs'!$O$23),0,SUMIF('1 Reclamation and O&amp;M costs'!$I$46:$I$61,"&gt;="&amp;'3 WM cash flow'!F98,'1 Reclamation and O&amp;M costs'!$N$71:$N$86))+IF('3 WM cash flow'!F98&lt;=('1 Reclamation and O&amp;M costs'!$O$24-'1 Reclamation and O&amp;M costs'!$O$23),'1 Reclamation and O&amp;M costs'!$I$90,0))*(1+$H$9)</f>
        <v>0</v>
      </c>
      <c r="J98" s="296">
        <f>SUMIF('1 Reclamation and O&amp;M costs'!$I$46:$I$61,"&gt;="&amp;F98,'1 Reclamation and O&amp;M costs'!$Q$71:$Q$86)*(1+$H$8)</f>
        <v>0</v>
      </c>
      <c r="K98" s="17"/>
      <c r="L98" s="17">
        <f t="shared" si="10"/>
        <v>82</v>
      </c>
      <c r="M98" s="295">
        <f>SUMIF('1 Reclamation and O&amp;M costs'!$L$96:$L$113,'3 WM cash flow'!L98,'1 Reclamation and O&amp;M costs'!P$113:$P176)*(1+$H$7)</f>
        <v>0</v>
      </c>
      <c r="N98" s="296">
        <f>SUMIF('1 Reclamation and O&amp;M costs'!$K$96:$K$113,'3 WM cash flow'!L98,'1 Reclamation and O&amp;M costs'!$T$96:$T$113)*(1+$H$7)</f>
        <v>0</v>
      </c>
      <c r="O98" s="295">
        <f>SUMIF('1 Reclamation and O&amp;M costs'!$K$96:$K$113,"&gt;="&amp;B98,'1 Reclamation and O&amp;M costs'!$R$96:$R$113)*(1+$H$8)</f>
        <v>0</v>
      </c>
      <c r="P98" s="296"/>
      <c r="Q98" s="17">
        <f t="shared" si="11"/>
        <v>82</v>
      </c>
      <c r="R98" s="295">
        <f>SUMIF('1 Reclamation and O&amp;M costs'!$H$123:$H$133,'3 WM cash flow'!Q98,'1 Reclamation and O&amp;M costs'!$Q$123:$Q$133)*(1+$H$7)</f>
        <v>0</v>
      </c>
      <c r="S98" s="296">
        <f>SUMIF('1 Reclamation and O&amp;M costs'!$H$123:$H$133,"&gt;="&amp;Q98,'1 Reclamation and O&amp;M costs'!$O$123:$O$133)*(1+$H$8)</f>
        <v>0</v>
      </c>
      <c r="T98" s="25"/>
      <c r="U98" s="17">
        <f t="shared" si="12"/>
        <v>82</v>
      </c>
      <c r="V98" s="295">
        <f>(IF(U98&lt;('1 Reclamation and O&amp;M costs'!$O$24-'1 Reclamation and O&amp;M costs'!$O$23),'2 Sampling Cost'!$O$13,IF(U98&lt;'1 Reclamation and O&amp;M costs'!$O$25,'2 Sampling Cost'!$O$14,'2 Sampling Cost'!$O$15)))*(1+$H$9)</f>
        <v>2380</v>
      </c>
      <c r="W98" s="296"/>
      <c r="X98" s="295">
        <f t="shared" si="13"/>
        <v>2380</v>
      </c>
      <c r="Y98" s="296"/>
      <c r="Z98" s="25"/>
    </row>
    <row r="99" spans="2:26" ht="15.75">
      <c r="B99" s="17">
        <f t="shared" si="8"/>
        <v>83</v>
      </c>
      <c r="C99" s="295">
        <f>SUMIF('1 Reclamation and O&amp;M costs'!$N$29:$N$38,B99,'1 Reclamation and O&amp;M costs'!$P$29:$P$38)*($H$7+1)</f>
        <v>0</v>
      </c>
      <c r="D99" s="296">
        <f>SUMIF('1 Reclamation and O&amp;M costs'!$M$29:$M$38,"&gt;="&amp;B99,'1 Reclamation and O&amp;M costs'!$R$29:$R$38)*($H$8+1)</f>
        <v>0</v>
      </c>
      <c r="E99" s="17"/>
      <c r="F99" s="17">
        <f t="shared" si="9"/>
        <v>83</v>
      </c>
      <c r="G99" s="295">
        <f>SUMIF('1 Reclamation and O&amp;M costs'!$J$46:$J$61,'3 WM cash flow'!F99,'1 Reclamation and O&amp;M costs'!$P$71:$P$86)*(1+$H$7)</f>
        <v>0</v>
      </c>
      <c r="H99" s="296">
        <f>SUMIF('1 Reclamation and O&amp;M costs'!$I$46:$I$61,'3 WM cash flow'!F99,'1 Reclamation and O&amp;M costs'!$S$71:$S$86)*(1+$H$7)</f>
        <v>0</v>
      </c>
      <c r="I99" s="295">
        <f>(IF('3 WM cash flow'!F99&lt;=('1 Reclamation and O&amp;M costs'!$O$24-'1 Reclamation and O&amp;M costs'!$O$23),0,SUMIF('1 Reclamation and O&amp;M costs'!$I$46:$I$61,"&gt;="&amp;'3 WM cash flow'!F99,'1 Reclamation and O&amp;M costs'!$N$71:$N$86))+IF('3 WM cash flow'!F99&lt;=('1 Reclamation and O&amp;M costs'!$O$24-'1 Reclamation and O&amp;M costs'!$O$23),'1 Reclamation and O&amp;M costs'!$I$90,0))*(1+$H$9)</f>
        <v>0</v>
      </c>
      <c r="J99" s="296">
        <f>SUMIF('1 Reclamation and O&amp;M costs'!$I$46:$I$61,"&gt;="&amp;F99,'1 Reclamation and O&amp;M costs'!$Q$71:$Q$86)*(1+$H$8)</f>
        <v>0</v>
      </c>
      <c r="K99" s="17"/>
      <c r="L99" s="17">
        <f t="shared" si="10"/>
        <v>83</v>
      </c>
      <c r="M99" s="295">
        <f>SUMIF('1 Reclamation and O&amp;M costs'!$L$96:$L$113,'3 WM cash flow'!L99,'1 Reclamation and O&amp;M costs'!P$113:$P177)*(1+$H$7)</f>
        <v>0</v>
      </c>
      <c r="N99" s="296">
        <f>SUMIF('1 Reclamation and O&amp;M costs'!$K$96:$K$113,'3 WM cash flow'!L99,'1 Reclamation and O&amp;M costs'!$T$96:$T$113)*(1+$H$7)</f>
        <v>0</v>
      </c>
      <c r="O99" s="295">
        <f>SUMIF('1 Reclamation and O&amp;M costs'!$K$96:$K$113,"&gt;="&amp;B99,'1 Reclamation and O&amp;M costs'!$R$96:$R$113)*(1+$H$8)</f>
        <v>0</v>
      </c>
      <c r="P99" s="296"/>
      <c r="Q99" s="17">
        <f t="shared" si="11"/>
        <v>83</v>
      </c>
      <c r="R99" s="295">
        <f>SUMIF('1 Reclamation and O&amp;M costs'!$H$123:$H$133,'3 WM cash flow'!Q99,'1 Reclamation and O&amp;M costs'!$Q$123:$Q$133)*(1+$H$7)</f>
        <v>0</v>
      </c>
      <c r="S99" s="296">
        <f>SUMIF('1 Reclamation and O&amp;M costs'!$H$123:$H$133,"&gt;="&amp;Q99,'1 Reclamation and O&amp;M costs'!$O$123:$O$133)*(1+$H$8)</f>
        <v>0</v>
      </c>
      <c r="T99" s="25"/>
      <c r="U99" s="17">
        <f t="shared" si="12"/>
        <v>83</v>
      </c>
      <c r="V99" s="295">
        <f>(IF(U99&lt;('1 Reclamation and O&amp;M costs'!$O$24-'1 Reclamation and O&amp;M costs'!$O$23),'2 Sampling Cost'!$O$13,IF(U99&lt;'1 Reclamation and O&amp;M costs'!$O$25,'2 Sampling Cost'!$O$14,'2 Sampling Cost'!$O$15)))*(1+$H$9)</f>
        <v>2380</v>
      </c>
      <c r="W99" s="296"/>
      <c r="X99" s="295">
        <f t="shared" si="13"/>
        <v>2380</v>
      </c>
      <c r="Y99" s="296"/>
      <c r="Z99" s="25"/>
    </row>
    <row r="100" spans="2:26" ht="15.75">
      <c r="B100" s="17">
        <f t="shared" si="8"/>
        <v>84</v>
      </c>
      <c r="C100" s="295">
        <f>SUMIF('1 Reclamation and O&amp;M costs'!$N$29:$N$38,B100,'1 Reclamation and O&amp;M costs'!$P$29:$P$38)*($H$7+1)</f>
        <v>0</v>
      </c>
      <c r="D100" s="296">
        <f>SUMIF('1 Reclamation and O&amp;M costs'!$M$29:$M$38,"&gt;="&amp;B100,'1 Reclamation and O&amp;M costs'!$R$29:$R$38)*($H$8+1)</f>
        <v>0</v>
      </c>
      <c r="E100" s="17"/>
      <c r="F100" s="17">
        <f t="shared" si="9"/>
        <v>84</v>
      </c>
      <c r="G100" s="295">
        <f>SUMIF('1 Reclamation and O&amp;M costs'!$J$46:$J$61,'3 WM cash flow'!F100,'1 Reclamation and O&amp;M costs'!$P$71:$P$86)*(1+$H$7)</f>
        <v>0</v>
      </c>
      <c r="H100" s="296">
        <f>SUMIF('1 Reclamation and O&amp;M costs'!$I$46:$I$61,'3 WM cash flow'!F100,'1 Reclamation and O&amp;M costs'!$S$71:$S$86)*(1+$H$7)</f>
        <v>0</v>
      </c>
      <c r="I100" s="295">
        <f>(IF('3 WM cash flow'!F100&lt;=('1 Reclamation and O&amp;M costs'!$O$24-'1 Reclamation and O&amp;M costs'!$O$23),0,SUMIF('1 Reclamation and O&amp;M costs'!$I$46:$I$61,"&gt;="&amp;'3 WM cash flow'!F100,'1 Reclamation and O&amp;M costs'!$N$71:$N$86))+IF('3 WM cash flow'!F100&lt;=('1 Reclamation and O&amp;M costs'!$O$24-'1 Reclamation and O&amp;M costs'!$O$23),'1 Reclamation and O&amp;M costs'!$I$90,0))*(1+$H$9)</f>
        <v>0</v>
      </c>
      <c r="J100" s="296">
        <f>SUMIF('1 Reclamation and O&amp;M costs'!$I$46:$I$61,"&gt;="&amp;F100,'1 Reclamation and O&amp;M costs'!$Q$71:$Q$86)*(1+$H$8)</f>
        <v>0</v>
      </c>
      <c r="K100" s="17"/>
      <c r="L100" s="17">
        <f t="shared" si="10"/>
        <v>84</v>
      </c>
      <c r="M100" s="295">
        <f>SUMIF('1 Reclamation and O&amp;M costs'!$L$96:$L$113,'3 WM cash flow'!L100,'1 Reclamation and O&amp;M costs'!P$113:$P178)*(1+$H$7)</f>
        <v>0</v>
      </c>
      <c r="N100" s="296">
        <f>SUMIF('1 Reclamation and O&amp;M costs'!$K$96:$K$113,'3 WM cash flow'!L100,'1 Reclamation and O&amp;M costs'!$T$96:$T$113)*(1+$H$7)</f>
        <v>0</v>
      </c>
      <c r="O100" s="295">
        <f>SUMIF('1 Reclamation and O&amp;M costs'!$K$96:$K$113,"&gt;="&amp;B100,'1 Reclamation and O&amp;M costs'!$R$96:$R$113)*(1+$H$8)</f>
        <v>0</v>
      </c>
      <c r="P100" s="296"/>
      <c r="Q100" s="17">
        <f t="shared" si="11"/>
        <v>84</v>
      </c>
      <c r="R100" s="295">
        <f>SUMIF('1 Reclamation and O&amp;M costs'!$H$123:$H$133,'3 WM cash flow'!Q100,'1 Reclamation and O&amp;M costs'!$Q$123:$Q$133)*(1+$H$7)</f>
        <v>0</v>
      </c>
      <c r="S100" s="296">
        <f>SUMIF('1 Reclamation and O&amp;M costs'!$H$123:$H$133,"&gt;="&amp;Q100,'1 Reclamation and O&amp;M costs'!$O$123:$O$133)*(1+$H$8)</f>
        <v>0</v>
      </c>
      <c r="T100" s="25"/>
      <c r="U100" s="17">
        <f t="shared" si="12"/>
        <v>84</v>
      </c>
      <c r="V100" s="295">
        <f>(IF(U100&lt;('1 Reclamation and O&amp;M costs'!$O$24-'1 Reclamation and O&amp;M costs'!$O$23),'2 Sampling Cost'!$O$13,IF(U100&lt;'1 Reclamation and O&amp;M costs'!$O$25,'2 Sampling Cost'!$O$14,'2 Sampling Cost'!$O$15)))*(1+$H$9)</f>
        <v>2380</v>
      </c>
      <c r="W100" s="296"/>
      <c r="X100" s="295">
        <f t="shared" si="13"/>
        <v>2380</v>
      </c>
      <c r="Y100" s="296"/>
      <c r="Z100" s="25"/>
    </row>
    <row r="101" spans="2:26" ht="15.75">
      <c r="B101" s="17">
        <f t="shared" si="8"/>
        <v>85</v>
      </c>
      <c r="C101" s="295">
        <f>SUMIF('1 Reclamation and O&amp;M costs'!$N$29:$N$38,B101,'1 Reclamation and O&amp;M costs'!$P$29:$P$38)*($H$7+1)</f>
        <v>0</v>
      </c>
      <c r="D101" s="296">
        <f>SUMIF('1 Reclamation and O&amp;M costs'!$M$29:$M$38,"&gt;="&amp;B101,'1 Reclamation and O&amp;M costs'!$R$29:$R$38)*($H$8+1)</f>
        <v>0</v>
      </c>
      <c r="E101" s="17"/>
      <c r="F101" s="17">
        <f t="shared" si="9"/>
        <v>85</v>
      </c>
      <c r="G101" s="295">
        <f>SUMIF('1 Reclamation and O&amp;M costs'!$J$46:$J$61,'3 WM cash flow'!F101,'1 Reclamation and O&amp;M costs'!$P$71:$P$86)*(1+$H$7)</f>
        <v>0</v>
      </c>
      <c r="H101" s="296">
        <f>SUMIF('1 Reclamation and O&amp;M costs'!$I$46:$I$61,'3 WM cash flow'!F101,'1 Reclamation and O&amp;M costs'!$S$71:$S$86)*(1+$H$7)</f>
        <v>0</v>
      </c>
      <c r="I101" s="295">
        <f>(IF('3 WM cash flow'!F101&lt;=('1 Reclamation and O&amp;M costs'!$O$24-'1 Reclamation and O&amp;M costs'!$O$23),0,SUMIF('1 Reclamation and O&amp;M costs'!$I$46:$I$61,"&gt;="&amp;'3 WM cash flow'!F101,'1 Reclamation and O&amp;M costs'!$N$71:$N$86))+IF('3 WM cash flow'!F101&lt;=('1 Reclamation and O&amp;M costs'!$O$24-'1 Reclamation and O&amp;M costs'!$O$23),'1 Reclamation and O&amp;M costs'!$I$90,0))*(1+$H$9)</f>
        <v>0</v>
      </c>
      <c r="J101" s="296">
        <f>SUMIF('1 Reclamation and O&amp;M costs'!$I$46:$I$61,"&gt;="&amp;F101,'1 Reclamation and O&amp;M costs'!$Q$71:$Q$86)*(1+$H$8)</f>
        <v>0</v>
      </c>
      <c r="K101" s="17"/>
      <c r="L101" s="17">
        <f t="shared" si="10"/>
        <v>85</v>
      </c>
      <c r="M101" s="295">
        <f>SUMIF('1 Reclamation and O&amp;M costs'!$L$96:$L$113,'3 WM cash flow'!L101,'1 Reclamation and O&amp;M costs'!P$113:$P179)*(1+$H$7)</f>
        <v>0</v>
      </c>
      <c r="N101" s="296">
        <f>SUMIF('1 Reclamation and O&amp;M costs'!$K$96:$K$113,'3 WM cash flow'!L101,'1 Reclamation and O&amp;M costs'!$T$96:$T$113)*(1+$H$7)</f>
        <v>0</v>
      </c>
      <c r="O101" s="295">
        <f>SUMIF('1 Reclamation and O&amp;M costs'!$K$96:$K$113,"&gt;="&amp;B101,'1 Reclamation and O&amp;M costs'!$R$96:$R$113)*(1+$H$8)</f>
        <v>0</v>
      </c>
      <c r="P101" s="296"/>
      <c r="Q101" s="17">
        <f t="shared" si="11"/>
        <v>85</v>
      </c>
      <c r="R101" s="295">
        <f>SUMIF('1 Reclamation and O&amp;M costs'!$H$123:$H$133,'3 WM cash flow'!Q101,'1 Reclamation and O&amp;M costs'!$Q$123:$Q$133)*(1+$H$7)</f>
        <v>0</v>
      </c>
      <c r="S101" s="296">
        <f>SUMIF('1 Reclamation and O&amp;M costs'!$H$123:$H$133,"&gt;="&amp;Q101,'1 Reclamation and O&amp;M costs'!$O$123:$O$133)*(1+$H$8)</f>
        <v>0</v>
      </c>
      <c r="T101" s="25"/>
      <c r="U101" s="17">
        <f t="shared" si="12"/>
        <v>85</v>
      </c>
      <c r="V101" s="295">
        <f>(IF(U101&lt;('1 Reclamation and O&amp;M costs'!$O$24-'1 Reclamation and O&amp;M costs'!$O$23),'2 Sampling Cost'!$O$13,IF(U101&lt;'1 Reclamation and O&amp;M costs'!$O$25,'2 Sampling Cost'!$O$14,'2 Sampling Cost'!$O$15)))*(1+$H$9)</f>
        <v>2380</v>
      </c>
      <c r="W101" s="296"/>
      <c r="X101" s="295">
        <f t="shared" si="13"/>
        <v>2380</v>
      </c>
      <c r="Y101" s="296"/>
      <c r="Z101" s="25"/>
    </row>
    <row r="102" spans="2:26" ht="15.75">
      <c r="B102" s="17">
        <f t="shared" si="8"/>
        <v>86</v>
      </c>
      <c r="C102" s="295">
        <f>SUMIF('1 Reclamation and O&amp;M costs'!$N$29:$N$38,B102,'1 Reclamation and O&amp;M costs'!$P$29:$P$38)*($H$7+1)</f>
        <v>0</v>
      </c>
      <c r="D102" s="296">
        <f>SUMIF('1 Reclamation and O&amp;M costs'!$M$29:$M$38,"&gt;="&amp;B102,'1 Reclamation and O&amp;M costs'!$R$29:$R$38)*($H$8+1)</f>
        <v>0</v>
      </c>
      <c r="E102" s="17"/>
      <c r="F102" s="17">
        <f t="shared" si="9"/>
        <v>86</v>
      </c>
      <c r="G102" s="295">
        <f>SUMIF('1 Reclamation and O&amp;M costs'!$J$46:$J$61,'3 WM cash flow'!F102,'1 Reclamation and O&amp;M costs'!$P$71:$P$86)*(1+$H$7)</f>
        <v>0</v>
      </c>
      <c r="H102" s="296">
        <f>SUMIF('1 Reclamation and O&amp;M costs'!$I$46:$I$61,'3 WM cash flow'!F102,'1 Reclamation and O&amp;M costs'!$S$71:$S$86)*(1+$H$7)</f>
        <v>0</v>
      </c>
      <c r="I102" s="295">
        <f>(IF('3 WM cash flow'!F102&lt;=('1 Reclamation and O&amp;M costs'!$O$24-'1 Reclamation and O&amp;M costs'!$O$23),0,SUMIF('1 Reclamation and O&amp;M costs'!$I$46:$I$61,"&gt;="&amp;'3 WM cash flow'!F102,'1 Reclamation and O&amp;M costs'!$N$71:$N$86))+IF('3 WM cash flow'!F102&lt;=('1 Reclamation and O&amp;M costs'!$O$24-'1 Reclamation and O&amp;M costs'!$O$23),'1 Reclamation and O&amp;M costs'!$I$90,0))*(1+$H$9)</f>
        <v>0</v>
      </c>
      <c r="J102" s="296">
        <f>SUMIF('1 Reclamation and O&amp;M costs'!$I$46:$I$61,"&gt;="&amp;F102,'1 Reclamation and O&amp;M costs'!$Q$71:$Q$86)*(1+$H$8)</f>
        <v>0</v>
      </c>
      <c r="K102" s="17"/>
      <c r="L102" s="17">
        <f t="shared" si="10"/>
        <v>86</v>
      </c>
      <c r="M102" s="295">
        <f>SUMIF('1 Reclamation and O&amp;M costs'!$L$96:$L$113,'3 WM cash flow'!L102,'1 Reclamation and O&amp;M costs'!P$113:$P180)*(1+$H$7)</f>
        <v>0</v>
      </c>
      <c r="N102" s="296">
        <f>SUMIF('1 Reclamation and O&amp;M costs'!$K$96:$K$113,'3 WM cash flow'!L102,'1 Reclamation and O&amp;M costs'!$T$96:$T$113)*(1+$H$7)</f>
        <v>0</v>
      </c>
      <c r="O102" s="295">
        <f>SUMIF('1 Reclamation and O&amp;M costs'!$K$96:$K$113,"&gt;="&amp;B102,'1 Reclamation and O&amp;M costs'!$R$96:$R$113)*(1+$H$8)</f>
        <v>0</v>
      </c>
      <c r="P102" s="296"/>
      <c r="Q102" s="17">
        <f t="shared" si="11"/>
        <v>86</v>
      </c>
      <c r="R102" s="295">
        <f>SUMIF('1 Reclamation and O&amp;M costs'!$H$123:$H$133,'3 WM cash flow'!Q102,'1 Reclamation and O&amp;M costs'!$Q$123:$Q$133)*(1+$H$7)</f>
        <v>0</v>
      </c>
      <c r="S102" s="296">
        <f>SUMIF('1 Reclamation and O&amp;M costs'!$H$123:$H$133,"&gt;="&amp;Q102,'1 Reclamation and O&amp;M costs'!$O$123:$O$133)*(1+$H$8)</f>
        <v>0</v>
      </c>
      <c r="T102" s="25"/>
      <c r="U102" s="17">
        <f t="shared" si="12"/>
        <v>86</v>
      </c>
      <c r="V102" s="295">
        <f>(IF(U102&lt;('1 Reclamation and O&amp;M costs'!$O$24-'1 Reclamation and O&amp;M costs'!$O$23),'2 Sampling Cost'!$O$13,IF(U102&lt;'1 Reclamation and O&amp;M costs'!$O$25,'2 Sampling Cost'!$O$14,'2 Sampling Cost'!$O$15)))*(1+$H$9)</f>
        <v>2380</v>
      </c>
      <c r="W102" s="296"/>
      <c r="X102" s="295">
        <f t="shared" si="13"/>
        <v>2380</v>
      </c>
      <c r="Y102" s="296"/>
      <c r="Z102" s="25"/>
    </row>
    <row r="103" spans="2:26" ht="15.75">
      <c r="B103" s="17">
        <f t="shared" si="8"/>
        <v>87</v>
      </c>
      <c r="C103" s="295">
        <f>SUMIF('1 Reclamation and O&amp;M costs'!$N$29:$N$38,B103,'1 Reclamation and O&amp;M costs'!$P$29:$P$38)*($H$7+1)</f>
        <v>0</v>
      </c>
      <c r="D103" s="296">
        <f>SUMIF('1 Reclamation and O&amp;M costs'!$M$29:$M$38,"&gt;="&amp;B103,'1 Reclamation and O&amp;M costs'!$R$29:$R$38)*($H$8+1)</f>
        <v>0</v>
      </c>
      <c r="E103" s="17"/>
      <c r="F103" s="17">
        <f t="shared" si="9"/>
        <v>87</v>
      </c>
      <c r="G103" s="295">
        <f>SUMIF('1 Reclamation and O&amp;M costs'!$J$46:$J$61,'3 WM cash flow'!F103,'1 Reclamation and O&amp;M costs'!$P$71:$P$86)*(1+$H$7)</f>
        <v>0</v>
      </c>
      <c r="H103" s="296">
        <f>SUMIF('1 Reclamation and O&amp;M costs'!$I$46:$I$61,'3 WM cash flow'!F103,'1 Reclamation and O&amp;M costs'!$S$71:$S$86)*(1+$H$7)</f>
        <v>0</v>
      </c>
      <c r="I103" s="295">
        <f>(IF('3 WM cash flow'!F103&lt;=('1 Reclamation and O&amp;M costs'!$O$24-'1 Reclamation and O&amp;M costs'!$O$23),0,SUMIF('1 Reclamation and O&amp;M costs'!$I$46:$I$61,"&gt;="&amp;'3 WM cash flow'!F103,'1 Reclamation and O&amp;M costs'!$N$71:$N$86))+IF('3 WM cash flow'!F103&lt;=('1 Reclamation and O&amp;M costs'!$O$24-'1 Reclamation and O&amp;M costs'!$O$23),'1 Reclamation and O&amp;M costs'!$I$90,0))*(1+$H$9)</f>
        <v>0</v>
      </c>
      <c r="J103" s="296">
        <f>SUMIF('1 Reclamation and O&amp;M costs'!$I$46:$I$61,"&gt;="&amp;F103,'1 Reclamation and O&amp;M costs'!$Q$71:$Q$86)*(1+$H$8)</f>
        <v>0</v>
      </c>
      <c r="K103" s="17"/>
      <c r="L103" s="17">
        <f t="shared" si="10"/>
        <v>87</v>
      </c>
      <c r="M103" s="295">
        <f>SUMIF('1 Reclamation and O&amp;M costs'!$L$96:$L$113,'3 WM cash flow'!L103,'1 Reclamation and O&amp;M costs'!P$113:$P181)*(1+$H$7)</f>
        <v>0</v>
      </c>
      <c r="N103" s="296">
        <f>SUMIF('1 Reclamation and O&amp;M costs'!$K$96:$K$113,'3 WM cash flow'!L103,'1 Reclamation and O&amp;M costs'!$T$96:$T$113)*(1+$H$7)</f>
        <v>0</v>
      </c>
      <c r="O103" s="295">
        <f>SUMIF('1 Reclamation and O&amp;M costs'!$K$96:$K$113,"&gt;="&amp;B103,'1 Reclamation and O&amp;M costs'!$R$96:$R$113)*(1+$H$8)</f>
        <v>0</v>
      </c>
      <c r="P103" s="296"/>
      <c r="Q103" s="17">
        <f t="shared" si="11"/>
        <v>87</v>
      </c>
      <c r="R103" s="295">
        <f>SUMIF('1 Reclamation and O&amp;M costs'!$H$123:$H$133,'3 WM cash flow'!Q103,'1 Reclamation and O&amp;M costs'!$Q$123:$Q$133)*(1+$H$7)</f>
        <v>0</v>
      </c>
      <c r="S103" s="296">
        <f>SUMIF('1 Reclamation and O&amp;M costs'!$H$123:$H$133,"&gt;="&amp;Q103,'1 Reclamation and O&amp;M costs'!$O$123:$O$133)*(1+$H$8)</f>
        <v>0</v>
      </c>
      <c r="T103" s="25"/>
      <c r="U103" s="17">
        <f t="shared" si="12"/>
        <v>87</v>
      </c>
      <c r="V103" s="295">
        <f>(IF(U103&lt;('1 Reclamation and O&amp;M costs'!$O$24-'1 Reclamation and O&amp;M costs'!$O$23),'2 Sampling Cost'!$O$13,IF(U103&lt;'1 Reclamation and O&amp;M costs'!$O$25,'2 Sampling Cost'!$O$14,'2 Sampling Cost'!$O$15)))*(1+$H$9)</f>
        <v>2380</v>
      </c>
      <c r="W103" s="296"/>
      <c r="X103" s="295">
        <f t="shared" si="13"/>
        <v>2380</v>
      </c>
      <c r="Y103" s="296"/>
      <c r="Z103" s="25"/>
    </row>
    <row r="104" spans="2:26" ht="15.75">
      <c r="B104" s="17">
        <f t="shared" si="8"/>
        <v>88</v>
      </c>
      <c r="C104" s="295">
        <f>SUMIF('1 Reclamation and O&amp;M costs'!$N$29:$N$38,B104,'1 Reclamation and O&amp;M costs'!$P$29:$P$38)*($H$7+1)</f>
        <v>0</v>
      </c>
      <c r="D104" s="296">
        <f>SUMIF('1 Reclamation and O&amp;M costs'!$M$29:$M$38,"&gt;="&amp;B104,'1 Reclamation and O&amp;M costs'!$R$29:$R$38)*($H$8+1)</f>
        <v>0</v>
      </c>
      <c r="E104" s="17"/>
      <c r="F104" s="17">
        <f t="shared" si="9"/>
        <v>88</v>
      </c>
      <c r="G104" s="295">
        <f>SUMIF('1 Reclamation and O&amp;M costs'!$J$46:$J$61,'3 WM cash flow'!F104,'1 Reclamation and O&amp;M costs'!$P$71:$P$86)*(1+$H$7)</f>
        <v>0</v>
      </c>
      <c r="H104" s="296">
        <f>SUMIF('1 Reclamation and O&amp;M costs'!$I$46:$I$61,'3 WM cash flow'!F104,'1 Reclamation and O&amp;M costs'!$S$71:$S$86)*(1+$H$7)</f>
        <v>0</v>
      </c>
      <c r="I104" s="295">
        <f>(IF('3 WM cash flow'!F104&lt;=('1 Reclamation and O&amp;M costs'!$O$24-'1 Reclamation and O&amp;M costs'!$O$23),0,SUMIF('1 Reclamation and O&amp;M costs'!$I$46:$I$61,"&gt;="&amp;'3 WM cash flow'!F104,'1 Reclamation and O&amp;M costs'!$N$71:$N$86))+IF('3 WM cash flow'!F104&lt;=('1 Reclamation and O&amp;M costs'!$O$24-'1 Reclamation and O&amp;M costs'!$O$23),'1 Reclamation and O&amp;M costs'!$I$90,0))*(1+$H$9)</f>
        <v>0</v>
      </c>
      <c r="J104" s="296">
        <f>SUMIF('1 Reclamation and O&amp;M costs'!$I$46:$I$61,"&gt;="&amp;F104,'1 Reclamation and O&amp;M costs'!$Q$71:$Q$86)*(1+$H$8)</f>
        <v>0</v>
      </c>
      <c r="K104" s="17"/>
      <c r="L104" s="17">
        <f t="shared" si="10"/>
        <v>88</v>
      </c>
      <c r="M104" s="295">
        <f>SUMIF('1 Reclamation and O&amp;M costs'!$L$96:$L$113,'3 WM cash flow'!L104,'1 Reclamation and O&amp;M costs'!P$113:$P182)*(1+$H$7)</f>
        <v>0</v>
      </c>
      <c r="N104" s="296">
        <f>SUMIF('1 Reclamation and O&amp;M costs'!$K$96:$K$113,'3 WM cash flow'!L104,'1 Reclamation and O&amp;M costs'!$T$96:$T$113)*(1+$H$7)</f>
        <v>0</v>
      </c>
      <c r="O104" s="295">
        <f>SUMIF('1 Reclamation and O&amp;M costs'!$K$96:$K$113,"&gt;="&amp;B104,'1 Reclamation and O&amp;M costs'!$R$96:$R$113)*(1+$H$8)</f>
        <v>0</v>
      </c>
      <c r="P104" s="296"/>
      <c r="Q104" s="17">
        <f t="shared" si="11"/>
        <v>88</v>
      </c>
      <c r="R104" s="295">
        <f>SUMIF('1 Reclamation and O&amp;M costs'!$H$123:$H$133,'3 WM cash flow'!Q104,'1 Reclamation and O&amp;M costs'!$Q$123:$Q$133)*(1+$H$7)</f>
        <v>0</v>
      </c>
      <c r="S104" s="296">
        <f>SUMIF('1 Reclamation and O&amp;M costs'!$H$123:$H$133,"&gt;="&amp;Q104,'1 Reclamation and O&amp;M costs'!$O$123:$O$133)*(1+$H$8)</f>
        <v>0</v>
      </c>
      <c r="T104" s="25"/>
      <c r="U104" s="17">
        <f t="shared" si="12"/>
        <v>88</v>
      </c>
      <c r="V104" s="295">
        <f>(IF(U104&lt;('1 Reclamation and O&amp;M costs'!$O$24-'1 Reclamation and O&amp;M costs'!$O$23),'2 Sampling Cost'!$O$13,IF(U104&lt;'1 Reclamation and O&amp;M costs'!$O$25,'2 Sampling Cost'!$O$14,'2 Sampling Cost'!$O$15)))*(1+$H$9)</f>
        <v>2380</v>
      </c>
      <c r="W104" s="296"/>
      <c r="X104" s="295">
        <f t="shared" si="13"/>
        <v>2380</v>
      </c>
      <c r="Y104" s="296"/>
      <c r="Z104" s="25"/>
    </row>
    <row r="105" spans="2:26" ht="15.75">
      <c r="B105" s="17">
        <f t="shared" si="8"/>
        <v>89</v>
      </c>
      <c r="C105" s="295">
        <f>SUMIF('1 Reclamation and O&amp;M costs'!$N$29:$N$38,B105,'1 Reclamation and O&amp;M costs'!$P$29:$P$38)*($H$7+1)</f>
        <v>0</v>
      </c>
      <c r="D105" s="296">
        <f>SUMIF('1 Reclamation and O&amp;M costs'!$M$29:$M$38,"&gt;="&amp;B105,'1 Reclamation and O&amp;M costs'!$R$29:$R$38)*($H$8+1)</f>
        <v>0</v>
      </c>
      <c r="E105" s="17"/>
      <c r="F105" s="17">
        <f t="shared" si="9"/>
        <v>89</v>
      </c>
      <c r="G105" s="295">
        <f>SUMIF('1 Reclamation and O&amp;M costs'!$J$46:$J$61,'3 WM cash flow'!F105,'1 Reclamation and O&amp;M costs'!$P$71:$P$86)*(1+$H$7)</f>
        <v>0</v>
      </c>
      <c r="H105" s="296">
        <f>SUMIF('1 Reclamation and O&amp;M costs'!$I$46:$I$61,'3 WM cash flow'!F105,'1 Reclamation and O&amp;M costs'!$S$71:$S$86)*(1+$H$7)</f>
        <v>0</v>
      </c>
      <c r="I105" s="295">
        <f>(IF('3 WM cash flow'!F105&lt;=('1 Reclamation and O&amp;M costs'!$O$24-'1 Reclamation and O&amp;M costs'!$O$23),0,SUMIF('1 Reclamation and O&amp;M costs'!$I$46:$I$61,"&gt;="&amp;'3 WM cash flow'!F105,'1 Reclamation and O&amp;M costs'!$N$71:$N$86))+IF('3 WM cash flow'!F105&lt;=('1 Reclamation and O&amp;M costs'!$O$24-'1 Reclamation and O&amp;M costs'!$O$23),'1 Reclamation and O&amp;M costs'!$I$90,0))*(1+$H$9)</f>
        <v>0</v>
      </c>
      <c r="J105" s="296">
        <f>SUMIF('1 Reclamation and O&amp;M costs'!$I$46:$I$61,"&gt;="&amp;F105,'1 Reclamation and O&amp;M costs'!$Q$71:$Q$86)*(1+$H$8)</f>
        <v>0</v>
      </c>
      <c r="K105" s="17"/>
      <c r="L105" s="17">
        <f t="shared" si="10"/>
        <v>89</v>
      </c>
      <c r="M105" s="295">
        <f>SUMIF('1 Reclamation and O&amp;M costs'!$L$96:$L$113,'3 WM cash flow'!L105,'1 Reclamation and O&amp;M costs'!P$113:$P183)*(1+$H$7)</f>
        <v>0</v>
      </c>
      <c r="N105" s="296">
        <f>SUMIF('1 Reclamation and O&amp;M costs'!$K$96:$K$113,'3 WM cash flow'!L105,'1 Reclamation and O&amp;M costs'!$T$96:$T$113)*(1+$H$7)</f>
        <v>0</v>
      </c>
      <c r="O105" s="295">
        <f>SUMIF('1 Reclamation and O&amp;M costs'!$K$96:$K$113,"&gt;="&amp;B105,'1 Reclamation and O&amp;M costs'!$R$96:$R$113)*(1+$H$8)</f>
        <v>0</v>
      </c>
      <c r="P105" s="296"/>
      <c r="Q105" s="17">
        <f t="shared" si="11"/>
        <v>89</v>
      </c>
      <c r="R105" s="295">
        <f>SUMIF('1 Reclamation and O&amp;M costs'!$H$123:$H$133,'3 WM cash flow'!Q105,'1 Reclamation and O&amp;M costs'!$Q$123:$Q$133)*(1+$H$7)</f>
        <v>0</v>
      </c>
      <c r="S105" s="296">
        <f>SUMIF('1 Reclamation and O&amp;M costs'!$H$123:$H$133,"&gt;="&amp;Q105,'1 Reclamation and O&amp;M costs'!$O$123:$O$133)*(1+$H$8)</f>
        <v>0</v>
      </c>
      <c r="T105" s="25"/>
      <c r="U105" s="17">
        <f t="shared" si="12"/>
        <v>89</v>
      </c>
      <c r="V105" s="295">
        <f>(IF(U105&lt;('1 Reclamation and O&amp;M costs'!$O$24-'1 Reclamation and O&amp;M costs'!$O$23),'2 Sampling Cost'!$O$13,IF(U105&lt;'1 Reclamation and O&amp;M costs'!$O$25,'2 Sampling Cost'!$O$14,'2 Sampling Cost'!$O$15)))*(1+$H$9)</f>
        <v>2380</v>
      </c>
      <c r="W105" s="296"/>
      <c r="X105" s="295">
        <f t="shared" si="13"/>
        <v>2380</v>
      </c>
      <c r="Y105" s="296"/>
      <c r="Z105" s="25"/>
    </row>
    <row r="106" spans="2:26" ht="15.75">
      <c r="B106" s="17">
        <f t="shared" si="8"/>
        <v>90</v>
      </c>
      <c r="C106" s="295">
        <f>SUMIF('1 Reclamation and O&amp;M costs'!$N$29:$N$38,B106,'1 Reclamation and O&amp;M costs'!$P$29:$P$38)*($H$7+1)</f>
        <v>0</v>
      </c>
      <c r="D106" s="296">
        <f>SUMIF('1 Reclamation and O&amp;M costs'!$M$29:$M$38,"&gt;="&amp;B106,'1 Reclamation and O&amp;M costs'!$R$29:$R$38)*($H$8+1)</f>
        <v>0</v>
      </c>
      <c r="E106" s="17"/>
      <c r="F106" s="17">
        <f t="shared" si="9"/>
        <v>90</v>
      </c>
      <c r="G106" s="295">
        <f>SUMIF('1 Reclamation and O&amp;M costs'!$J$46:$J$61,'3 WM cash flow'!F106,'1 Reclamation and O&amp;M costs'!$P$71:$P$86)*(1+$H$7)</f>
        <v>0</v>
      </c>
      <c r="H106" s="296">
        <f>SUMIF('1 Reclamation and O&amp;M costs'!$I$46:$I$61,'3 WM cash flow'!F106,'1 Reclamation and O&amp;M costs'!$S$71:$S$86)*(1+$H$7)</f>
        <v>0</v>
      </c>
      <c r="I106" s="295">
        <f>(IF('3 WM cash flow'!F106&lt;=('1 Reclamation and O&amp;M costs'!$O$24-'1 Reclamation and O&amp;M costs'!$O$23),0,SUMIF('1 Reclamation and O&amp;M costs'!$I$46:$I$61,"&gt;="&amp;'3 WM cash flow'!F106,'1 Reclamation and O&amp;M costs'!$N$71:$N$86))+IF('3 WM cash flow'!F106&lt;=('1 Reclamation and O&amp;M costs'!$O$24-'1 Reclamation and O&amp;M costs'!$O$23),'1 Reclamation and O&amp;M costs'!$I$90,0))*(1+$H$9)</f>
        <v>0</v>
      </c>
      <c r="J106" s="296">
        <f>SUMIF('1 Reclamation and O&amp;M costs'!$I$46:$I$61,"&gt;="&amp;F106,'1 Reclamation and O&amp;M costs'!$Q$71:$Q$86)*(1+$H$8)</f>
        <v>0</v>
      </c>
      <c r="K106" s="17"/>
      <c r="L106" s="17">
        <f t="shared" si="10"/>
        <v>90</v>
      </c>
      <c r="M106" s="295">
        <f>SUMIF('1 Reclamation and O&amp;M costs'!$L$96:$L$113,'3 WM cash flow'!L106,'1 Reclamation and O&amp;M costs'!P$113:$P184)*(1+$H$7)</f>
        <v>0</v>
      </c>
      <c r="N106" s="296">
        <f>SUMIF('1 Reclamation and O&amp;M costs'!$K$96:$K$113,'3 WM cash flow'!L106,'1 Reclamation and O&amp;M costs'!$T$96:$T$113)*(1+$H$7)</f>
        <v>0</v>
      </c>
      <c r="O106" s="295">
        <f>SUMIF('1 Reclamation and O&amp;M costs'!$K$96:$K$113,"&gt;="&amp;B106,'1 Reclamation and O&amp;M costs'!$R$96:$R$113)*(1+$H$8)</f>
        <v>0</v>
      </c>
      <c r="P106" s="296"/>
      <c r="Q106" s="17">
        <f t="shared" si="11"/>
        <v>90</v>
      </c>
      <c r="R106" s="295">
        <f>SUMIF('1 Reclamation and O&amp;M costs'!$H$123:$H$133,'3 WM cash flow'!Q106,'1 Reclamation and O&amp;M costs'!$Q$123:$Q$133)*(1+$H$7)</f>
        <v>0</v>
      </c>
      <c r="S106" s="296">
        <f>SUMIF('1 Reclamation and O&amp;M costs'!$H$123:$H$133,"&gt;="&amp;Q106,'1 Reclamation and O&amp;M costs'!$O$123:$O$133)*(1+$H$8)</f>
        <v>0</v>
      </c>
      <c r="T106" s="25"/>
      <c r="U106" s="17">
        <f t="shared" si="12"/>
        <v>90</v>
      </c>
      <c r="V106" s="295">
        <f>(IF(U106&lt;('1 Reclamation and O&amp;M costs'!$O$24-'1 Reclamation and O&amp;M costs'!$O$23),'2 Sampling Cost'!$O$13,IF(U106&lt;'1 Reclamation and O&amp;M costs'!$O$25,'2 Sampling Cost'!$O$14,'2 Sampling Cost'!$O$15)))*(1+$H$9)</f>
        <v>2380</v>
      </c>
      <c r="W106" s="296"/>
      <c r="X106" s="295">
        <f t="shared" si="13"/>
        <v>2380</v>
      </c>
      <c r="Y106" s="296"/>
      <c r="Z106" s="25"/>
    </row>
    <row r="107" spans="2:26" ht="15.75">
      <c r="B107" s="17">
        <f t="shared" si="8"/>
        <v>91</v>
      </c>
      <c r="C107" s="295">
        <f>SUMIF('1 Reclamation and O&amp;M costs'!$N$29:$N$38,B107,'1 Reclamation and O&amp;M costs'!$P$29:$P$38)*($H$7+1)</f>
        <v>0</v>
      </c>
      <c r="D107" s="296">
        <f>SUMIF('1 Reclamation and O&amp;M costs'!$M$29:$M$38,"&gt;="&amp;B107,'1 Reclamation and O&amp;M costs'!$R$29:$R$38)*($H$8+1)</f>
        <v>0</v>
      </c>
      <c r="E107" s="17"/>
      <c r="F107" s="17">
        <f t="shared" si="9"/>
        <v>91</v>
      </c>
      <c r="G107" s="295">
        <f>SUMIF('1 Reclamation and O&amp;M costs'!$J$46:$J$61,'3 WM cash flow'!F107,'1 Reclamation and O&amp;M costs'!$P$71:$P$86)*(1+$H$7)</f>
        <v>0</v>
      </c>
      <c r="H107" s="296">
        <f>SUMIF('1 Reclamation and O&amp;M costs'!$I$46:$I$61,'3 WM cash flow'!F107,'1 Reclamation and O&amp;M costs'!$S$71:$S$86)*(1+$H$7)</f>
        <v>0</v>
      </c>
      <c r="I107" s="295">
        <f>(IF('3 WM cash flow'!F107&lt;=('1 Reclamation and O&amp;M costs'!$O$24-'1 Reclamation and O&amp;M costs'!$O$23),0,SUMIF('1 Reclamation and O&amp;M costs'!$I$46:$I$61,"&gt;="&amp;'3 WM cash flow'!F107,'1 Reclamation and O&amp;M costs'!$N$71:$N$86))+IF('3 WM cash flow'!F107&lt;=('1 Reclamation and O&amp;M costs'!$O$24-'1 Reclamation and O&amp;M costs'!$O$23),'1 Reclamation and O&amp;M costs'!$I$90,0))*(1+$H$9)</f>
        <v>0</v>
      </c>
      <c r="J107" s="296">
        <f>SUMIF('1 Reclamation and O&amp;M costs'!$I$46:$I$61,"&gt;="&amp;F107,'1 Reclamation and O&amp;M costs'!$Q$71:$Q$86)*(1+$H$8)</f>
        <v>0</v>
      </c>
      <c r="K107" s="17"/>
      <c r="L107" s="17">
        <f t="shared" si="10"/>
        <v>91</v>
      </c>
      <c r="M107" s="295">
        <f>SUMIF('1 Reclamation and O&amp;M costs'!$L$96:$L$113,'3 WM cash flow'!L107,'1 Reclamation and O&amp;M costs'!P$113:$P185)*(1+$H$7)</f>
        <v>0</v>
      </c>
      <c r="N107" s="296">
        <f>SUMIF('1 Reclamation and O&amp;M costs'!$K$96:$K$113,'3 WM cash flow'!L107,'1 Reclamation and O&amp;M costs'!$T$96:$T$113)*(1+$H$7)</f>
        <v>0</v>
      </c>
      <c r="O107" s="295">
        <f>SUMIF('1 Reclamation and O&amp;M costs'!$K$96:$K$113,"&gt;="&amp;B107,'1 Reclamation and O&amp;M costs'!$R$96:$R$113)*(1+$H$8)</f>
        <v>0</v>
      </c>
      <c r="P107" s="296"/>
      <c r="Q107" s="17">
        <f t="shared" si="11"/>
        <v>91</v>
      </c>
      <c r="R107" s="295">
        <f>SUMIF('1 Reclamation and O&amp;M costs'!$H$123:$H$133,'3 WM cash flow'!Q107,'1 Reclamation and O&amp;M costs'!$Q$123:$Q$133)*(1+$H$7)</f>
        <v>0</v>
      </c>
      <c r="S107" s="296">
        <f>SUMIF('1 Reclamation and O&amp;M costs'!$H$123:$H$133,"&gt;="&amp;Q107,'1 Reclamation and O&amp;M costs'!$O$123:$O$133)*(1+$H$8)</f>
        <v>0</v>
      </c>
      <c r="T107" s="25"/>
      <c r="U107" s="17">
        <f t="shared" si="12"/>
        <v>91</v>
      </c>
      <c r="V107" s="295">
        <f>(IF(U107&lt;('1 Reclamation and O&amp;M costs'!$O$24-'1 Reclamation and O&amp;M costs'!$O$23),'2 Sampling Cost'!$O$13,IF(U107&lt;'1 Reclamation and O&amp;M costs'!$O$25,'2 Sampling Cost'!$O$14,'2 Sampling Cost'!$O$15)))*(1+$H$9)</f>
        <v>2380</v>
      </c>
      <c r="W107" s="296"/>
      <c r="X107" s="295">
        <f t="shared" si="13"/>
        <v>2380</v>
      </c>
      <c r="Y107" s="296"/>
      <c r="Z107" s="25"/>
    </row>
    <row r="108" spans="2:26" ht="15.75">
      <c r="B108" s="17">
        <f t="shared" si="8"/>
        <v>92</v>
      </c>
      <c r="C108" s="295">
        <f>SUMIF('1 Reclamation and O&amp;M costs'!$N$29:$N$38,B108,'1 Reclamation and O&amp;M costs'!$P$29:$P$38)*($H$7+1)</f>
        <v>0</v>
      </c>
      <c r="D108" s="296">
        <f>SUMIF('1 Reclamation and O&amp;M costs'!$M$29:$M$38,"&gt;="&amp;B108,'1 Reclamation and O&amp;M costs'!$R$29:$R$38)*($H$8+1)</f>
        <v>0</v>
      </c>
      <c r="E108" s="17"/>
      <c r="F108" s="17">
        <f t="shared" si="9"/>
        <v>92</v>
      </c>
      <c r="G108" s="295">
        <f>SUMIF('1 Reclamation and O&amp;M costs'!$J$46:$J$61,'3 WM cash flow'!F108,'1 Reclamation and O&amp;M costs'!$P$71:$P$86)*(1+$H$7)</f>
        <v>0</v>
      </c>
      <c r="H108" s="296">
        <f>SUMIF('1 Reclamation and O&amp;M costs'!$I$46:$I$61,'3 WM cash flow'!F108,'1 Reclamation and O&amp;M costs'!$S$71:$S$86)*(1+$H$7)</f>
        <v>0</v>
      </c>
      <c r="I108" s="295">
        <f>(IF('3 WM cash flow'!F108&lt;=('1 Reclamation and O&amp;M costs'!$O$24-'1 Reclamation and O&amp;M costs'!$O$23),0,SUMIF('1 Reclamation and O&amp;M costs'!$I$46:$I$61,"&gt;="&amp;'3 WM cash flow'!F108,'1 Reclamation and O&amp;M costs'!$N$71:$N$86))+IF('3 WM cash flow'!F108&lt;=('1 Reclamation and O&amp;M costs'!$O$24-'1 Reclamation and O&amp;M costs'!$O$23),'1 Reclamation and O&amp;M costs'!$I$90,0))*(1+$H$9)</f>
        <v>0</v>
      </c>
      <c r="J108" s="296">
        <f>SUMIF('1 Reclamation and O&amp;M costs'!$I$46:$I$61,"&gt;="&amp;F108,'1 Reclamation and O&amp;M costs'!$Q$71:$Q$86)*(1+$H$8)</f>
        <v>0</v>
      </c>
      <c r="K108" s="17"/>
      <c r="L108" s="17">
        <f t="shared" si="10"/>
        <v>92</v>
      </c>
      <c r="M108" s="295">
        <f>SUMIF('1 Reclamation and O&amp;M costs'!$L$96:$L$113,'3 WM cash flow'!L108,'1 Reclamation and O&amp;M costs'!P$113:$P186)*(1+$H$7)</f>
        <v>0</v>
      </c>
      <c r="N108" s="296">
        <f>SUMIF('1 Reclamation and O&amp;M costs'!$K$96:$K$113,'3 WM cash flow'!L108,'1 Reclamation and O&amp;M costs'!$T$96:$T$113)*(1+$H$7)</f>
        <v>0</v>
      </c>
      <c r="O108" s="295">
        <f>SUMIF('1 Reclamation and O&amp;M costs'!$K$96:$K$113,"&gt;="&amp;B108,'1 Reclamation and O&amp;M costs'!$R$96:$R$113)*(1+$H$8)</f>
        <v>0</v>
      </c>
      <c r="P108" s="296"/>
      <c r="Q108" s="17">
        <f t="shared" si="11"/>
        <v>92</v>
      </c>
      <c r="R108" s="295">
        <f>SUMIF('1 Reclamation and O&amp;M costs'!$H$123:$H$133,'3 WM cash flow'!Q108,'1 Reclamation and O&amp;M costs'!$Q$123:$Q$133)*(1+$H$7)</f>
        <v>0</v>
      </c>
      <c r="S108" s="296">
        <f>SUMIF('1 Reclamation and O&amp;M costs'!$H$123:$H$133,"&gt;="&amp;Q108,'1 Reclamation and O&amp;M costs'!$O$123:$O$133)*(1+$H$8)</f>
        <v>0</v>
      </c>
      <c r="T108" s="25"/>
      <c r="U108" s="17">
        <f t="shared" si="12"/>
        <v>92</v>
      </c>
      <c r="V108" s="295">
        <f>(IF(U108&lt;('1 Reclamation and O&amp;M costs'!$O$24-'1 Reclamation and O&amp;M costs'!$O$23),'2 Sampling Cost'!$O$13,IF(U108&lt;'1 Reclamation and O&amp;M costs'!$O$25,'2 Sampling Cost'!$O$14,'2 Sampling Cost'!$O$15)))*(1+$H$9)</f>
        <v>2380</v>
      </c>
      <c r="W108" s="296"/>
      <c r="X108" s="295">
        <f t="shared" si="13"/>
        <v>2380</v>
      </c>
      <c r="Y108" s="296"/>
      <c r="Z108" s="25"/>
    </row>
    <row r="109" spans="2:26" ht="15.75">
      <c r="B109" s="17">
        <f t="shared" si="8"/>
        <v>93</v>
      </c>
      <c r="C109" s="295">
        <f>SUMIF('1 Reclamation and O&amp;M costs'!$N$29:$N$38,B109,'1 Reclamation and O&amp;M costs'!$P$29:$P$38)*($H$7+1)</f>
        <v>0</v>
      </c>
      <c r="D109" s="296">
        <f>SUMIF('1 Reclamation and O&amp;M costs'!$M$29:$M$38,"&gt;="&amp;B109,'1 Reclamation and O&amp;M costs'!$R$29:$R$38)*($H$8+1)</f>
        <v>0</v>
      </c>
      <c r="E109" s="17"/>
      <c r="F109" s="17">
        <f t="shared" si="9"/>
        <v>93</v>
      </c>
      <c r="G109" s="295">
        <f>SUMIF('1 Reclamation and O&amp;M costs'!$J$46:$J$61,'3 WM cash flow'!F109,'1 Reclamation and O&amp;M costs'!$P$71:$P$86)*(1+$H$7)</f>
        <v>0</v>
      </c>
      <c r="H109" s="296">
        <f>SUMIF('1 Reclamation and O&amp;M costs'!$I$46:$I$61,'3 WM cash flow'!F109,'1 Reclamation and O&amp;M costs'!$S$71:$S$86)*(1+$H$7)</f>
        <v>0</v>
      </c>
      <c r="I109" s="295">
        <f>(IF('3 WM cash flow'!F109&lt;=('1 Reclamation and O&amp;M costs'!$O$24-'1 Reclamation and O&amp;M costs'!$O$23),0,SUMIF('1 Reclamation and O&amp;M costs'!$I$46:$I$61,"&gt;="&amp;'3 WM cash flow'!F109,'1 Reclamation and O&amp;M costs'!$N$71:$N$86))+IF('3 WM cash flow'!F109&lt;=('1 Reclamation and O&amp;M costs'!$O$24-'1 Reclamation and O&amp;M costs'!$O$23),'1 Reclamation and O&amp;M costs'!$I$90,0))*(1+$H$9)</f>
        <v>0</v>
      </c>
      <c r="J109" s="296">
        <f>SUMIF('1 Reclamation and O&amp;M costs'!$I$46:$I$61,"&gt;="&amp;F109,'1 Reclamation and O&amp;M costs'!$Q$71:$Q$86)*(1+$H$8)</f>
        <v>0</v>
      </c>
      <c r="K109" s="17"/>
      <c r="L109" s="17">
        <f t="shared" si="10"/>
        <v>93</v>
      </c>
      <c r="M109" s="295">
        <f>SUMIF('1 Reclamation and O&amp;M costs'!$L$96:$L$113,'3 WM cash flow'!L109,'1 Reclamation and O&amp;M costs'!P$113:$P187)*(1+$H$7)</f>
        <v>0</v>
      </c>
      <c r="N109" s="296">
        <f>SUMIF('1 Reclamation and O&amp;M costs'!$K$96:$K$113,'3 WM cash flow'!L109,'1 Reclamation and O&amp;M costs'!$T$96:$T$113)*(1+$H$7)</f>
        <v>0</v>
      </c>
      <c r="O109" s="295">
        <f>SUMIF('1 Reclamation and O&amp;M costs'!$K$96:$K$113,"&gt;="&amp;B109,'1 Reclamation and O&amp;M costs'!$R$96:$R$113)*(1+$H$8)</f>
        <v>0</v>
      </c>
      <c r="P109" s="296"/>
      <c r="Q109" s="17">
        <f t="shared" si="11"/>
        <v>93</v>
      </c>
      <c r="R109" s="295">
        <f>SUMIF('1 Reclamation and O&amp;M costs'!$H$123:$H$133,'3 WM cash flow'!Q109,'1 Reclamation and O&amp;M costs'!$Q$123:$Q$133)*(1+$H$7)</f>
        <v>0</v>
      </c>
      <c r="S109" s="296">
        <f>SUMIF('1 Reclamation and O&amp;M costs'!$H$123:$H$133,"&gt;="&amp;Q109,'1 Reclamation and O&amp;M costs'!$O$123:$O$133)*(1+$H$8)</f>
        <v>0</v>
      </c>
      <c r="T109" s="25"/>
      <c r="U109" s="17">
        <f t="shared" si="12"/>
        <v>93</v>
      </c>
      <c r="V109" s="295">
        <f>(IF(U109&lt;('1 Reclamation and O&amp;M costs'!$O$24-'1 Reclamation and O&amp;M costs'!$O$23),'2 Sampling Cost'!$O$13,IF(U109&lt;'1 Reclamation and O&amp;M costs'!$O$25,'2 Sampling Cost'!$O$14,'2 Sampling Cost'!$O$15)))*(1+$H$9)</f>
        <v>2380</v>
      </c>
      <c r="W109" s="296"/>
      <c r="X109" s="295">
        <f t="shared" si="13"/>
        <v>2380</v>
      </c>
      <c r="Y109" s="296"/>
      <c r="Z109" s="25"/>
    </row>
    <row r="110" spans="2:26" ht="15.75">
      <c r="B110" s="17">
        <f t="shared" si="8"/>
        <v>94</v>
      </c>
      <c r="C110" s="295">
        <f>SUMIF('1 Reclamation and O&amp;M costs'!$N$29:$N$38,B110,'1 Reclamation and O&amp;M costs'!$P$29:$P$38)*($H$7+1)</f>
        <v>0</v>
      </c>
      <c r="D110" s="296">
        <f>SUMIF('1 Reclamation and O&amp;M costs'!$M$29:$M$38,"&gt;="&amp;B110,'1 Reclamation and O&amp;M costs'!$R$29:$R$38)*($H$8+1)</f>
        <v>0</v>
      </c>
      <c r="E110" s="17"/>
      <c r="F110" s="17">
        <f t="shared" si="9"/>
        <v>94</v>
      </c>
      <c r="G110" s="295">
        <f>SUMIF('1 Reclamation and O&amp;M costs'!$J$46:$J$61,'3 WM cash flow'!F110,'1 Reclamation and O&amp;M costs'!$P$71:$P$86)*(1+$H$7)</f>
        <v>0</v>
      </c>
      <c r="H110" s="296">
        <f>SUMIF('1 Reclamation and O&amp;M costs'!$I$46:$I$61,'3 WM cash flow'!F110,'1 Reclamation and O&amp;M costs'!$S$71:$S$86)*(1+$H$7)</f>
        <v>0</v>
      </c>
      <c r="I110" s="295">
        <f>(IF('3 WM cash flow'!F110&lt;=('1 Reclamation and O&amp;M costs'!$O$24-'1 Reclamation and O&amp;M costs'!$O$23),0,SUMIF('1 Reclamation and O&amp;M costs'!$I$46:$I$61,"&gt;="&amp;'3 WM cash flow'!F110,'1 Reclamation and O&amp;M costs'!$N$71:$N$86))+IF('3 WM cash flow'!F110&lt;=('1 Reclamation and O&amp;M costs'!$O$24-'1 Reclamation and O&amp;M costs'!$O$23),'1 Reclamation and O&amp;M costs'!$I$90,0))*(1+$H$9)</f>
        <v>0</v>
      </c>
      <c r="J110" s="296">
        <f>SUMIF('1 Reclamation and O&amp;M costs'!$I$46:$I$61,"&gt;="&amp;F110,'1 Reclamation and O&amp;M costs'!$Q$71:$Q$86)*(1+$H$8)</f>
        <v>0</v>
      </c>
      <c r="K110" s="17"/>
      <c r="L110" s="17">
        <f t="shared" si="10"/>
        <v>94</v>
      </c>
      <c r="M110" s="295">
        <f>SUMIF('1 Reclamation and O&amp;M costs'!$L$96:$L$113,'3 WM cash flow'!L110,'1 Reclamation and O&amp;M costs'!P$113:$P188)*(1+$H$7)</f>
        <v>0</v>
      </c>
      <c r="N110" s="296">
        <f>SUMIF('1 Reclamation and O&amp;M costs'!$K$96:$K$113,'3 WM cash flow'!L110,'1 Reclamation and O&amp;M costs'!$T$96:$T$113)*(1+$H$7)</f>
        <v>0</v>
      </c>
      <c r="O110" s="295">
        <f>SUMIF('1 Reclamation and O&amp;M costs'!$K$96:$K$113,"&gt;="&amp;B110,'1 Reclamation and O&amp;M costs'!$R$96:$R$113)*(1+$H$8)</f>
        <v>0</v>
      </c>
      <c r="P110" s="296"/>
      <c r="Q110" s="17">
        <f t="shared" si="11"/>
        <v>94</v>
      </c>
      <c r="R110" s="295">
        <f>SUMIF('1 Reclamation and O&amp;M costs'!$H$123:$H$133,'3 WM cash flow'!Q110,'1 Reclamation and O&amp;M costs'!$Q$123:$Q$133)*(1+$H$7)</f>
        <v>0</v>
      </c>
      <c r="S110" s="296">
        <f>SUMIF('1 Reclamation and O&amp;M costs'!$H$123:$H$133,"&gt;="&amp;Q110,'1 Reclamation and O&amp;M costs'!$O$123:$O$133)*(1+$H$8)</f>
        <v>0</v>
      </c>
      <c r="T110" s="25"/>
      <c r="U110" s="17">
        <f t="shared" si="12"/>
        <v>94</v>
      </c>
      <c r="V110" s="295">
        <f>(IF(U110&lt;('1 Reclamation and O&amp;M costs'!$O$24-'1 Reclamation and O&amp;M costs'!$O$23),'2 Sampling Cost'!$O$13,IF(U110&lt;'1 Reclamation and O&amp;M costs'!$O$25,'2 Sampling Cost'!$O$14,'2 Sampling Cost'!$O$15)))*(1+$H$9)</f>
        <v>2380</v>
      </c>
      <c r="W110" s="296"/>
      <c r="X110" s="295">
        <f t="shared" si="13"/>
        <v>2380</v>
      </c>
      <c r="Y110" s="296"/>
      <c r="Z110" s="25"/>
    </row>
    <row r="111" spans="2:26" ht="15.75">
      <c r="B111" s="17">
        <f t="shared" si="8"/>
        <v>95</v>
      </c>
      <c r="C111" s="295">
        <f>SUMIF('1 Reclamation and O&amp;M costs'!$N$29:$N$38,B111,'1 Reclamation and O&amp;M costs'!$P$29:$P$38)*($H$7+1)</f>
        <v>0</v>
      </c>
      <c r="D111" s="296">
        <f>SUMIF('1 Reclamation and O&amp;M costs'!$M$29:$M$38,"&gt;="&amp;B111,'1 Reclamation and O&amp;M costs'!$R$29:$R$38)*($H$8+1)</f>
        <v>0</v>
      </c>
      <c r="E111" s="17"/>
      <c r="F111" s="17">
        <f t="shared" si="9"/>
        <v>95</v>
      </c>
      <c r="G111" s="295">
        <f>SUMIF('1 Reclamation and O&amp;M costs'!$J$46:$J$61,'3 WM cash flow'!F111,'1 Reclamation and O&amp;M costs'!$P$71:$P$86)*(1+$H$7)</f>
        <v>0</v>
      </c>
      <c r="H111" s="296">
        <f>SUMIF('1 Reclamation and O&amp;M costs'!$I$46:$I$61,'3 WM cash flow'!F111,'1 Reclamation and O&amp;M costs'!$S$71:$S$86)*(1+$H$7)</f>
        <v>0</v>
      </c>
      <c r="I111" s="295">
        <f>(IF('3 WM cash flow'!F111&lt;=('1 Reclamation and O&amp;M costs'!$O$24-'1 Reclamation and O&amp;M costs'!$O$23),0,SUMIF('1 Reclamation and O&amp;M costs'!$I$46:$I$61,"&gt;="&amp;'3 WM cash flow'!F111,'1 Reclamation and O&amp;M costs'!$N$71:$N$86))+IF('3 WM cash flow'!F111&lt;=('1 Reclamation and O&amp;M costs'!$O$24-'1 Reclamation and O&amp;M costs'!$O$23),'1 Reclamation and O&amp;M costs'!$I$90,0))*(1+$H$9)</f>
        <v>0</v>
      </c>
      <c r="J111" s="296">
        <f>SUMIF('1 Reclamation and O&amp;M costs'!$I$46:$I$61,"&gt;="&amp;F111,'1 Reclamation and O&amp;M costs'!$Q$71:$Q$86)*(1+$H$8)</f>
        <v>0</v>
      </c>
      <c r="K111" s="17"/>
      <c r="L111" s="17">
        <f t="shared" si="10"/>
        <v>95</v>
      </c>
      <c r="M111" s="295">
        <f>SUMIF('1 Reclamation and O&amp;M costs'!$L$96:$L$113,'3 WM cash flow'!L111,'1 Reclamation and O&amp;M costs'!P$113:$P189)*(1+$H$7)</f>
        <v>0</v>
      </c>
      <c r="N111" s="296">
        <f>SUMIF('1 Reclamation and O&amp;M costs'!$K$96:$K$113,'3 WM cash flow'!L111,'1 Reclamation and O&amp;M costs'!$T$96:$T$113)*(1+$H$7)</f>
        <v>0</v>
      </c>
      <c r="O111" s="295">
        <f>SUMIF('1 Reclamation and O&amp;M costs'!$K$96:$K$113,"&gt;="&amp;B111,'1 Reclamation and O&amp;M costs'!$R$96:$R$113)*(1+$H$8)</f>
        <v>0</v>
      </c>
      <c r="P111" s="296"/>
      <c r="Q111" s="17">
        <f t="shared" si="11"/>
        <v>95</v>
      </c>
      <c r="R111" s="295">
        <f>SUMIF('1 Reclamation and O&amp;M costs'!$H$123:$H$133,'3 WM cash flow'!Q111,'1 Reclamation and O&amp;M costs'!$Q$123:$Q$133)*(1+$H$7)</f>
        <v>0</v>
      </c>
      <c r="S111" s="296">
        <f>SUMIF('1 Reclamation and O&amp;M costs'!$H$123:$H$133,"&gt;="&amp;Q111,'1 Reclamation and O&amp;M costs'!$O$123:$O$133)*(1+$H$8)</f>
        <v>0</v>
      </c>
      <c r="T111" s="25"/>
      <c r="U111" s="17">
        <f t="shared" si="12"/>
        <v>95</v>
      </c>
      <c r="V111" s="295">
        <f>(IF(U111&lt;('1 Reclamation and O&amp;M costs'!$O$24-'1 Reclamation and O&amp;M costs'!$O$23),'2 Sampling Cost'!$O$13,IF(U111&lt;'1 Reclamation and O&amp;M costs'!$O$25,'2 Sampling Cost'!$O$14,'2 Sampling Cost'!$O$15)))*(1+$H$9)</f>
        <v>2380</v>
      </c>
      <c r="W111" s="296"/>
      <c r="X111" s="295">
        <f t="shared" si="13"/>
        <v>2380</v>
      </c>
      <c r="Y111" s="296"/>
      <c r="Z111" s="25"/>
    </row>
    <row r="112" spans="2:26" ht="15.75">
      <c r="B112" s="17">
        <f t="shared" si="8"/>
        <v>96</v>
      </c>
      <c r="C112" s="295">
        <f>SUMIF('1 Reclamation and O&amp;M costs'!$N$29:$N$38,B112,'1 Reclamation and O&amp;M costs'!$P$29:$P$38)*($H$7+1)</f>
        <v>0</v>
      </c>
      <c r="D112" s="296">
        <f>SUMIF('1 Reclamation and O&amp;M costs'!$M$29:$M$38,"&gt;="&amp;B112,'1 Reclamation and O&amp;M costs'!$R$29:$R$38)*($H$8+1)</f>
        <v>0</v>
      </c>
      <c r="E112" s="17"/>
      <c r="F112" s="17">
        <f t="shared" si="9"/>
        <v>96</v>
      </c>
      <c r="G112" s="295">
        <f>SUMIF('1 Reclamation and O&amp;M costs'!$J$46:$J$61,'3 WM cash flow'!F112,'1 Reclamation and O&amp;M costs'!$P$71:$P$86)*(1+$H$7)</f>
        <v>0</v>
      </c>
      <c r="H112" s="296">
        <f>SUMIF('1 Reclamation and O&amp;M costs'!$I$46:$I$61,'3 WM cash flow'!F112,'1 Reclamation and O&amp;M costs'!$S$71:$S$86)*(1+$H$7)</f>
        <v>0</v>
      </c>
      <c r="I112" s="295">
        <f>(IF('3 WM cash flow'!F112&lt;=('1 Reclamation and O&amp;M costs'!$O$24-'1 Reclamation and O&amp;M costs'!$O$23),0,SUMIF('1 Reclamation and O&amp;M costs'!$I$46:$I$61,"&gt;="&amp;'3 WM cash flow'!F112,'1 Reclamation and O&amp;M costs'!$N$71:$N$86))+IF('3 WM cash flow'!F112&lt;=('1 Reclamation and O&amp;M costs'!$O$24-'1 Reclamation and O&amp;M costs'!$O$23),'1 Reclamation and O&amp;M costs'!$I$90,0))*(1+$H$9)</f>
        <v>0</v>
      </c>
      <c r="J112" s="296">
        <f>SUMIF('1 Reclamation and O&amp;M costs'!$I$46:$I$61,"&gt;="&amp;F112,'1 Reclamation and O&amp;M costs'!$Q$71:$Q$86)*(1+$H$8)</f>
        <v>0</v>
      </c>
      <c r="K112" s="17"/>
      <c r="L112" s="17">
        <f t="shared" si="10"/>
        <v>96</v>
      </c>
      <c r="M112" s="295">
        <f>SUMIF('1 Reclamation and O&amp;M costs'!$L$96:$L$113,'3 WM cash flow'!L112,'1 Reclamation and O&amp;M costs'!P$113:$P190)*(1+$H$7)</f>
        <v>0</v>
      </c>
      <c r="N112" s="296">
        <f>SUMIF('1 Reclamation and O&amp;M costs'!$K$96:$K$113,'3 WM cash flow'!L112,'1 Reclamation and O&amp;M costs'!$T$96:$T$113)*(1+$H$7)</f>
        <v>0</v>
      </c>
      <c r="O112" s="295">
        <f>SUMIF('1 Reclamation and O&amp;M costs'!$K$96:$K$113,"&gt;="&amp;B112,'1 Reclamation and O&amp;M costs'!$R$96:$R$113)*(1+$H$8)</f>
        <v>0</v>
      </c>
      <c r="P112" s="296"/>
      <c r="Q112" s="17">
        <f t="shared" si="11"/>
        <v>96</v>
      </c>
      <c r="R112" s="295">
        <f>SUMIF('1 Reclamation and O&amp;M costs'!$H$123:$H$133,'3 WM cash flow'!Q112,'1 Reclamation and O&amp;M costs'!$Q$123:$Q$133)*(1+$H$7)</f>
        <v>0</v>
      </c>
      <c r="S112" s="296">
        <f>SUMIF('1 Reclamation and O&amp;M costs'!$H$123:$H$133,"&gt;="&amp;Q112,'1 Reclamation and O&amp;M costs'!$O$123:$O$133)*(1+$H$8)</f>
        <v>0</v>
      </c>
      <c r="T112" s="25"/>
      <c r="U112" s="17">
        <f t="shared" si="12"/>
        <v>96</v>
      </c>
      <c r="V112" s="295">
        <f>(IF(U112&lt;('1 Reclamation and O&amp;M costs'!$O$24-'1 Reclamation and O&amp;M costs'!$O$23),'2 Sampling Cost'!$O$13,IF(U112&lt;'1 Reclamation and O&amp;M costs'!$O$25,'2 Sampling Cost'!$O$14,'2 Sampling Cost'!$O$15)))*(1+$H$9)</f>
        <v>2380</v>
      </c>
      <c r="W112" s="296"/>
      <c r="X112" s="295">
        <f t="shared" si="13"/>
        <v>2380</v>
      </c>
      <c r="Y112" s="296"/>
      <c r="Z112" s="25"/>
    </row>
    <row r="113" spans="2:26" ht="15.75">
      <c r="B113" s="17">
        <f t="shared" si="8"/>
        <v>97</v>
      </c>
      <c r="C113" s="295">
        <f>SUMIF('1 Reclamation and O&amp;M costs'!$N$29:$N$38,B113,'1 Reclamation and O&amp;M costs'!$P$29:$P$38)*($H$7+1)</f>
        <v>0</v>
      </c>
      <c r="D113" s="296">
        <f>SUMIF('1 Reclamation and O&amp;M costs'!$M$29:$M$38,"&gt;="&amp;B113,'1 Reclamation and O&amp;M costs'!$R$29:$R$38)*($H$8+1)</f>
        <v>0</v>
      </c>
      <c r="E113" s="17"/>
      <c r="F113" s="17">
        <f aca="true" t="shared" si="14" ref="F113:F115">1+F112</f>
        <v>97</v>
      </c>
      <c r="G113" s="295">
        <f>SUMIF('1 Reclamation and O&amp;M costs'!$J$46:$J$61,'3 WM cash flow'!F113,'1 Reclamation and O&amp;M costs'!$P$71:$P$86)*(1+$H$7)</f>
        <v>0</v>
      </c>
      <c r="H113" s="296">
        <f>SUMIF('1 Reclamation and O&amp;M costs'!$I$46:$I$61,'3 WM cash flow'!F113,'1 Reclamation and O&amp;M costs'!$S$71:$S$86)*(1+$H$7)</f>
        <v>0</v>
      </c>
      <c r="I113" s="295">
        <f>(IF('3 WM cash flow'!F113&lt;=('1 Reclamation and O&amp;M costs'!$O$24-'1 Reclamation and O&amp;M costs'!$O$23),0,SUMIF('1 Reclamation and O&amp;M costs'!$I$46:$I$61,"&gt;="&amp;'3 WM cash flow'!F113,'1 Reclamation and O&amp;M costs'!$N$71:$N$86))+IF('3 WM cash flow'!F113&lt;=('1 Reclamation and O&amp;M costs'!$O$24-'1 Reclamation and O&amp;M costs'!$O$23),'1 Reclamation and O&amp;M costs'!$I$90,0))*(1+$H$9)</f>
        <v>0</v>
      </c>
      <c r="J113" s="296">
        <f>SUMIF('1 Reclamation and O&amp;M costs'!$I$46:$I$61,"&gt;="&amp;F113,'1 Reclamation and O&amp;M costs'!$Q$71:$Q$86)*(1+$H$8)</f>
        <v>0</v>
      </c>
      <c r="K113" s="17"/>
      <c r="L113" s="17">
        <f aca="true" t="shared" si="15" ref="L113:L115">L112+1</f>
        <v>97</v>
      </c>
      <c r="M113" s="295">
        <f>SUMIF('1 Reclamation and O&amp;M costs'!$L$96:$L$113,'3 WM cash flow'!L113,'1 Reclamation and O&amp;M costs'!P$113:$P191)*(1+$H$7)</f>
        <v>0</v>
      </c>
      <c r="N113" s="296">
        <f>SUMIF('1 Reclamation and O&amp;M costs'!$K$96:$K$113,'3 WM cash flow'!L113,'1 Reclamation and O&amp;M costs'!$T$96:$T$113)*(1+$H$7)</f>
        <v>0</v>
      </c>
      <c r="O113" s="295">
        <f>SUMIF('1 Reclamation and O&amp;M costs'!$K$96:$K$113,"&gt;="&amp;B113,'1 Reclamation and O&amp;M costs'!$R$96:$R$113)*(1+$H$8)</f>
        <v>0</v>
      </c>
      <c r="P113" s="296"/>
      <c r="Q113" s="17">
        <f t="shared" si="11"/>
        <v>97</v>
      </c>
      <c r="R113" s="295">
        <f>SUMIF('1 Reclamation and O&amp;M costs'!$H$123:$H$133,'3 WM cash flow'!Q113,'1 Reclamation and O&amp;M costs'!$Q$123:$Q$133)*(1+$H$7)</f>
        <v>0</v>
      </c>
      <c r="S113" s="296">
        <f>SUMIF('1 Reclamation and O&amp;M costs'!$H$123:$H$133,"&gt;="&amp;Q113,'1 Reclamation and O&amp;M costs'!$O$123:$O$133)*(1+$H$8)</f>
        <v>0</v>
      </c>
      <c r="T113" s="25"/>
      <c r="U113" s="17">
        <f t="shared" si="12"/>
        <v>97</v>
      </c>
      <c r="V113" s="295">
        <f>(IF(U113&lt;('1 Reclamation and O&amp;M costs'!$O$24-'1 Reclamation and O&amp;M costs'!$O$23),'2 Sampling Cost'!$O$13,IF(U113&lt;'1 Reclamation and O&amp;M costs'!$O$25,'2 Sampling Cost'!$O$14,'2 Sampling Cost'!$O$15)))*(1+$H$9)</f>
        <v>2380</v>
      </c>
      <c r="W113" s="296"/>
      <c r="X113" s="295">
        <f t="shared" si="13"/>
        <v>2380</v>
      </c>
      <c r="Y113" s="296"/>
      <c r="Z113" s="25"/>
    </row>
    <row r="114" spans="2:26" ht="15.75">
      <c r="B114" s="17">
        <f t="shared" si="8"/>
        <v>98</v>
      </c>
      <c r="C114" s="295">
        <f>SUMIF('1 Reclamation and O&amp;M costs'!$N$29:$N$38,B114,'1 Reclamation and O&amp;M costs'!$P$29:$P$38)*($H$7+1)</f>
        <v>0</v>
      </c>
      <c r="D114" s="296">
        <f>SUMIF('1 Reclamation and O&amp;M costs'!$M$29:$M$38,"&gt;="&amp;B114,'1 Reclamation and O&amp;M costs'!$R$29:$R$38)*($H$8+1)</f>
        <v>0</v>
      </c>
      <c r="E114" s="17"/>
      <c r="F114" s="17">
        <f t="shared" si="14"/>
        <v>98</v>
      </c>
      <c r="G114" s="295">
        <f>SUMIF('1 Reclamation and O&amp;M costs'!$J$46:$J$61,'3 WM cash flow'!F114,'1 Reclamation and O&amp;M costs'!$P$71:$P$86)*(1+$H$7)</f>
        <v>0</v>
      </c>
      <c r="H114" s="296">
        <f>SUMIF('1 Reclamation and O&amp;M costs'!$I$46:$I$61,'3 WM cash flow'!F114,'1 Reclamation and O&amp;M costs'!$S$71:$S$86)*(1+$H$7)</f>
        <v>0</v>
      </c>
      <c r="I114" s="295">
        <f>(IF('3 WM cash flow'!F114&lt;=('1 Reclamation and O&amp;M costs'!$O$24-'1 Reclamation and O&amp;M costs'!$O$23),0,SUMIF('1 Reclamation and O&amp;M costs'!$I$46:$I$61,"&gt;="&amp;'3 WM cash flow'!F114,'1 Reclamation and O&amp;M costs'!$N$71:$N$86))+IF('3 WM cash flow'!F114&lt;=('1 Reclamation and O&amp;M costs'!$O$24-'1 Reclamation and O&amp;M costs'!$O$23),'1 Reclamation and O&amp;M costs'!$I$90,0))*(1+$H$9)</f>
        <v>0</v>
      </c>
      <c r="J114" s="296">
        <f>SUMIF('1 Reclamation and O&amp;M costs'!$I$46:$I$61,"&gt;="&amp;F114,'1 Reclamation and O&amp;M costs'!$Q$71:$Q$86)*(1+$H$8)</f>
        <v>0</v>
      </c>
      <c r="K114" s="17"/>
      <c r="L114" s="17">
        <f t="shared" si="15"/>
        <v>98</v>
      </c>
      <c r="M114" s="295">
        <f>SUMIF('1 Reclamation and O&amp;M costs'!$L$96:$L$113,'3 WM cash flow'!L114,'1 Reclamation and O&amp;M costs'!P$113:$P192)*(1+$H$7)</f>
        <v>0</v>
      </c>
      <c r="N114" s="296">
        <f>SUMIF('1 Reclamation and O&amp;M costs'!$K$96:$K$113,'3 WM cash flow'!L114,'1 Reclamation and O&amp;M costs'!$T$96:$T$113)*(1+$H$7)</f>
        <v>0</v>
      </c>
      <c r="O114" s="295">
        <f>SUMIF('1 Reclamation and O&amp;M costs'!$K$96:$K$113,"&gt;="&amp;B114,'1 Reclamation and O&amp;M costs'!$R$96:$R$113)*(1+$H$8)</f>
        <v>0</v>
      </c>
      <c r="P114" s="296"/>
      <c r="Q114" s="17">
        <f t="shared" si="11"/>
        <v>98</v>
      </c>
      <c r="R114" s="295">
        <f>SUMIF('1 Reclamation and O&amp;M costs'!$H$123:$H$133,'3 WM cash flow'!Q114,'1 Reclamation and O&amp;M costs'!$Q$123:$Q$133)*(1+$H$7)</f>
        <v>0</v>
      </c>
      <c r="S114" s="296">
        <f>SUMIF('1 Reclamation and O&amp;M costs'!$H$123:$H$133,"&gt;="&amp;Q114,'1 Reclamation and O&amp;M costs'!$O$123:$O$133)*(1+$H$8)</f>
        <v>0</v>
      </c>
      <c r="T114" s="25"/>
      <c r="U114" s="17">
        <f t="shared" si="12"/>
        <v>98</v>
      </c>
      <c r="V114" s="295">
        <f>(IF(U114&lt;('1 Reclamation and O&amp;M costs'!$O$24-'1 Reclamation and O&amp;M costs'!$O$23),'2 Sampling Cost'!$O$13,IF(U114&lt;'1 Reclamation and O&amp;M costs'!$O$25,'2 Sampling Cost'!$O$14,'2 Sampling Cost'!$O$15)))*(1+$H$9)</f>
        <v>2380</v>
      </c>
      <c r="W114" s="296"/>
      <c r="X114" s="295">
        <f>SUM(V114,R114:S114,M114:O114,G114:J114,C114:D114)</f>
        <v>2380</v>
      </c>
      <c r="Y114" s="296"/>
      <c r="Z114" s="25"/>
    </row>
    <row r="115" spans="2:26" ht="15.75">
      <c r="B115" s="17">
        <f aca="true" t="shared" si="16" ref="B115">1+B114</f>
        <v>99</v>
      </c>
      <c r="C115" s="295">
        <f>SUMIF('1 Reclamation and O&amp;M costs'!$N$29:$N$38,B115,'1 Reclamation and O&amp;M costs'!$P$29:$P$38)*($H$7+1)</f>
        <v>0</v>
      </c>
      <c r="D115" s="296">
        <f>SUMIF('1 Reclamation and O&amp;M costs'!$M$29:$M$38,"&gt;="&amp;B115,'1 Reclamation and O&amp;M costs'!$R$29:$R$38)*($H$8+1)</f>
        <v>0</v>
      </c>
      <c r="E115" s="17"/>
      <c r="F115" s="17">
        <f t="shared" si="14"/>
        <v>99</v>
      </c>
      <c r="G115" s="295">
        <f>SUMIF('1 Reclamation and O&amp;M costs'!$J$46:$J$61,'3 WM cash flow'!F115,'1 Reclamation and O&amp;M costs'!$P$71:$P$86)*(1+$H$7)</f>
        <v>0</v>
      </c>
      <c r="H115" s="296">
        <f>SUMIF('1 Reclamation and O&amp;M costs'!$I$46:$I$61,'3 WM cash flow'!F115,'1 Reclamation and O&amp;M costs'!$S$71:$S$86)*(1+$H$7)</f>
        <v>0</v>
      </c>
      <c r="I115" s="295">
        <f>(IF('3 WM cash flow'!F115&lt;=('1 Reclamation and O&amp;M costs'!$O$24-'1 Reclamation and O&amp;M costs'!$O$23),0,SUMIF('1 Reclamation and O&amp;M costs'!$I$46:$I$61,"&gt;="&amp;'3 WM cash flow'!F115,'1 Reclamation and O&amp;M costs'!$N$71:$N$86))+IF('3 WM cash flow'!F115&lt;=('1 Reclamation and O&amp;M costs'!$O$24-'1 Reclamation and O&amp;M costs'!$O$23),'1 Reclamation and O&amp;M costs'!$I$90,0))*(1+$H$9)</f>
        <v>0</v>
      </c>
      <c r="J115" s="296">
        <f>SUMIF('1 Reclamation and O&amp;M costs'!$I$46:$I$61,"&gt;="&amp;F115,'1 Reclamation and O&amp;M costs'!$Q$71:$Q$86)*(1+$H$8)</f>
        <v>0</v>
      </c>
      <c r="K115" s="17"/>
      <c r="L115" s="17">
        <f t="shared" si="15"/>
        <v>99</v>
      </c>
      <c r="M115" s="295">
        <f>SUMIF('1 Reclamation and O&amp;M costs'!$L$96:$L$113,'3 WM cash flow'!L115,'1 Reclamation and O&amp;M costs'!P$113:$P193)*(1+$H$7)</f>
        <v>0</v>
      </c>
      <c r="N115" s="296">
        <f>SUMIF('1 Reclamation and O&amp;M costs'!$K$96:$K$113,'3 WM cash flow'!L115,'1 Reclamation and O&amp;M costs'!$T$96:$T$113)*(1+$H$7)</f>
        <v>0</v>
      </c>
      <c r="O115" s="295">
        <f>SUMIF('1 Reclamation and O&amp;M costs'!$K$96:$K$113,"&gt;="&amp;B115,'1 Reclamation and O&amp;M costs'!$R$96:$R$113)*(1+$H$8)</f>
        <v>0</v>
      </c>
      <c r="P115" s="296"/>
      <c r="Q115" s="17">
        <f t="shared" si="11"/>
        <v>99</v>
      </c>
      <c r="R115" s="295">
        <f>SUMIF('1 Reclamation and O&amp;M costs'!$H$123:$H$133,'3 WM cash flow'!Q115,'1 Reclamation and O&amp;M costs'!$Q$123:$Q$133)*(1+$H$7)</f>
        <v>0</v>
      </c>
      <c r="S115" s="296">
        <f>SUMIF('1 Reclamation and O&amp;M costs'!$H$123:$H$133,"&gt;="&amp;Q115,'1 Reclamation and O&amp;M costs'!$O$123:$O$133)*(1+$H$8)</f>
        <v>0</v>
      </c>
      <c r="T115" s="25"/>
      <c r="U115" s="17">
        <f t="shared" si="12"/>
        <v>99</v>
      </c>
      <c r="V115" s="295">
        <f>(IF(U115&lt;('1 Reclamation and O&amp;M costs'!$O$24-'1 Reclamation and O&amp;M costs'!$O$23),'2 Sampling Cost'!$O$13,IF(U115&lt;'1 Reclamation and O&amp;M costs'!$O$25,'2 Sampling Cost'!$O$14,'2 Sampling Cost'!$O$15)))*(1+$H$9)</f>
        <v>2380</v>
      </c>
      <c r="W115" s="296"/>
      <c r="X115" s="295">
        <f t="shared" si="13"/>
        <v>2380</v>
      </c>
      <c r="Y115" s="296"/>
      <c r="Z115" s="25"/>
    </row>
    <row r="116" spans="2:26" ht="15.75">
      <c r="B116" s="29" t="s">
        <v>231</v>
      </c>
      <c r="C116" s="297">
        <f>SUM(C16:C115)</f>
        <v>824779.7843028593</v>
      </c>
      <c r="D116" s="297">
        <f>SUM(D16:D115)</f>
        <v>217435.6202242224</v>
      </c>
      <c r="E116" s="30"/>
      <c r="F116" s="30"/>
      <c r="G116" s="297">
        <f>SUM(G16:G115)</f>
        <v>731821.5476420643</v>
      </c>
      <c r="H116" s="297">
        <f>SUM(H16:H115)</f>
        <v>186035</v>
      </c>
      <c r="I116" s="297">
        <f>SUM(I16:I115)</f>
        <v>36148.387809528926</v>
      </c>
      <c r="J116" s="297">
        <f>SUM(J16:J115)</f>
        <v>128817</v>
      </c>
      <c r="K116" s="30"/>
      <c r="L116" s="30"/>
      <c r="M116" s="297">
        <f ca="1">SUM(M16:M115)</f>
        <v>0</v>
      </c>
      <c r="N116" s="297">
        <f>SUM(N16:N115)</f>
        <v>122050.87762020997</v>
      </c>
      <c r="O116" s="297">
        <f>SUM(O16:O115)</f>
        <v>182837.75905395002</v>
      </c>
      <c r="P116" s="297"/>
      <c r="Q116" s="30"/>
      <c r="R116" s="297">
        <f>SUM(R16:R115)</f>
        <v>61632.24721499999</v>
      </c>
      <c r="S116" s="297">
        <f>SUM(S16:S115)</f>
        <v>128708.59193669951</v>
      </c>
      <c r="T116" s="30"/>
      <c r="U116" s="30"/>
      <c r="V116" s="297">
        <f>SUM(V16:V115)</f>
        <v>290360</v>
      </c>
      <c r="W116" s="297"/>
      <c r="X116" s="297">
        <f ca="1">SUM(X16:X115)</f>
        <v>2910626.8158045337</v>
      </c>
      <c r="Y116" s="297"/>
      <c r="Z116" s="24"/>
    </row>
    <row r="117" spans="1:26" ht="15.75">
      <c r="A117" s="58"/>
      <c r="B117" s="113" t="s">
        <v>233</v>
      </c>
      <c r="C117" s="295">
        <f>SUM(C16:C115)/($H$7+1)</f>
        <v>642852.5208907712</v>
      </c>
      <c r="D117" s="295">
        <f>SUM(D16:D115)/($H$8+1)</f>
        <v>185842.41044805333</v>
      </c>
      <c r="E117" s="17"/>
      <c r="F117" s="17"/>
      <c r="G117" s="295">
        <f>SUM(G16:G115)/($H$7+1)</f>
        <v>570398.712113846</v>
      </c>
      <c r="H117" s="295">
        <f>SUM(H16:H115)/($H$7+1)</f>
        <v>145000</v>
      </c>
      <c r="I117" s="295">
        <f>SUM(I16:I115)/($H$9+1)</f>
        <v>36148.387809528926</v>
      </c>
      <c r="J117" s="295">
        <f>SUM(J16:J115)/($H$8+1)</f>
        <v>110100</v>
      </c>
      <c r="K117" s="17"/>
      <c r="L117" s="17"/>
      <c r="M117" s="295">
        <f ca="1">SUM(M16:M115)/($H$7+1)</f>
        <v>0</v>
      </c>
      <c r="N117" s="295">
        <f>SUM(N16:N115)/($H$7+1)</f>
        <v>95129.28886999997</v>
      </c>
      <c r="O117" s="295">
        <f>SUM(O16:O115)/($H$8+1)</f>
        <v>156271.58893500004</v>
      </c>
      <c r="P117" s="295"/>
      <c r="Q117" s="17"/>
      <c r="R117" s="295">
        <f>SUM(R16:R115)/($H$7+1)</f>
        <v>48037.604999999996</v>
      </c>
      <c r="S117" s="295">
        <f>SUM(S16:S115)/($H$8+1)</f>
        <v>110007.34353564061</v>
      </c>
      <c r="T117" s="25"/>
      <c r="U117" s="17"/>
      <c r="V117" s="295">
        <f>SUM(V16:V115)/($H$9+1)</f>
        <v>290360</v>
      </c>
      <c r="W117" s="295"/>
      <c r="X117" s="387" t="s">
        <v>60</v>
      </c>
      <c r="Y117" s="295"/>
      <c r="Z117" s="51"/>
    </row>
    <row r="118" spans="2:22" ht="15.75">
      <c r="B118" s="17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</row>
    <row r="119" spans="2:22" ht="15.75">
      <c r="B119" s="17"/>
      <c r="C119" s="29" t="s">
        <v>231</v>
      </c>
      <c r="D119" s="61">
        <f ca="1">(C116+D116)+(G116+H116+J116+I116)+(M116+N116+O116)+(R116+S116)+(V116)</f>
        <v>2910626.8158045346</v>
      </c>
      <c r="E119" s="17"/>
      <c r="F119" s="17"/>
      <c r="G119" s="25"/>
      <c r="H119" s="25"/>
      <c r="I119" s="25"/>
      <c r="J119" s="25"/>
      <c r="K119" s="17"/>
      <c r="L119" s="17"/>
      <c r="M119" s="25"/>
      <c r="N119" s="25"/>
      <c r="V119" s="25"/>
    </row>
    <row r="120" spans="3:15" ht="15.75">
      <c r="C120" s="113" t="s">
        <v>233</v>
      </c>
      <c r="D120" s="61">
        <f ca="1">(C117+D117)+(G117+H117+J117+I117)+(M117+N117+O117)+(R117+S117)+(V117)</f>
        <v>2390147.85760284</v>
      </c>
      <c r="E120" s="17"/>
      <c r="F120" s="17"/>
      <c r="G120" s="17"/>
      <c r="H120" s="25"/>
      <c r="I120" s="25"/>
      <c r="J120" s="25"/>
      <c r="K120" s="17"/>
      <c r="L120" s="17"/>
      <c r="M120" s="17"/>
      <c r="N120" s="17"/>
      <c r="O120" s="19"/>
    </row>
    <row r="121" spans="4:14" ht="15.75">
      <c r="D121" s="61"/>
      <c r="E121" s="17"/>
      <c r="F121" s="17"/>
      <c r="G121" s="17"/>
      <c r="H121" s="17"/>
      <c r="I121" s="17"/>
      <c r="J121" s="25"/>
      <c r="K121" s="17"/>
      <c r="L121" s="17"/>
      <c r="M121" s="17"/>
      <c r="N121" s="17"/>
    </row>
    <row r="122" spans="2:14" ht="15.75">
      <c r="B122" s="17"/>
      <c r="C122" s="25"/>
      <c r="D122" s="25"/>
      <c r="E122" s="25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22" ht="11.25" customHeight="1">
      <c r="B124" s="18" t="s">
        <v>241</v>
      </c>
      <c r="C124" s="19">
        <f>C117+D117-'1 Reclamation and O&amp;M costs'!T40</f>
        <v>0</v>
      </c>
      <c r="G124" s="19">
        <f>G117+H117+J117+I117-'1 Reclamation and O&amp;M costs'!T91-'1 Reclamation and O&amp;M costs'!U91</f>
        <v>0</v>
      </c>
      <c r="M124" s="19">
        <f ca="1">M117+N117+O117-'1 Reclamation and O&amp;M costs'!U118</f>
        <v>0</v>
      </c>
      <c r="R124" s="19">
        <f>R117+S117-'1 Reclamation and O&amp;M costs'!R135</f>
        <v>0</v>
      </c>
      <c r="V124" s="19">
        <f>V117-'2 Sampling Cost'!O16</f>
        <v>0</v>
      </c>
    </row>
    <row r="127" ht="15.75">
      <c r="D127" s="25"/>
    </row>
    <row r="131" spans="3:5" ht="15.75">
      <c r="C131" s="75"/>
      <c r="D131" s="45"/>
      <c r="E131" s="44"/>
    </row>
    <row r="132" spans="3:4" ht="15.75">
      <c r="C132" s="75"/>
      <c r="D132" s="45"/>
    </row>
    <row r="133" spans="3:6" ht="15">
      <c r="C133" s="45"/>
      <c r="D133" s="45"/>
      <c r="F133" s="46"/>
    </row>
    <row r="134" spans="3:4" ht="15">
      <c r="C134" s="45"/>
      <c r="D134" s="45"/>
    </row>
    <row r="135" spans="3:4" ht="15">
      <c r="C135" s="45"/>
      <c r="D135" s="45"/>
    </row>
    <row r="136" spans="3:4" ht="15.75">
      <c r="C136" s="75"/>
      <c r="D136" s="45"/>
    </row>
    <row r="137" spans="3:4" ht="15">
      <c r="C137" s="45"/>
      <c r="D137" s="45"/>
    </row>
    <row r="138" spans="3:4" ht="15">
      <c r="C138" s="45"/>
      <c r="D138" s="45"/>
    </row>
    <row r="139" spans="3:4" ht="15.75">
      <c r="C139" s="17"/>
      <c r="D139" s="17"/>
    </row>
    <row r="141" spans="3:4" ht="15.75">
      <c r="C141" s="75"/>
      <c r="D141" s="45"/>
    </row>
    <row r="142" spans="3:4" ht="15.75">
      <c r="C142" s="75"/>
      <c r="D142" s="45"/>
    </row>
    <row r="143" spans="3:4" ht="15">
      <c r="C143" s="45"/>
      <c r="D143" s="45"/>
    </row>
    <row r="144" spans="3:4" ht="15">
      <c r="C144" s="45"/>
      <c r="D144" s="45"/>
    </row>
    <row r="145" spans="3:4" ht="15">
      <c r="C145" s="45"/>
      <c r="D145" s="45"/>
    </row>
    <row r="146" spans="3:4" ht="15.75">
      <c r="C146" s="75"/>
      <c r="D146" s="45"/>
    </row>
    <row r="147" spans="3:4" ht="15">
      <c r="C147" s="45"/>
      <c r="D147" s="45"/>
    </row>
    <row r="148" spans="3:4" ht="15">
      <c r="C148" s="45"/>
      <c r="D148" s="45"/>
    </row>
    <row r="149" spans="2:9" ht="15.75">
      <c r="B149" s="17"/>
      <c r="C149" s="17"/>
      <c r="D149" s="17"/>
      <c r="E149" s="17"/>
      <c r="F149" s="17"/>
      <c r="G149" s="17"/>
      <c r="H149" s="17"/>
      <c r="I149" s="17"/>
    </row>
    <row r="150" spans="2:9" ht="15.75">
      <c r="B150" s="17"/>
      <c r="C150" s="17"/>
      <c r="D150" s="17"/>
      <c r="E150" s="17"/>
      <c r="F150" s="17"/>
      <c r="G150" s="17"/>
      <c r="H150" s="17"/>
      <c r="I150" s="17"/>
    </row>
    <row r="151" spans="2:9" ht="15.75">
      <c r="B151" s="17"/>
      <c r="C151" s="17"/>
      <c r="E151" s="20"/>
      <c r="F151" s="20"/>
      <c r="G151" s="20"/>
      <c r="H151" s="20"/>
      <c r="I151" s="20"/>
    </row>
    <row r="152" spans="2:9" ht="15.75">
      <c r="B152" s="17"/>
      <c r="C152" s="17"/>
      <c r="E152" s="20"/>
      <c r="F152" s="20"/>
      <c r="G152" s="20"/>
      <c r="H152" s="20"/>
      <c r="I152" s="20"/>
    </row>
    <row r="153" spans="2:9" ht="15.75">
      <c r="B153" s="17"/>
      <c r="C153" s="17"/>
      <c r="E153" s="17"/>
      <c r="F153" s="17"/>
      <c r="G153" s="17"/>
      <c r="H153" s="17"/>
      <c r="I153" s="17"/>
    </row>
    <row r="154" spans="2:9" ht="15.75">
      <c r="B154" s="17"/>
      <c r="C154" s="17"/>
      <c r="E154" s="23"/>
      <c r="F154" s="23"/>
      <c r="G154" s="23"/>
      <c r="H154" s="23"/>
      <c r="I154" s="23"/>
    </row>
    <row r="155" spans="2:9" ht="15.75">
      <c r="B155" s="17"/>
      <c r="C155" s="17"/>
      <c r="E155" s="23"/>
      <c r="F155" s="23"/>
      <c r="G155" s="23"/>
      <c r="H155" s="23"/>
      <c r="I155" s="23"/>
    </row>
    <row r="156" spans="2:9" ht="15.75">
      <c r="B156" s="17"/>
      <c r="C156" s="17"/>
      <c r="E156" s="23"/>
      <c r="F156" s="23"/>
      <c r="G156" s="23"/>
      <c r="H156" s="23"/>
      <c r="I156" s="23"/>
    </row>
    <row r="157" spans="2:9" ht="15.75">
      <c r="B157" s="17"/>
      <c r="C157" s="17"/>
      <c r="E157" s="23"/>
      <c r="F157" s="23"/>
      <c r="G157" s="23"/>
      <c r="H157" s="23"/>
      <c r="I157" s="23"/>
    </row>
    <row r="158" spans="2:9" ht="15.75">
      <c r="B158" s="17"/>
      <c r="C158" s="17"/>
      <c r="E158" s="23"/>
      <c r="F158" s="23"/>
      <c r="G158" s="23"/>
      <c r="H158" s="23"/>
      <c r="I158" s="23"/>
    </row>
    <row r="159" spans="2:9" ht="15.75">
      <c r="B159" s="20"/>
      <c r="C159" s="20"/>
      <c r="E159" s="23"/>
      <c r="F159" s="23"/>
      <c r="G159" s="23"/>
      <c r="H159" s="23"/>
      <c r="I159" s="23"/>
    </row>
  </sheetData>
  <printOptions horizontalCentered="1"/>
  <pageMargins left="0.75" right="0.75" top="1" bottom="1" header="0.5" footer="0.5"/>
  <pageSetup fitToHeight="2" fitToWidth="1" horizontalDpi="600" verticalDpi="600" orientation="landscape" paperSize="17" scale="49" r:id="rId1"/>
  <headerFooter alignWithMargins="0">
    <oddFooter>&amp;C&amp;F
&amp;   Water Management Cash Flow Sheet 3
&amp;
Page &amp;P of &amp;N</oddFooter>
  </headerFooter>
  <rowBreaks count="1" manualBreakCount="1">
    <brk id="87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view="pageBreakPreview" zoomScale="60" workbookViewId="0" topLeftCell="A1">
      <selection activeCell="C28" sqref="C28"/>
    </sheetView>
  </sheetViews>
  <sheetFormatPr defaultColWidth="9.00390625" defaultRowHeight="15.75"/>
  <cols>
    <col min="1" max="1" width="20.25390625" style="283" customWidth="1"/>
    <col min="2" max="2" width="35.625" style="283" customWidth="1"/>
    <col min="3" max="3" width="9.00390625" style="283" customWidth="1"/>
    <col min="4" max="4" width="15.75390625" style="283" customWidth="1"/>
    <col min="5" max="5" width="9.375" style="283" customWidth="1"/>
  </cols>
  <sheetData>
    <row r="1" ht="15.75">
      <c r="E1" s="281" t="s">
        <v>320</v>
      </c>
    </row>
    <row r="2" spans="1:5" ht="15.75">
      <c r="A2" s="289"/>
      <c r="E2" s="277" t="s">
        <v>348</v>
      </c>
    </row>
    <row r="3" spans="1:5" ht="15.75">
      <c r="A3" s="284" t="s">
        <v>319</v>
      </c>
      <c r="E3" s="282">
        <v>41920</v>
      </c>
    </row>
    <row r="5" ht="15.75">
      <c r="A5" s="284" t="s">
        <v>320</v>
      </c>
    </row>
    <row r="6" ht="15.75">
      <c r="A6" s="285"/>
    </row>
    <row r="7" spans="1:4" ht="15.75">
      <c r="A7" s="285" t="s">
        <v>321</v>
      </c>
      <c r="D7" s="283" t="s">
        <v>322</v>
      </c>
    </row>
    <row r="8" spans="1:4" ht="15.75">
      <c r="A8" s="283" t="s">
        <v>323</v>
      </c>
      <c r="D8" s="286"/>
    </row>
    <row r="9" spans="2:4" ht="15.75">
      <c r="B9" s="283" t="s">
        <v>55</v>
      </c>
      <c r="D9" s="287">
        <f>'Summary Table'!B12+'Summary Table'!B17</f>
        <v>1501419</v>
      </c>
    </row>
    <row r="10" spans="2:4" ht="15.75">
      <c r="B10" s="283" t="s">
        <v>273</v>
      </c>
      <c r="D10" s="287">
        <f>SUM('Summary Table'!B19:B22)</f>
        <v>562221</v>
      </c>
    </row>
    <row r="11" ht="15.75">
      <c r="D11" s="288"/>
    </row>
    <row r="12" spans="1:4" ht="15.75">
      <c r="A12" s="289" t="s">
        <v>55</v>
      </c>
      <c r="D12" s="288"/>
    </row>
    <row r="13" spans="1:4" ht="15.75">
      <c r="A13" s="270" t="s">
        <v>341</v>
      </c>
      <c r="B13" s="271" t="s">
        <v>324</v>
      </c>
      <c r="C13" s="272">
        <v>0.038</v>
      </c>
      <c r="D13" s="273">
        <f>C13*$D$9</f>
        <v>57053.922</v>
      </c>
    </row>
    <row r="14" spans="1:4" ht="15.75">
      <c r="A14" s="271"/>
      <c r="B14" s="271" t="s">
        <v>325</v>
      </c>
      <c r="C14" s="272">
        <v>0.04</v>
      </c>
      <c r="D14" s="273">
        <f aca="true" t="shared" si="0" ref="D14:D18">C14*$D$9</f>
        <v>60056.76</v>
      </c>
    </row>
    <row r="15" spans="1:4" ht="15.75">
      <c r="A15" s="271"/>
      <c r="B15" s="271" t="s">
        <v>326</v>
      </c>
      <c r="C15" s="272">
        <v>0.025</v>
      </c>
      <c r="D15" s="273">
        <f t="shared" si="0"/>
        <v>37535.475</v>
      </c>
    </row>
    <row r="16" spans="1:4" ht="15.75">
      <c r="A16" s="271"/>
      <c r="B16" s="271" t="s">
        <v>327</v>
      </c>
      <c r="C16" s="272">
        <v>0.15</v>
      </c>
      <c r="D16" s="273">
        <f t="shared" si="0"/>
        <v>225212.85</v>
      </c>
    </row>
    <row r="17" spans="1:4" ht="15.75">
      <c r="A17" s="271"/>
      <c r="B17" s="271" t="s">
        <v>328</v>
      </c>
      <c r="C17" s="272">
        <v>0.03</v>
      </c>
      <c r="D17" s="273">
        <f t="shared" si="0"/>
        <v>45042.57</v>
      </c>
    </row>
    <row r="18" spans="1:4" ht="15.75">
      <c r="A18" s="271"/>
      <c r="B18" s="271" t="s">
        <v>329</v>
      </c>
      <c r="C18" s="272">
        <v>0</v>
      </c>
      <c r="D18" s="273">
        <f t="shared" si="0"/>
        <v>0</v>
      </c>
    </row>
    <row r="19" spans="1:4" ht="15.75">
      <c r="A19" s="271"/>
      <c r="B19" s="267" t="s">
        <v>330</v>
      </c>
      <c r="C19" s="268">
        <f>SUM(C13:C18)</f>
        <v>0.28300000000000003</v>
      </c>
      <c r="D19" s="290"/>
    </row>
    <row r="20" spans="1:4" ht="15.75">
      <c r="A20" s="271"/>
      <c r="B20" s="269" t="s">
        <v>269</v>
      </c>
      <c r="C20" s="268"/>
      <c r="D20" s="274">
        <f>SUM(D13:D18)</f>
        <v>424901.577</v>
      </c>
    </row>
    <row r="21" spans="1:4" ht="15.75">
      <c r="A21" s="289" t="s">
        <v>273</v>
      </c>
      <c r="D21" s="288"/>
    </row>
    <row r="22" spans="1:4" ht="15.75">
      <c r="A22" s="270" t="s">
        <v>341</v>
      </c>
      <c r="B22" s="271" t="s">
        <v>324</v>
      </c>
      <c r="C22" s="272">
        <v>0</v>
      </c>
      <c r="D22" s="273">
        <f aca="true" t="shared" si="1" ref="D22:D27">C22*$D$10</f>
        <v>0</v>
      </c>
    </row>
    <row r="23" spans="1:4" ht="15.75">
      <c r="A23" s="271"/>
      <c r="B23" s="271" t="s">
        <v>325</v>
      </c>
      <c r="C23" s="272">
        <v>0.04</v>
      </c>
      <c r="D23" s="273">
        <f t="shared" si="1"/>
        <v>22488.84</v>
      </c>
    </row>
    <row r="24" spans="1:4" ht="15.75">
      <c r="A24" s="271"/>
      <c r="B24" s="271" t="s">
        <v>326</v>
      </c>
      <c r="C24" s="272">
        <v>0</v>
      </c>
      <c r="D24" s="273">
        <f t="shared" si="1"/>
        <v>0</v>
      </c>
    </row>
    <row r="25" spans="1:4" ht="15.75">
      <c r="A25" s="271"/>
      <c r="B25" s="271" t="s">
        <v>327</v>
      </c>
      <c r="C25" s="272">
        <v>0.1</v>
      </c>
      <c r="D25" s="273">
        <f t="shared" si="1"/>
        <v>56222.100000000006</v>
      </c>
    </row>
    <row r="26" spans="1:4" ht="15.75">
      <c r="A26" s="271"/>
      <c r="B26" s="271" t="s">
        <v>328</v>
      </c>
      <c r="C26" s="272">
        <v>0.03</v>
      </c>
      <c r="D26" s="273">
        <f t="shared" si="1"/>
        <v>16866.63</v>
      </c>
    </row>
    <row r="27" spans="1:4" ht="15.75">
      <c r="A27" s="271"/>
      <c r="B27" s="271" t="s">
        <v>329</v>
      </c>
      <c r="C27" s="272">
        <v>0</v>
      </c>
      <c r="D27" s="273">
        <f t="shared" si="1"/>
        <v>0</v>
      </c>
    </row>
    <row r="28" spans="1:4" ht="15.75">
      <c r="A28" s="271"/>
      <c r="B28" s="267" t="s">
        <v>330</v>
      </c>
      <c r="C28" s="268">
        <f>SUM(C22:C27)</f>
        <v>0.17</v>
      </c>
      <c r="D28" s="290"/>
    </row>
    <row r="29" spans="1:4" ht="15.75">
      <c r="A29" s="271"/>
      <c r="B29" s="269" t="s">
        <v>269</v>
      </c>
      <c r="C29" s="268"/>
      <c r="D29" s="274">
        <f>SUM(D22:D27)</f>
        <v>95577.57</v>
      </c>
    </row>
    <row r="30" ht="15.75">
      <c r="D30" s="288"/>
    </row>
    <row r="31" spans="1:4" ht="15.75">
      <c r="A31" s="289" t="s">
        <v>340</v>
      </c>
      <c r="D31" s="291">
        <f>'Summary Table'!D24+'Summary Table'!D25</f>
        <v>326508</v>
      </c>
    </row>
    <row r="32" ht="15.75">
      <c r="D32" s="288"/>
    </row>
    <row r="33" spans="1:4" ht="15.75">
      <c r="A33" s="289" t="s">
        <v>331</v>
      </c>
      <c r="D33" s="291">
        <f>D31+D29+D20+D10+D9</f>
        <v>2910627.147</v>
      </c>
    </row>
    <row r="35" ht="15.75">
      <c r="A35" s="283" t="s">
        <v>332</v>
      </c>
    </row>
    <row r="36" ht="15.75">
      <c r="A36" s="283" t="s">
        <v>333</v>
      </c>
    </row>
    <row r="37" ht="15.75">
      <c r="A37" s="283" t="s">
        <v>334</v>
      </c>
    </row>
    <row r="38" ht="15.75">
      <c r="A38" s="283" t="s">
        <v>335</v>
      </c>
    </row>
    <row r="39" ht="15.75">
      <c r="A39" s="283" t="s">
        <v>336</v>
      </c>
    </row>
    <row r="41" ht="15.75">
      <c r="A41" s="294" t="s">
        <v>337</v>
      </c>
    </row>
    <row r="42" spans="1:2" ht="15.75">
      <c r="A42" s="294" t="s">
        <v>338</v>
      </c>
      <c r="B42" s="283" t="s">
        <v>339</v>
      </c>
    </row>
  </sheetData>
  <printOptions/>
  <pageMargins left="0.7" right="0.7" top="0.75" bottom="0.75" header="0.3" footer="0.3"/>
  <pageSetup fitToHeight="1" fitToWidth="1" horizontalDpi="600" verticalDpi="600" orientation="portrait" scale="94" r:id="rId1"/>
  <headerFooter>
    <oddFooter>&amp;C&amp;F
&amp;   Water Management Summary Sheet 4
&amp;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8"/>
  <sheetViews>
    <sheetView showGridLines="0" view="pageBreakPreview" zoomScale="85" zoomScaleSheetLayoutView="85" workbookViewId="0" topLeftCell="A19">
      <selection activeCell="B25" sqref="B25"/>
    </sheetView>
  </sheetViews>
  <sheetFormatPr defaultColWidth="8.00390625" defaultRowHeight="15.75"/>
  <cols>
    <col min="1" max="1" width="2.625" style="53" customWidth="1"/>
    <col min="2" max="2" width="29.875" style="53" customWidth="1"/>
    <col min="3" max="3" width="16.75390625" style="53" customWidth="1"/>
    <col min="4" max="4" width="8.875" style="53" customWidth="1"/>
    <col min="5" max="5" width="16.625" style="53" customWidth="1"/>
    <col min="6" max="6" width="17.375" style="53" customWidth="1"/>
    <col min="7" max="7" width="11.125" style="53" customWidth="1"/>
    <col min="8" max="8" width="76.00390625" style="53" customWidth="1"/>
    <col min="9" max="16384" width="8.00390625" style="53" customWidth="1"/>
  </cols>
  <sheetData>
    <row r="2" ht="16.5" thickBot="1">
      <c r="B2" s="52" t="s">
        <v>77</v>
      </c>
    </row>
    <row r="3" spans="2:8" ht="15.75" thickTop="1">
      <c r="B3" s="427" t="s">
        <v>78</v>
      </c>
      <c r="C3" s="82" t="s">
        <v>182</v>
      </c>
      <c r="D3" s="429" t="s">
        <v>79</v>
      </c>
      <c r="E3" s="83" t="s">
        <v>80</v>
      </c>
      <c r="F3" s="83" t="s">
        <v>81</v>
      </c>
      <c r="G3" s="83" t="s">
        <v>81</v>
      </c>
      <c r="H3" s="425" t="s">
        <v>82</v>
      </c>
    </row>
    <row r="4" spans="2:8" ht="15.75" thickBot="1">
      <c r="B4" s="428"/>
      <c r="C4" s="84" t="s">
        <v>83</v>
      </c>
      <c r="D4" s="430"/>
      <c r="E4" s="85" t="s">
        <v>183</v>
      </c>
      <c r="F4" s="85" t="s">
        <v>84</v>
      </c>
      <c r="G4" s="85" t="s">
        <v>85</v>
      </c>
      <c r="H4" s="426"/>
    </row>
    <row r="5" spans="2:8" ht="15.75" thickTop="1">
      <c r="B5" s="81" t="s">
        <v>86</v>
      </c>
      <c r="C5" s="121">
        <v>199.5</v>
      </c>
      <c r="D5" s="122" t="s">
        <v>87</v>
      </c>
      <c r="E5" s="121">
        <f aca="true" t="shared" si="0" ref="E5:E10">C5*0.847</f>
        <v>168.9765</v>
      </c>
      <c r="F5" s="122" t="s">
        <v>88</v>
      </c>
      <c r="G5" s="122">
        <v>36</v>
      </c>
      <c r="H5" s="123" t="s">
        <v>170</v>
      </c>
    </row>
    <row r="6" spans="2:8" ht="15.75">
      <c r="B6" s="76" t="s">
        <v>89</v>
      </c>
      <c r="C6" s="86">
        <v>85.5</v>
      </c>
      <c r="D6" s="77" t="s">
        <v>87</v>
      </c>
      <c r="E6" s="86">
        <f t="shared" si="0"/>
        <v>72.4185</v>
      </c>
      <c r="F6" s="77" t="s">
        <v>90</v>
      </c>
      <c r="G6" s="77">
        <v>36</v>
      </c>
      <c r="H6" s="124" t="s">
        <v>171</v>
      </c>
    </row>
    <row r="7" spans="2:8" ht="15.75">
      <c r="B7" s="76" t="s">
        <v>184</v>
      </c>
      <c r="C7" s="87">
        <v>601</v>
      </c>
      <c r="D7" s="77" t="s">
        <v>87</v>
      </c>
      <c r="E7" s="87">
        <f t="shared" si="0"/>
        <v>509.04699999999997</v>
      </c>
      <c r="F7" s="77" t="s">
        <v>173</v>
      </c>
      <c r="G7" s="77">
        <v>376</v>
      </c>
      <c r="H7" s="124" t="s">
        <v>174</v>
      </c>
    </row>
    <row r="8" spans="2:8" ht="15.75">
      <c r="B8" s="76" t="s">
        <v>92</v>
      </c>
      <c r="C8" s="87">
        <v>1245</v>
      </c>
      <c r="D8" s="77" t="s">
        <v>87</v>
      </c>
      <c r="E8" s="87">
        <f t="shared" si="0"/>
        <v>1054.5149999999999</v>
      </c>
      <c r="F8" s="125" t="s">
        <v>175</v>
      </c>
      <c r="G8" s="125">
        <v>376</v>
      </c>
      <c r="H8" s="124" t="s">
        <v>176</v>
      </c>
    </row>
    <row r="9" spans="2:8" ht="15.75">
      <c r="B9" s="76" t="s">
        <v>93</v>
      </c>
      <c r="C9" s="86">
        <f>97.75*'1 Reclamation and O&amp;M costs'!$O$15/5280</f>
        <v>1.8513257575757576</v>
      </c>
      <c r="D9" s="77" t="s">
        <v>87</v>
      </c>
      <c r="E9" s="86">
        <f t="shared" si="0"/>
        <v>1.5680729166666667</v>
      </c>
      <c r="F9" s="125" t="s">
        <v>177</v>
      </c>
      <c r="G9" s="125">
        <v>376</v>
      </c>
      <c r="H9" s="124" t="s">
        <v>213</v>
      </c>
    </row>
    <row r="10" spans="2:8" ht="16.5" customHeight="1">
      <c r="B10" s="76" t="s">
        <v>227</v>
      </c>
      <c r="C10" s="87">
        <v>319</v>
      </c>
      <c r="D10" s="77" t="s">
        <v>87</v>
      </c>
      <c r="E10" s="87">
        <f t="shared" si="0"/>
        <v>270.193</v>
      </c>
      <c r="F10" s="77" t="s">
        <v>91</v>
      </c>
      <c r="G10" s="77">
        <v>376</v>
      </c>
      <c r="H10" s="124" t="s">
        <v>226</v>
      </c>
    </row>
    <row r="11" spans="2:8" ht="15.75">
      <c r="B11" s="76" t="s">
        <v>94</v>
      </c>
      <c r="C11" s="126">
        <v>575</v>
      </c>
      <c r="D11" s="77" t="s">
        <v>95</v>
      </c>
      <c r="E11" s="87">
        <f aca="true" t="shared" si="1" ref="E11:E33">C11*0.847</f>
        <v>487.025</v>
      </c>
      <c r="F11" s="77" t="s">
        <v>96</v>
      </c>
      <c r="G11" s="77">
        <v>380</v>
      </c>
      <c r="H11" s="124" t="s">
        <v>248</v>
      </c>
    </row>
    <row r="12" spans="2:8" ht="15.75">
      <c r="B12" s="76" t="s">
        <v>97</v>
      </c>
      <c r="C12" s="126">
        <v>13175</v>
      </c>
      <c r="D12" s="77" t="s">
        <v>95</v>
      </c>
      <c r="E12" s="87">
        <f t="shared" si="1"/>
        <v>11159.225</v>
      </c>
      <c r="F12" s="77" t="s">
        <v>98</v>
      </c>
      <c r="G12" s="77">
        <v>380</v>
      </c>
      <c r="H12" s="124" t="s">
        <v>99</v>
      </c>
    </row>
    <row r="13" spans="2:8" ht="15.75">
      <c r="B13" s="76" t="s">
        <v>353</v>
      </c>
      <c r="C13" s="126">
        <v>293.5</v>
      </c>
      <c r="D13" s="77" t="s">
        <v>95</v>
      </c>
      <c r="E13" s="87">
        <f t="shared" si="1"/>
        <v>248.59449999999998</v>
      </c>
      <c r="F13" s="77" t="s">
        <v>178</v>
      </c>
      <c r="G13" s="77">
        <v>380</v>
      </c>
      <c r="H13" s="124" t="s">
        <v>179</v>
      </c>
    </row>
    <row r="14" spans="2:8" ht="15.75">
      <c r="B14" s="76" t="s">
        <v>100</v>
      </c>
      <c r="C14" s="126">
        <v>4782.5</v>
      </c>
      <c r="D14" s="77" t="s">
        <v>87</v>
      </c>
      <c r="E14" s="87">
        <f t="shared" si="1"/>
        <v>4050.7774999999997</v>
      </c>
      <c r="F14" s="77" t="s">
        <v>101</v>
      </c>
      <c r="G14" s="77">
        <v>380</v>
      </c>
      <c r="H14" s="124" t="s">
        <v>102</v>
      </c>
    </row>
    <row r="15" spans="2:8" s="5" customFormat="1" ht="15.75">
      <c r="B15" s="78" t="s">
        <v>104</v>
      </c>
      <c r="C15" s="127">
        <v>1.4</v>
      </c>
      <c r="D15" s="79" t="s">
        <v>113</v>
      </c>
      <c r="E15" s="86">
        <f aca="true" t="shared" si="2" ref="E15">C15*0.847</f>
        <v>1.1858</v>
      </c>
      <c r="F15" s="79" t="s">
        <v>225</v>
      </c>
      <c r="G15" s="79">
        <v>29</v>
      </c>
      <c r="H15" s="128" t="s">
        <v>258</v>
      </c>
    </row>
    <row r="16" spans="2:8" s="5" customFormat="1" ht="15.75">
      <c r="B16" s="78" t="s">
        <v>104</v>
      </c>
      <c r="C16" s="127">
        <v>1.96</v>
      </c>
      <c r="D16" s="79" t="s">
        <v>113</v>
      </c>
      <c r="E16" s="86">
        <f t="shared" si="1"/>
        <v>1.6601199999999998</v>
      </c>
      <c r="F16" s="79" t="s">
        <v>114</v>
      </c>
      <c r="G16" s="79">
        <v>29</v>
      </c>
      <c r="H16" s="128" t="s">
        <v>259</v>
      </c>
    </row>
    <row r="17" spans="2:8" s="5" customFormat="1" ht="15.75">
      <c r="B17" s="78" t="s">
        <v>104</v>
      </c>
      <c r="C17" s="127">
        <v>3.27</v>
      </c>
      <c r="D17" s="79" t="s">
        <v>113</v>
      </c>
      <c r="E17" s="86">
        <f t="shared" si="1"/>
        <v>2.7696899999999998</v>
      </c>
      <c r="F17" s="79" t="s">
        <v>115</v>
      </c>
      <c r="G17" s="79">
        <v>29</v>
      </c>
      <c r="H17" s="128" t="s">
        <v>260</v>
      </c>
    </row>
    <row r="18" spans="2:8" s="54" customFormat="1" ht="27.75" customHeight="1">
      <c r="B18" s="76" t="s">
        <v>106</v>
      </c>
      <c r="C18" s="86">
        <f>8.04*(1-0.34)</f>
        <v>5.306399999999999</v>
      </c>
      <c r="D18" s="77" t="s">
        <v>105</v>
      </c>
      <c r="E18" s="86">
        <f t="shared" si="1"/>
        <v>4.494520799999999</v>
      </c>
      <c r="F18" s="77" t="s">
        <v>107</v>
      </c>
      <c r="G18" s="77">
        <v>474</v>
      </c>
      <c r="H18" s="124" t="s">
        <v>180</v>
      </c>
    </row>
    <row r="19" spans="2:8" s="54" customFormat="1" ht="15.75">
      <c r="B19" s="76" t="s">
        <v>108</v>
      </c>
      <c r="C19" s="86">
        <f>2*1.29</f>
        <v>2.58</v>
      </c>
      <c r="D19" s="77" t="s">
        <v>103</v>
      </c>
      <c r="E19" s="86">
        <f t="shared" si="1"/>
        <v>2.18526</v>
      </c>
      <c r="F19" s="77" t="s">
        <v>109</v>
      </c>
      <c r="G19" s="77">
        <v>365</v>
      </c>
      <c r="H19" s="129" t="s">
        <v>110</v>
      </c>
    </row>
    <row r="20" spans="2:8" s="54" customFormat="1" ht="24.75">
      <c r="B20" s="76" t="s">
        <v>244</v>
      </c>
      <c r="C20" s="87">
        <f>328*250</f>
        <v>82000</v>
      </c>
      <c r="D20" s="77" t="s">
        <v>87</v>
      </c>
      <c r="E20" s="87">
        <f>C20*0.847</f>
        <v>69454</v>
      </c>
      <c r="F20" s="77" t="s">
        <v>245</v>
      </c>
      <c r="G20" s="77">
        <v>321</v>
      </c>
      <c r="H20" s="130" t="s">
        <v>261</v>
      </c>
    </row>
    <row r="21" spans="2:8" s="54" customFormat="1" ht="15.75">
      <c r="B21" s="80" t="s">
        <v>111</v>
      </c>
      <c r="C21" s="87">
        <v>202000</v>
      </c>
      <c r="D21" s="77" t="s">
        <v>87</v>
      </c>
      <c r="E21" s="87">
        <f t="shared" si="1"/>
        <v>171094</v>
      </c>
      <c r="F21" s="77" t="s">
        <v>112</v>
      </c>
      <c r="G21" s="131">
        <v>351</v>
      </c>
      <c r="H21" s="124" t="s">
        <v>249</v>
      </c>
    </row>
    <row r="22" spans="2:8" s="54" customFormat="1" ht="15.75">
      <c r="B22" s="76" t="s">
        <v>236</v>
      </c>
      <c r="C22" s="87">
        <v>10000</v>
      </c>
      <c r="D22" s="77" t="s">
        <v>87</v>
      </c>
      <c r="E22" s="114" t="s">
        <v>60</v>
      </c>
      <c r="F22" s="131" t="s">
        <v>60</v>
      </c>
      <c r="G22" s="131" t="s">
        <v>60</v>
      </c>
      <c r="H22" s="124" t="s">
        <v>237</v>
      </c>
    </row>
    <row r="23" spans="2:8" s="54" customFormat="1" ht="15.75">
      <c r="B23" s="76" t="s">
        <v>236</v>
      </c>
      <c r="C23" s="87">
        <v>15000</v>
      </c>
      <c r="D23" s="77" t="s">
        <v>87</v>
      </c>
      <c r="E23" s="114" t="s">
        <v>60</v>
      </c>
      <c r="F23" s="131" t="s">
        <v>60</v>
      </c>
      <c r="G23" s="131" t="s">
        <v>60</v>
      </c>
      <c r="H23" s="124" t="s">
        <v>238</v>
      </c>
    </row>
    <row r="24" spans="2:8" s="54" customFormat="1" ht="15.75">
      <c r="B24" s="76" t="s">
        <v>236</v>
      </c>
      <c r="C24" s="87">
        <v>25000</v>
      </c>
      <c r="D24" s="77" t="s">
        <v>87</v>
      </c>
      <c r="E24" s="114" t="s">
        <v>60</v>
      </c>
      <c r="F24" s="131" t="s">
        <v>60</v>
      </c>
      <c r="G24" s="131" t="s">
        <v>60</v>
      </c>
      <c r="H24" s="124" t="s">
        <v>239</v>
      </c>
    </row>
    <row r="25" spans="2:8" s="54" customFormat="1" ht="15.75">
      <c r="B25" s="76" t="s">
        <v>236</v>
      </c>
      <c r="C25" s="87">
        <v>30000</v>
      </c>
      <c r="D25" s="77" t="s">
        <v>87</v>
      </c>
      <c r="E25" s="114" t="s">
        <v>60</v>
      </c>
      <c r="F25" s="131" t="s">
        <v>60</v>
      </c>
      <c r="G25" s="131" t="s">
        <v>60</v>
      </c>
      <c r="H25" s="124" t="s">
        <v>240</v>
      </c>
    </row>
    <row r="26" spans="2:8" s="5" customFormat="1" ht="15.75">
      <c r="B26" s="78" t="s">
        <v>116</v>
      </c>
      <c r="C26" s="127">
        <v>9.98</v>
      </c>
      <c r="D26" s="79" t="s">
        <v>113</v>
      </c>
      <c r="E26" s="86">
        <f aca="true" t="shared" si="3" ref="E26">C26*0.847</f>
        <v>8.45306</v>
      </c>
      <c r="F26" s="79" t="s">
        <v>224</v>
      </c>
      <c r="G26" s="79">
        <v>345</v>
      </c>
      <c r="H26" s="128" t="s">
        <v>250</v>
      </c>
    </row>
    <row r="27" spans="2:8" s="5" customFormat="1" ht="15.75">
      <c r="B27" s="78" t="s">
        <v>116</v>
      </c>
      <c r="C27" s="127">
        <v>14.35</v>
      </c>
      <c r="D27" s="79" t="s">
        <v>113</v>
      </c>
      <c r="E27" s="86">
        <f t="shared" si="1"/>
        <v>12.154449999999999</v>
      </c>
      <c r="F27" s="79" t="s">
        <v>117</v>
      </c>
      <c r="G27" s="79">
        <v>345</v>
      </c>
      <c r="H27" s="128" t="s">
        <v>251</v>
      </c>
    </row>
    <row r="28" spans="2:8" s="5" customFormat="1" ht="15.75">
      <c r="B28" s="78" t="s">
        <v>116</v>
      </c>
      <c r="C28" s="127">
        <v>17.97</v>
      </c>
      <c r="D28" s="79" t="s">
        <v>113</v>
      </c>
      <c r="E28" s="86">
        <f t="shared" si="1"/>
        <v>15.220589999999998</v>
      </c>
      <c r="F28" s="79" t="s">
        <v>118</v>
      </c>
      <c r="G28" s="79">
        <v>345</v>
      </c>
      <c r="H28" s="128" t="s">
        <v>252</v>
      </c>
    </row>
    <row r="29" spans="2:8" s="5" customFormat="1" ht="15.75">
      <c r="B29" s="78" t="s">
        <v>116</v>
      </c>
      <c r="C29" s="127">
        <v>27.81</v>
      </c>
      <c r="D29" s="79" t="s">
        <v>113</v>
      </c>
      <c r="E29" s="86">
        <f t="shared" si="1"/>
        <v>23.555069999999997</v>
      </c>
      <c r="F29" s="79" t="s">
        <v>119</v>
      </c>
      <c r="G29" s="79">
        <v>345</v>
      </c>
      <c r="H29" s="128" t="s">
        <v>253</v>
      </c>
    </row>
    <row r="30" spans="2:8" s="5" customFormat="1" ht="15.75">
      <c r="B30" s="78" t="s">
        <v>116</v>
      </c>
      <c r="C30" s="127">
        <v>31.5</v>
      </c>
      <c r="D30" s="79" t="s">
        <v>113</v>
      </c>
      <c r="E30" s="86">
        <f t="shared" si="1"/>
        <v>26.6805</v>
      </c>
      <c r="F30" s="79" t="s">
        <v>120</v>
      </c>
      <c r="G30" s="79">
        <v>346</v>
      </c>
      <c r="H30" s="128" t="s">
        <v>254</v>
      </c>
    </row>
    <row r="31" spans="2:8" s="5" customFormat="1" ht="15.75">
      <c r="B31" s="78" t="s">
        <v>116</v>
      </c>
      <c r="C31" s="127">
        <v>51.15</v>
      </c>
      <c r="D31" s="79" t="s">
        <v>113</v>
      </c>
      <c r="E31" s="86">
        <f t="shared" si="1"/>
        <v>43.32405</v>
      </c>
      <c r="F31" s="79" t="s">
        <v>121</v>
      </c>
      <c r="G31" s="79">
        <v>346</v>
      </c>
      <c r="H31" s="128" t="s">
        <v>255</v>
      </c>
    </row>
    <row r="32" spans="2:8" s="5" customFormat="1" ht="15.75">
      <c r="B32" s="78" t="s">
        <v>116</v>
      </c>
      <c r="C32" s="127">
        <v>59.45</v>
      </c>
      <c r="D32" s="79" t="s">
        <v>113</v>
      </c>
      <c r="E32" s="86">
        <f t="shared" si="1"/>
        <v>50.354150000000004</v>
      </c>
      <c r="F32" s="79" t="s">
        <v>122</v>
      </c>
      <c r="G32" s="79">
        <v>346</v>
      </c>
      <c r="H32" s="128" t="s">
        <v>256</v>
      </c>
    </row>
    <row r="33" spans="2:8" s="5" customFormat="1" ht="15.75">
      <c r="B33" s="78" t="s">
        <v>153</v>
      </c>
      <c r="C33" s="132">
        <f>363-363*0.45</f>
        <v>199.65</v>
      </c>
      <c r="D33" s="79" t="s">
        <v>113</v>
      </c>
      <c r="E33" s="87">
        <f t="shared" si="1"/>
        <v>169.10355</v>
      </c>
      <c r="F33" s="79" t="s">
        <v>172</v>
      </c>
      <c r="G33" s="79">
        <v>168</v>
      </c>
      <c r="H33" s="128" t="s">
        <v>154</v>
      </c>
    </row>
    <row r="34" spans="2:8" s="5" customFormat="1" ht="15.75">
      <c r="B34" s="78" t="s">
        <v>211</v>
      </c>
      <c r="C34" s="133">
        <v>0.0587</v>
      </c>
      <c r="D34" s="79" t="s">
        <v>210</v>
      </c>
      <c r="E34" s="89" t="s">
        <v>60</v>
      </c>
      <c r="F34" s="134" t="s">
        <v>60</v>
      </c>
      <c r="G34" s="134" t="s">
        <v>60</v>
      </c>
      <c r="H34" s="128" t="s">
        <v>257</v>
      </c>
    </row>
    <row r="35" spans="2:8" s="5" customFormat="1" ht="15.75">
      <c r="B35" s="88" t="s">
        <v>352</v>
      </c>
      <c r="C35" s="293">
        <v>5000</v>
      </c>
      <c r="D35" s="79" t="s">
        <v>87</v>
      </c>
      <c r="E35" s="89" t="s">
        <v>60</v>
      </c>
      <c r="F35" s="134" t="s">
        <v>60</v>
      </c>
      <c r="G35" s="134" t="s">
        <v>60</v>
      </c>
      <c r="H35" s="128" t="s">
        <v>247</v>
      </c>
    </row>
    <row r="36" spans="2:8" s="5" customFormat="1" ht="15.75">
      <c r="B36" s="88" t="s">
        <v>351</v>
      </c>
      <c r="C36" s="293">
        <v>10000</v>
      </c>
      <c r="D36" s="79" t="s">
        <v>87</v>
      </c>
      <c r="E36" s="89" t="s">
        <v>60</v>
      </c>
      <c r="F36" s="134" t="s">
        <v>60</v>
      </c>
      <c r="G36" s="134" t="s">
        <v>60</v>
      </c>
      <c r="H36" s="128" t="s">
        <v>247</v>
      </c>
    </row>
    <row r="37" spans="2:8" s="5" customFormat="1" ht="15.75">
      <c r="B37" s="135" t="s">
        <v>76</v>
      </c>
      <c r="C37" s="136">
        <v>3.215</v>
      </c>
      <c r="D37" s="79" t="s">
        <v>187</v>
      </c>
      <c r="E37" s="89" t="s">
        <v>60</v>
      </c>
      <c r="F37" s="134" t="s">
        <v>60</v>
      </c>
      <c r="G37" s="134" t="s">
        <v>60</v>
      </c>
      <c r="H37" s="128" t="s">
        <v>186</v>
      </c>
    </row>
    <row r="38" spans="2:8" s="5" customFormat="1" ht="15.75">
      <c r="B38" s="137" t="s">
        <v>201</v>
      </c>
      <c r="C38" s="138">
        <v>60</v>
      </c>
      <c r="D38" s="79" t="s">
        <v>208</v>
      </c>
      <c r="E38" s="89" t="s">
        <v>60</v>
      </c>
      <c r="F38" s="134" t="s">
        <v>60</v>
      </c>
      <c r="G38" s="134" t="s">
        <v>60</v>
      </c>
      <c r="H38" s="128" t="s">
        <v>247</v>
      </c>
    </row>
    <row r="39" spans="2:8" s="5" customFormat="1" ht="15.75">
      <c r="B39" s="137" t="s">
        <v>202</v>
      </c>
      <c r="C39" s="138">
        <v>70</v>
      </c>
      <c r="D39" s="79" t="s">
        <v>208</v>
      </c>
      <c r="E39" s="89" t="s">
        <v>60</v>
      </c>
      <c r="F39" s="134" t="s">
        <v>60</v>
      </c>
      <c r="G39" s="134" t="s">
        <v>60</v>
      </c>
      <c r="H39" s="128" t="s">
        <v>247</v>
      </c>
    </row>
    <row r="40" spans="2:8" s="5" customFormat="1" ht="15.75">
      <c r="B40" s="139" t="s">
        <v>152</v>
      </c>
      <c r="C40" s="140">
        <f>'2 Sampling Cost'!C44</f>
        <v>230</v>
      </c>
      <c r="D40" s="141" t="s">
        <v>203</v>
      </c>
      <c r="E40" s="141" t="s">
        <v>60</v>
      </c>
      <c r="F40" s="141" t="s">
        <v>60</v>
      </c>
      <c r="G40" s="141" t="s">
        <v>60</v>
      </c>
      <c r="H40" s="142" t="s">
        <v>204</v>
      </c>
    </row>
    <row r="41" spans="2:8" s="5" customFormat="1" ht="24.75" thickBot="1">
      <c r="B41" s="143" t="s">
        <v>205</v>
      </c>
      <c r="C41" s="144">
        <v>70</v>
      </c>
      <c r="D41" s="145" t="s">
        <v>206</v>
      </c>
      <c r="E41" s="145" t="s">
        <v>60</v>
      </c>
      <c r="F41" s="145" t="s">
        <v>60</v>
      </c>
      <c r="G41" s="145" t="s">
        <v>60</v>
      </c>
      <c r="H41" s="146" t="s">
        <v>207</v>
      </c>
    </row>
    <row r="42" ht="15.75" thickTop="1">
      <c r="B42" s="55" t="s">
        <v>158</v>
      </c>
    </row>
    <row r="43" ht="15.75">
      <c r="B43" s="56" t="s">
        <v>159</v>
      </c>
    </row>
    <row r="44" ht="15.75">
      <c r="B44" s="55" t="s">
        <v>181</v>
      </c>
    </row>
    <row r="45" spans="2:8" ht="15.75">
      <c r="B45" s="73"/>
      <c r="C45" s="54"/>
      <c r="D45" s="54"/>
      <c r="E45" s="54"/>
      <c r="F45" s="54"/>
      <c r="G45" s="54"/>
      <c r="H45" s="54"/>
    </row>
    <row r="46" spans="2:3" ht="15.75">
      <c r="B46" s="54"/>
      <c r="C46" s="54"/>
    </row>
    <row r="47" ht="15.75">
      <c r="B47" s="54"/>
    </row>
    <row r="48" ht="15.75">
      <c r="B48" s="54"/>
    </row>
  </sheetData>
  <mergeCells count="3">
    <mergeCell ref="H3:H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view="pageBreakPreview" zoomScale="85" zoomScaleSheetLayoutView="85" workbookViewId="0" topLeftCell="A1">
      <selection activeCell="D9" sqref="D9"/>
    </sheetView>
  </sheetViews>
  <sheetFormatPr defaultColWidth="9.00390625" defaultRowHeight="15.75"/>
  <cols>
    <col min="1" max="1" width="26.375" style="0" customWidth="1"/>
    <col min="2" max="2" width="17.25390625" style="0" bestFit="1" customWidth="1"/>
    <col min="3" max="3" width="16.25390625" style="0" customWidth="1"/>
    <col min="4" max="4" width="17.00390625" style="0" bestFit="1" customWidth="1"/>
    <col min="5" max="5" width="15.25390625" style="0" customWidth="1"/>
    <col min="6" max="6" width="13.875" style="0" customWidth="1"/>
    <col min="8" max="8" width="14.375" style="0" customWidth="1"/>
    <col min="9" max="9" width="14.25390625" style="0" customWidth="1"/>
  </cols>
  <sheetData>
    <row r="1" s="49" customFormat="1" ht="15.75" customHeight="1"/>
    <row r="2" s="49" customFormat="1" ht="15.75" customHeight="1"/>
    <row r="3" spans="1:9" s="49" customFormat="1" ht="15.75" customHeight="1">
      <c r="A3" s="49" t="s">
        <v>319</v>
      </c>
      <c r="I3" s="266"/>
    </row>
    <row r="4" ht="16.5" thickBot="1"/>
    <row r="5" spans="1:4" s="2" customFormat="1" ht="46.5" customHeight="1" thickTop="1">
      <c r="A5" s="431" t="s">
        <v>157</v>
      </c>
      <c r="B5" s="433" t="s">
        <v>268</v>
      </c>
      <c r="C5" s="433" t="s">
        <v>269</v>
      </c>
      <c r="D5" s="435" t="s">
        <v>169</v>
      </c>
    </row>
    <row r="6" spans="1:8" ht="16.5" thickBot="1">
      <c r="A6" s="432"/>
      <c r="B6" s="434"/>
      <c r="C6" s="434"/>
      <c r="D6" s="436"/>
      <c r="H6" s="59"/>
    </row>
    <row r="7" spans="1:4" ht="16.5" thickTop="1">
      <c r="A7" s="214" t="s">
        <v>270</v>
      </c>
      <c r="B7" s="215"/>
      <c r="C7" s="218">
        <v>0.283</v>
      </c>
      <c r="D7" s="216"/>
    </row>
    <row r="8" spans="1:4" ht="15.75">
      <c r="A8" s="90" t="s">
        <v>271</v>
      </c>
      <c r="B8" s="71">
        <f>ROUND('1 Reclamation and O&amp;M costs'!$Q$40,0)</f>
        <v>642853</v>
      </c>
      <c r="C8" s="71">
        <f>$C$7*B8</f>
        <v>181927.39899999998</v>
      </c>
      <c r="D8" s="198">
        <f>B8+C8</f>
        <v>824780.399</v>
      </c>
    </row>
    <row r="9" spans="1:4" ht="15.75">
      <c r="A9" s="90" t="s">
        <v>160</v>
      </c>
      <c r="B9" s="71">
        <f>ROUND('1 Reclamation and O&amp;M costs'!P91,0)</f>
        <v>570399</v>
      </c>
      <c r="C9" s="71">
        <f>$C$7*B9</f>
        <v>161422.917</v>
      </c>
      <c r="D9" s="198">
        <f aca="true" t="shared" si="0" ref="D9:D11">B9+C9</f>
        <v>731821.917</v>
      </c>
    </row>
    <row r="10" spans="1:4" ht="15.75">
      <c r="A10" s="90" t="s">
        <v>26</v>
      </c>
      <c r="B10" s="71">
        <f>'1 Reclamation and O&amp;M costs'!Q118</f>
        <v>0</v>
      </c>
      <c r="C10" s="71">
        <f>$C$7*B10</f>
        <v>0</v>
      </c>
      <c r="D10" s="198">
        <f t="shared" si="0"/>
        <v>0</v>
      </c>
    </row>
    <row r="11" spans="1:4" ht="15.75">
      <c r="A11" s="90" t="s">
        <v>272</v>
      </c>
      <c r="B11" s="71">
        <v>0</v>
      </c>
      <c r="C11" s="71">
        <f>$C$7*B11</f>
        <v>0</v>
      </c>
      <c r="D11" s="198">
        <f t="shared" si="0"/>
        <v>0</v>
      </c>
    </row>
    <row r="12" spans="1:8" ht="16.5" thickBot="1">
      <c r="A12" s="210" t="s">
        <v>281</v>
      </c>
      <c r="B12" s="72">
        <f>SUM(B8:B11)</f>
        <v>1213252</v>
      </c>
      <c r="C12" s="72">
        <f>SUM(C8:C11)</f>
        <v>343350.316</v>
      </c>
      <c r="D12" s="221">
        <f>B12+C12</f>
        <v>1556602.316</v>
      </c>
      <c r="H12" s="4"/>
    </row>
    <row r="13" spans="1:4" ht="19.5" thickTop="1">
      <c r="A13" s="211" t="s">
        <v>276</v>
      </c>
      <c r="B13" s="212"/>
      <c r="C13" s="218">
        <v>0.283</v>
      </c>
      <c r="D13" s="213"/>
    </row>
    <row r="14" spans="1:4" ht="15.75">
      <c r="A14" s="90" t="s">
        <v>160</v>
      </c>
      <c r="B14" s="71">
        <f>ROUND('1 Reclamation and O&amp;M costs'!$S$91,0)</f>
        <v>145000</v>
      </c>
      <c r="C14" s="71">
        <f>ROUND($C$13*B14,0)</f>
        <v>41035</v>
      </c>
      <c r="D14" s="198">
        <f>B14+C14</f>
        <v>186035</v>
      </c>
    </row>
    <row r="15" spans="1:4" ht="15.75">
      <c r="A15" s="90" t="s">
        <v>26</v>
      </c>
      <c r="B15" s="71">
        <f>ROUND('1 Reclamation and O&amp;M costs'!$T$118,0)</f>
        <v>95129</v>
      </c>
      <c r="C15" s="71">
        <f>ROUND($C$13*B15,0)</f>
        <v>26922</v>
      </c>
      <c r="D15" s="198">
        <f>B15+C15</f>
        <v>122051</v>
      </c>
    </row>
    <row r="16" spans="1:4" ht="15.75">
      <c r="A16" s="90" t="s">
        <v>272</v>
      </c>
      <c r="B16" s="71">
        <f>ROUND('1 Reclamation and O&amp;M costs'!$Q$135,0)</f>
        <v>48038</v>
      </c>
      <c r="C16" s="71">
        <f>ROUND($C$13*B16,0)</f>
        <v>13595</v>
      </c>
      <c r="D16" s="198">
        <f>B16+C16</f>
        <v>61633</v>
      </c>
    </row>
    <row r="17" spans="1:8" ht="16.5" thickBot="1">
      <c r="A17" s="210" t="s">
        <v>281</v>
      </c>
      <c r="B17" s="72">
        <f>SUM(B14:B16)</f>
        <v>288167</v>
      </c>
      <c r="C17" s="72">
        <f>SUM(C14:C16)</f>
        <v>81552</v>
      </c>
      <c r="D17" s="221">
        <f>B17+C17</f>
        <v>369719</v>
      </c>
      <c r="H17" s="4"/>
    </row>
    <row r="18" spans="1:4" ht="16.5" thickTop="1">
      <c r="A18" s="211" t="s">
        <v>273</v>
      </c>
      <c r="B18" s="212"/>
      <c r="C18" s="217">
        <v>0.17</v>
      </c>
      <c r="D18" s="213"/>
    </row>
    <row r="19" spans="1:8" ht="15.75">
      <c r="A19" s="90" t="s">
        <v>271</v>
      </c>
      <c r="B19" s="71">
        <f>ROUND('1 Reclamation and O&amp;M costs'!$S$40,0)</f>
        <v>185842</v>
      </c>
      <c r="C19" s="71">
        <f>ROUND($C$18*B19,0)</f>
        <v>31593</v>
      </c>
      <c r="D19" s="198">
        <f>B19+C19</f>
        <v>217435</v>
      </c>
      <c r="H19" s="4"/>
    </row>
    <row r="20" spans="1:8" ht="15.75">
      <c r="A20" s="90" t="s">
        <v>160</v>
      </c>
      <c r="B20" s="71">
        <f>'1 Reclamation and O&amp;M costs'!$R$91</f>
        <v>110100</v>
      </c>
      <c r="C20" s="71">
        <f>$C$18*B20</f>
        <v>18717</v>
      </c>
      <c r="D20" s="198">
        <f>B20+C20</f>
        <v>128817</v>
      </c>
      <c r="H20" s="4"/>
    </row>
    <row r="21" spans="1:8" ht="15.75">
      <c r="A21" s="90" t="s">
        <v>26</v>
      </c>
      <c r="B21" s="71">
        <f>ROUND('1 Reclamation and O&amp;M costs'!$S$118,0)</f>
        <v>156272</v>
      </c>
      <c r="C21" s="71">
        <f>ROUND($C$18*B21,0)</f>
        <v>26566</v>
      </c>
      <c r="D21" s="198">
        <f>B21+C21</f>
        <v>182838</v>
      </c>
      <c r="H21" s="4"/>
    </row>
    <row r="22" spans="1:8" ht="15.75">
      <c r="A22" s="202" t="s">
        <v>37</v>
      </c>
      <c r="B22" s="203">
        <f>ROUND('1 Reclamation and O&amp;M costs'!$P$135,0)</f>
        <v>110007</v>
      </c>
      <c r="C22" s="203">
        <f>ROUND($C$18*B22,0)</f>
        <v>18701</v>
      </c>
      <c r="D22" s="204">
        <f>B22+C22</f>
        <v>128708</v>
      </c>
      <c r="H22" s="4"/>
    </row>
    <row r="23" spans="1:4" ht="15.75">
      <c r="A23" s="206" t="s">
        <v>368</v>
      </c>
      <c r="B23" s="207"/>
      <c r="C23" s="208">
        <v>0</v>
      </c>
      <c r="D23" s="209"/>
    </row>
    <row r="24" spans="1:8" ht="15.75">
      <c r="A24" s="199" t="s">
        <v>277</v>
      </c>
      <c r="B24" s="200">
        <f>ROUND('1 Reclamation and O&amp;M costs'!$J$91+'1 Reclamation and O&amp;M costs'!$O$91,0)</f>
        <v>36148</v>
      </c>
      <c r="C24" s="200">
        <f>$C$23*B24</f>
        <v>0</v>
      </c>
      <c r="D24" s="201">
        <f>B24+C24</f>
        <v>36148</v>
      </c>
      <c r="H24" s="4"/>
    </row>
    <row r="25" spans="1:8" ht="15.75">
      <c r="A25" s="90" t="s">
        <v>152</v>
      </c>
      <c r="B25" s="71">
        <f>'2 Sampling Cost'!$O$16</f>
        <v>290360</v>
      </c>
      <c r="C25" s="71">
        <f>$C$23*B25</f>
        <v>0</v>
      </c>
      <c r="D25" s="198">
        <f>B25+C25</f>
        <v>290360</v>
      </c>
      <c r="H25" s="4"/>
    </row>
    <row r="26" spans="1:9" ht="16.5" thickBot="1">
      <c r="A26" s="210" t="s">
        <v>281</v>
      </c>
      <c r="B26" s="222">
        <f>SUM(B19:B25)</f>
        <v>888729</v>
      </c>
      <c r="C26" s="222">
        <f>SUM(C19:C22,C24:C25)</f>
        <v>95577</v>
      </c>
      <c r="D26" s="223">
        <f>B26+C26</f>
        <v>984306</v>
      </c>
      <c r="H26" s="4"/>
      <c r="I26" s="10"/>
    </row>
    <row r="27" spans="1:4" ht="17.25" thickBot="1" thickTop="1">
      <c r="A27" s="205" t="s">
        <v>169</v>
      </c>
      <c r="B27" s="219">
        <f>ROUND(B26+B17+B12,-3)</f>
        <v>2390000</v>
      </c>
      <c r="C27" s="219">
        <f>ROUND(C26+C17+C12,-3)</f>
        <v>520000</v>
      </c>
      <c r="D27" s="220">
        <f>ROUND(D26+D17+D12,-3)</f>
        <v>2911000</v>
      </c>
    </row>
    <row r="28" spans="1:4" ht="19.5" thickTop="1">
      <c r="A28" s="59" t="s">
        <v>275</v>
      </c>
      <c r="D28" s="14"/>
    </row>
    <row r="31" spans="1:9" ht="15.75">
      <c r="A31" s="59"/>
      <c r="B31" s="14"/>
      <c r="C31" s="14"/>
      <c r="E31" s="14"/>
      <c r="H31" s="59"/>
      <c r="I31" s="59"/>
    </row>
    <row r="32" spans="8:9" ht="15.75">
      <c r="H32" s="10"/>
      <c r="I32" s="10"/>
    </row>
    <row r="33" ht="15.75">
      <c r="H33" s="10"/>
    </row>
    <row r="34" ht="15.75">
      <c r="H34" s="10"/>
    </row>
    <row r="35" spans="2:8" ht="15.75">
      <c r="B35" s="10"/>
      <c r="H35" s="59"/>
    </row>
    <row r="36" ht="15.75">
      <c r="H36" s="14"/>
    </row>
  </sheetData>
  <mergeCells count="4"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price levels 1900-est. 2010, with 2000 = 100</dc:title>
  <dc:subject/>
  <dc:creator>m3user</dc:creator>
  <cp:keywords/>
  <dc:description/>
  <cp:lastModifiedBy>April Tischer</cp:lastModifiedBy>
  <cp:lastPrinted>2014-12-08T22:41:17Z</cp:lastPrinted>
  <dcterms:created xsi:type="dcterms:W3CDTF">1998-11-05T19:00:04Z</dcterms:created>
  <dcterms:modified xsi:type="dcterms:W3CDTF">2014-12-10T21:13:52Z</dcterms:modified>
  <cp:category/>
  <cp:version/>
  <cp:contentType/>
  <cp:contentStatus/>
</cp:coreProperties>
</file>